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f1c6e81b643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989bbb3dea3148ed"/>
    <x:sheet xmlns:r="http://schemas.openxmlformats.org/officeDocument/2006/relationships" name="ЗИП турбогенераторов" sheetId="2" r:id="R37645276f8024563"/>
    <x:sheet xmlns:r="http://schemas.openxmlformats.org/officeDocument/2006/relationships" name="КВО и ЗИП" sheetId="3" r:id="R4b8ca9dced4e439c"/>
    <x:sheet xmlns:r="http://schemas.openxmlformats.org/officeDocument/2006/relationships" name="Турбинное оборудование" sheetId="4" r:id="R46deb64e51dc4f0f"/>
    <x:sheet xmlns:r="http://schemas.openxmlformats.org/officeDocument/2006/relationships" name="ЖД оборудование и ВСП" sheetId="5" r:id="R4ce74e90ed9c421d"/>
    <x:sheet xmlns:r="http://schemas.openxmlformats.org/officeDocument/2006/relationships" name="Промбезопасность" sheetId="6" r:id="R7fbbafbf4ae94dc3"/>
    <x:sheet xmlns:r="http://schemas.openxmlformats.org/officeDocument/2006/relationships" name="Строительные материалы" sheetId="7" r:id="R7a3cfdbc713b4133"/>
    <x:sheet xmlns:r="http://schemas.openxmlformats.org/officeDocument/2006/relationships" name="Трубы и фитинги" sheetId="8" r:id="R55b5cfbec4a64962"/>
    <x:sheet xmlns:r="http://schemas.openxmlformats.org/officeDocument/2006/relationships" name="Металлопрокат и сварка" sheetId="9" r:id="Re336e229bb3c4b68"/>
    <x:sheet xmlns:r="http://schemas.openxmlformats.org/officeDocument/2006/relationships" name="Кабельно-проводниковая" sheetId="10" r:id="R6df4dfd5e7e948d6"/>
    <x:sheet xmlns:r="http://schemas.openxmlformats.org/officeDocument/2006/relationships" name="Электрооборудование" sheetId="11" r:id="R713bbb2384e64e8e"/>
    <x:sheet xmlns:r="http://schemas.openxmlformats.org/officeDocument/2006/relationships" name="МРО механика и ЗИП" sheetId="12" r:id="R57dbc07aa23d4394"/>
    <x:sheet xmlns:r="http://schemas.openxmlformats.org/officeDocument/2006/relationships" name="Изоляция РТИ огнеупоры" sheetId="13" r:id="R2a8ded90cc2c4b78"/>
    <x:sheet xmlns:r="http://schemas.openxmlformats.org/officeDocument/2006/relationships" name="Химматериалы" sheetId="14" r:id="R9baa69d7c63643d4"/>
    <x:sheet xmlns:r="http://schemas.openxmlformats.org/officeDocument/2006/relationships" name="Авто и спецтехника" sheetId="15" r:id="R78b6b41ad2184a75"/>
    <x:sheet xmlns:r="http://schemas.openxmlformats.org/officeDocument/2006/relationships" name="Прочие специализированные" sheetId="16" r:id="Ra16d2954de65483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 &quot;₽&quot;"/>
    <x:numFmt numFmtId="201" formatCode="#,##0.##"/>
    <x:numFmt numFmtId="202" formatCode="#,##0"/>
    <x:numFmt numFmtId="203" formatCode="0.###"/>
  </x:numFmts>
  <x:fonts count="5">
    <x:font>
      <x:sz val="11"/>
      <x:name val="Carlito"/>
    </x:font>
    <x:font>
      <x:b/>
      <x:sz val="16"/>
      <x:color rgb="FF1F2937"/>
      <x:name val="Arial"/>
    </x:font>
    <x:font>
      <x:i/>
      <x:sz val="10"/>
      <x:color rgb="FF5B677A"/>
      <x:name val="Arial"/>
    </x:font>
    <x:font>
      <x:b/>
      <x:sz val="10"/>
      <x:color rgb="FFFFFFFF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1">
    <x:border/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4" fillId="0" borderId="0" xfId="0" applyNumberFormat="1" applyFont="1" applyFill="1" applyBorder="1"/>
    <x:xf numFmtId="202" fontId="4" fillId="0" borderId="0" xfId="0" applyNumberFormat="1" applyFont="1" applyFill="1" applyBorder="1"/>
    <x:xf numFmtId="201" fontId="4" fillId="0" borderId="0" xfId="0" applyNumberFormat="1" applyFont="1" applyFill="1" applyBorder="1" applyAlignment="1">
      <x:alignment wrapText="1"/>
    </x:xf>
    <x:xf numFmtId="202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vertical="center" wrapText="1"/>
    </x:xf>
    <x:xf numFmtId="202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0"/>
    </x:xf>
    <x:xf numFmtId="203" fontId="0" fillId="0" borderId="0" xfId="0" applyNumberFormat="1" applyFont="1" applyFill="1" applyBorder="1"/>
    <x:xf numFmtId="203" fontId="4" fillId="0" borderId="0" xfId="0" applyNumberFormat="1" applyFont="1" applyFill="1" applyBorder="1"/>
    <x:xf numFmtId="203" fontId="4" fillId="0" borderId="0" xfId="0" applyNumberFormat="1" applyFont="1" applyFill="1" applyBorder="1" applyAlignment="1">
      <x:alignment wrapText="1"/>
    </x:xf>
    <x:xf numFmtId="203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5df019d7fe41b5" /><Relationship Type="http://schemas.openxmlformats.org/officeDocument/2006/relationships/theme" Target="/xl/theme/theme1.xml" Id="R4205ff8558724efd" /><Relationship Type="http://schemas.openxmlformats.org/officeDocument/2006/relationships/sharedStrings" Target="/xl/sharedStrings.xml" Id="R4e338f311c62489d" /><Relationship Type="http://schemas.openxmlformats.org/officeDocument/2006/relationships/worksheet" Target="/xl/worksheets/sheet1.xml" Id="R989bbb3dea3148ed" /><Relationship Type="http://schemas.openxmlformats.org/officeDocument/2006/relationships/worksheet" Target="/xl/worksheets/sheet2.xml" Id="R37645276f8024563" /><Relationship Type="http://schemas.openxmlformats.org/officeDocument/2006/relationships/worksheet" Target="/xl/worksheets/sheet3.xml" Id="R4b8ca9dced4e439c" /><Relationship Type="http://schemas.openxmlformats.org/officeDocument/2006/relationships/worksheet" Target="/xl/worksheets/sheet4.xml" Id="R46deb64e51dc4f0f" /><Relationship Type="http://schemas.openxmlformats.org/officeDocument/2006/relationships/worksheet" Target="/xl/worksheets/sheet5.xml" Id="R4ce74e90ed9c421d" /><Relationship Type="http://schemas.openxmlformats.org/officeDocument/2006/relationships/worksheet" Target="/xl/worksheets/sheet6.xml" Id="R7fbbafbf4ae94dc3" /><Relationship Type="http://schemas.openxmlformats.org/officeDocument/2006/relationships/worksheet" Target="/xl/worksheets/sheet7.xml" Id="R7a3cfdbc713b4133" /><Relationship Type="http://schemas.openxmlformats.org/officeDocument/2006/relationships/worksheet" Target="/xl/worksheets/sheet8.xml" Id="R55b5cfbec4a64962" /><Relationship Type="http://schemas.openxmlformats.org/officeDocument/2006/relationships/worksheet" Target="/xl/worksheets/sheet9.xml" Id="Re336e229bb3c4b68" /><Relationship Type="http://schemas.openxmlformats.org/officeDocument/2006/relationships/worksheet" Target="/xl/worksheets/sheet10.xml" Id="R6df4dfd5e7e948d6" /><Relationship Type="http://schemas.openxmlformats.org/officeDocument/2006/relationships/worksheet" Target="/xl/worksheets/sheet11.xml" Id="R713bbb2384e64e8e" /><Relationship Type="http://schemas.openxmlformats.org/officeDocument/2006/relationships/worksheet" Target="/xl/worksheets/sheet12.xml" Id="R57dbc07aa23d4394" /><Relationship Type="http://schemas.openxmlformats.org/officeDocument/2006/relationships/worksheet" Target="/xl/worksheets/sheet13.xml" Id="R2a8ded90cc2c4b78" /><Relationship Type="http://schemas.openxmlformats.org/officeDocument/2006/relationships/worksheet" Target="/xl/worksheets/sheet14.xml" Id="R9baa69d7c63643d4" /><Relationship Type="http://schemas.openxmlformats.org/officeDocument/2006/relationships/worksheet" Target="/xl/worksheets/sheet15.xml" Id="R78b6b41ad2184a75" /><Relationship Type="http://schemas.openxmlformats.org/officeDocument/2006/relationships/worksheet" Target="/xl/worksheets/sheet16.xml" Id="Ra16d2954de654831" /></Relationships>
</file>

<file path=xl/tables/table1.xml><?xml version="1.0" encoding="utf-8"?>
<x:table xmlns:x="http://schemas.openxmlformats.org/spreadsheetml/2006/main" id="1" name="CategorySummary" displayName="CategorySummary" ref="A4:F19" headerRowCount="1" totalsRowCount="0" totalsRowShown="0">
  <x:tableColumns count="6">
    <x:tableColumn id="1" name="Товарная категория"/>
    <x:tableColumn id="2" name="Лист"/>
    <x:tableColumn id="3" name="Позиций"/>
    <x:tableColumn id="4" name="ПЕ"/>
    <x:tableColumn id="5" name="Сумма с НДС, ₽"/>
    <x:tableColumn id="6" name="Статус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ategory01" displayName="Category01" ref="A4:I9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ategory02" displayName="Category02" ref="A4:I31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Category03" displayName="Category03" ref="A4:I30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ategory04" displayName="Category04" ref="A4:I6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Category05" displayName="Category05" ref="A4:I18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Category06" displayName="Category06" ref="A4:I160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Category07" displayName="Category07" ref="A4:I773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Category08" displayName="Category08" ref="A4:I442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Category09" displayName="Category09" ref="A4:I94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Category10" displayName="Category10" ref="A4:I163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Category11" displayName="Category11" ref="A4:I329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Category12" displayName="Category12" ref="A4:I338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Category13" displayName="Category13" ref="A4:I54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Category14" displayName="Category14" ref="A4:I12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Category15" displayName="Category15" ref="A4:I5" headerRowCount="1" totalsRowCount="0" totalsRowShown="0">
  <x:tableColumns count="9">
    <x:tableColumn id="1" name="ПЕ"/>
    <x:tableColumn id="2" name="Внешний код"/>
    <x:tableColumn id="3" name="Наименование позиции"/>
    <x:tableColumn id="4" name="Группа материалов"/>
    <x:tableColumn id="5" name="Ед. изм."/>
    <x:tableColumn id="6" name="Доступное количество"/>
    <x:tableColumn id="7" name="Цена с НДС, ₽"/>
    <x:tableColumn id="8" name="Сумма, ₽"/>
    <x:tableColumn id="9" name="Ссылка на позицию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a8a2a2aad3340e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f1c2e8f8810472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e80200e02e15403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ca1f96bc750f46a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7f02c5698673446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30194909b99c46c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10c20ce28bef4bc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0956e36d82524b3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afb9101d119a4aee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80ccd7bfb1b948e1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c5aa5e8f29514d21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ddc7e6141c424aca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cc36c351ad4341af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5808ae3cacdf40fc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900489cb8fa64933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d1d32c391df84c60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47" hidden="0" customWidth="1"/>
    <x:col min="2" max="2" width="28" hidden="0" customWidth="1"/>
    <x:col min="3" max="3" width="10" hidden="0" customWidth="1"/>
    <x:col min="4" max="4" width="44" hidden="0" customWidth="1"/>
    <x:col min="5" max="5" width="18" hidden="0" customWidth="1"/>
    <x:col min="6" max="6" width="29" hidden="0" customWidth="1"/>
  </x:cols>
  <x:sheetData>
    <x:row r="1" ht="28" customHeight="1">
      <x:c r="A1" s="2" t="str">
        <x:v>Неликвиды — Алтай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Товарная категория</x:v>
      </x:c>
      <x:c r="B4" s="10" t="str">
        <x:v>Лист</x:v>
      </x:c>
      <x:c r="C4" s="10" t="str">
        <x:v>Позиций</x:v>
      </x:c>
      <x:c r="D4" s="10" t="str">
        <x:v>ПЕ</x:v>
      </x:c>
      <x:c r="E4" s="10" t="str">
        <x:v>Сумма с НДС, ₽</x:v>
      </x:c>
      <x:c r="F4" s="10" t="str">
        <x:v>Статус</x:v>
      </x:c>
    </x:row>
    <x:row r="5" ht="58" customHeight="1">
      <x:c r="A5" s="16" t="str">
        <x:v>ЗИП турбогенераторов</x:v>
      </x:c>
      <x:c r="B5" s="16" t="str">
        <x:v>ЗИП турбогенераторов</x:v>
      </x:c>
      <x:c r="C5" s="16" t="n">
        <x:v>5</x:v>
      </x:c>
      <x:c r="D5" s="16" t="str">
        <x:v>Барнаульская ТЭЦ-2, Бийскэнерго</x:v>
      </x:c>
      <x:c r="E5" s="17" t="n">
        <x:v>243419.68016</x:v>
      </x:c>
      <x:c r="F5" s="16" t="str">
        <x:v>Существующая/расширенная группа</x:v>
      </x:c>
    </x:row>
    <x:row r="6" ht="58" customHeight="1">
      <x:c r="A6" s="16" t="str">
        <x:v>Котельно-вспомогательное оборудование и ЗИП</x:v>
      </x:c>
      <x:c r="B6" s="16" t="str">
        <x:v>КВО и ЗИП</x:v>
      </x:c>
      <x:c r="C6" s="16" t="n">
        <x:v>27</x:v>
      </x:c>
      <x:c r="D6" s="16" t="str">
        <x:v>Барнаульская ТЭЦ-2, Барнаульская ТЭЦ-3, БийскэнергоТеплоТранзит, Рубцовский ТЭК, Филиал БТСК</x:v>
      </x:c>
      <x:c r="E6" s="17" t="n">
        <x:v>2585435.0885922</x:v>
      </x:c>
      <x:c r="F6" s="16" t="str">
        <x:v>Существующая/расширенная группа</x:v>
      </x:c>
    </x:row>
    <x:row r="7" ht="58" customHeight="1">
      <x:c r="A7" s="16" t="str">
        <x:v>Турбинное оборудование и ЗИП</x:v>
      </x:c>
      <x:c r="B7" s="16" t="str">
        <x:v>Турбинное оборудование</x:v>
      </x:c>
      <x:c r="C7" s="16" t="n">
        <x:v>26</x:v>
      </x:c>
      <x:c r="D7" s="16" t="str">
        <x:v>Барнаульская ТЭЦ-2, Барнаульская ТЭЦ-3, Бийскэнерго, Филиал БТСК</x:v>
      </x:c>
      <x:c r="E7" s="17" t="n">
        <x:v>368031.5074</x:v>
      </x:c>
      <x:c r="F7" s="16" t="str">
        <x:v>Новая группа</x:v>
      </x:c>
    </x:row>
    <x:row r="8" ht="58" customHeight="1">
      <x:c r="A8" s="16" t="str">
        <x:v>Железнодорожное оборудование и материалы ВСП</x:v>
      </x:c>
      <x:c r="B8" s="16" t="str">
        <x:v>ЖД оборудование и ВСП</x:v>
      </x:c>
      <x:c r="C8" s="16" t="n">
        <x:v>2</x:v>
      </x:c>
      <x:c r="D8" s="16" t="str">
        <x:v>Барнаульская ТЭЦ-3, Бийскэнерго</x:v>
      </x:c>
      <x:c r="E8" s="17" t="n">
        <x:v>428013.1543558</x:v>
      </x:c>
      <x:c r="F8" s="16" t="str">
        <x:v>Новая группа</x:v>
      </x:c>
    </x:row>
    <x:row r="9" ht="58" customHeight="1">
      <x:c r="A9" s="16" t="str">
        <x:v>Промышленная безопасность, пожарное оборудование и медицина</x:v>
      </x:c>
      <x:c r="B9" s="16" t="str">
        <x:v>Промбезопасность</x:v>
      </x:c>
      <x:c r="C9" s="16" t="n">
        <x:v>14</x:v>
      </x:c>
      <x:c r="D9" s="16" t="str">
        <x:v>Барнаульская ТЭЦ-2, Барнаульская ТЭЦ-3, Бийскэнерго, БийскэнергоТеплоТранзит, Рубцовский ТЭК, Филиал БТСК</x:v>
      </x:c>
      <x:c r="E9" s="17" t="n">
        <x:v>53549.55760000001</x:v>
      </x:c>
      <x:c r="F9" s="16" t="str">
        <x:v>Новая группа</x:v>
      </x:c>
    </x:row>
    <x:row r="10" ht="58" customHeight="1">
      <x:c r="A10" s="16" t="str">
        <x:v>Строительные материалы и ЖБИ</x:v>
      </x:c>
      <x:c r="B10" s="16" t="str">
        <x:v>Строительные материалы</x:v>
      </x:c>
      <x:c r="C10" s="16" t="n">
        <x:v>156</x:v>
      </x:c>
      <x:c r="D10" s="16" t="str">
        <x:v>Барнаульская ТЭЦ-2, Барнаульская ТЭЦ-3, Бийскэнерго, БийскэнергоТеплоТранзит, Рубцовский ТЭК, Филиал БТСК</x:v>
      </x:c>
      <x:c r="E10" s="17" t="n">
        <x:v>15242658.804695996</x:v>
      </x:c>
      <x:c r="F10" s="16" t="str">
        <x:v>Существующая/расширенная группа</x:v>
      </x:c>
    </x:row>
    <x:row r="11" ht="58" customHeight="1">
      <x:c r="A11" s="16" t="str">
        <x:v>Трубы, фитинги, трубопроводная арматура и ОПС</x:v>
      </x:c>
      <x:c r="B11" s="16" t="str">
        <x:v>Трубы и фитинги</x:v>
      </x:c>
      <x:c r="C11" s="16" t="n">
        <x:v>769</x:v>
      </x:c>
      <x:c r="D11" s="16" t="str">
        <x:v>Барнаульская ТЭЦ-2, Барнаульская ТЭЦ-3, Бийскэнерго, БийскэнергоТеплоТранзит, Рубцовский ТЭК, Филиал БТСК</x:v>
      </x:c>
      <x:c r="E11" s="17" t="n">
        <x:v>40743442.45647981</x:v>
      </x:c>
      <x:c r="F11" s="16" t="str">
        <x:v>Существующая/расширенная группа</x:v>
      </x:c>
    </x:row>
    <x:row r="12" ht="58" customHeight="1">
      <x:c r="A12" s="16" t="str">
        <x:v>Металлопрокат, металлоконструкции и сварка</x:v>
      </x:c>
      <x:c r="B12" s="16" t="str">
        <x:v>Металлопрокат и сварка</x:v>
      </x:c>
      <x:c r="C12" s="16" t="n">
        <x:v>438</x:v>
      </x:c>
      <x:c r="D12" s="16" t="str">
        <x:v>Барнаульская ТЭЦ-2, Барнаульская ТЭЦ-3, Бийскэнерго, БийскэнергоТеплоТранзит, Рубцовский ТЭК, Филиал БТСК</x:v>
      </x:c>
      <x:c r="E12" s="17" t="n">
        <x:v>8644603.662137397</x:v>
      </x:c>
      <x:c r="F12" s="16" t="str">
        <x:v>Существующая/расширенная группа</x:v>
      </x:c>
    </x:row>
    <x:row r="13" ht="58" customHeight="1">
      <x:c r="A13" s="16" t="str">
        <x:v>Кабельно-проводниковая продукция</x:v>
      </x:c>
      <x:c r="B13" s="16" t="str">
        <x:v>Кабельно-проводниковая</x:v>
      </x:c>
      <x:c r="C13" s="16" t="n">
        <x:v>90</x:v>
      </x:c>
      <x:c r="D13" s="16" t="str">
        <x:v>Барнаульская ТЭЦ-2, Бийскэнерго, БийскэнергоТеплоТранзит, Рубцовский ТЭК, Филиал БТСК</x:v>
      </x:c>
      <x:c r="E13" s="17" t="n">
        <x:v>3035768.2638743995</x:v>
      </x:c>
      <x:c r="F13" s="16" t="str">
        <x:v>Существующая/расширенная группа</x:v>
      </x:c>
    </x:row>
    <x:row r="14" ht="58" customHeight="1">
      <x:c r="A14" s="16" t="str">
        <x:v>Электрооборудование, КИПиА и связь</x:v>
      </x:c>
      <x:c r="B14" s="16" t="str">
        <x:v>Электрооборудование</x:v>
      </x:c>
      <x:c r="C14" s="16" t="n">
        <x:v>159</x:v>
      </x:c>
      <x:c r="D14" s="16" t="str">
        <x:v>Барнаульская ТЭЦ-2, Барнаульская ТЭЦ-3, Бийскэнерго, БийскэнергоТеплоТранзит, Рубцовский ТЭК, Филиал БТСК</x:v>
      </x:c>
      <x:c r="E14" s="17" t="n">
        <x:v>2810674.9273208007</x:v>
      </x:c>
      <x:c r="F14" s="16" t="str">
        <x:v>Существующая/расширенная группа</x:v>
      </x:c>
    </x:row>
    <x:row r="15" ht="58" customHeight="1">
      <x:c r="A15" s="16" t="str">
        <x:v>МРО, механическое оборудование и ЗИП</x:v>
      </x:c>
      <x:c r="B15" s="16" t="str">
        <x:v>МРО механика и ЗИП</x:v>
      </x:c>
      <x:c r="C15" s="16" t="n">
        <x:v>325</x:v>
      </x:c>
      <x:c r="D15" s="16" t="str">
        <x:v>Барнаульская ТЭЦ-2, Барнаульская ТЭЦ-3, Бийскэнерго, БийскэнергоТеплоТранзит, Рубцовский ТЭК, Филиал БТСК</x:v>
      </x:c>
      <x:c r="E15" s="17" t="n">
        <x:v>8529396.662897596</x:v>
      </x:c>
      <x:c r="F15" s="16" t="str">
        <x:v>Существующая/расширенная группа</x:v>
      </x:c>
    </x:row>
    <x:row r="16" ht="58" customHeight="1">
      <x:c r="A16" s="16" t="str">
        <x:v>Изоляция, РТИ, огнеупорные и кислотоупорные материалы</x:v>
      </x:c>
      <x:c r="B16" s="16" t="str">
        <x:v>Изоляция РТИ огнеупоры</x:v>
      </x:c>
      <x:c r="C16" s="16" t="n">
        <x:v>334</x:v>
      </x:c>
      <x:c r="D16" s="16" t="str">
        <x:v>Барнаульская ТЭЦ-2, Барнаульская ТЭЦ-3, Бийскэнерго, БийскэнергоТеплоТранзит, Рубцовский ТЭК, Филиал БТСК</x:v>
      </x:c>
      <x:c r="E16" s="17" t="n">
        <x:v>2507128.9831251996</x:v>
      </x:c>
      <x:c r="F16" s="16" t="str">
        <x:v>Существующая/расширенная группа</x:v>
      </x:c>
    </x:row>
    <x:row r="17" ht="58" customHeight="1">
      <x:c r="A17" s="16" t="str">
        <x:v>Химические материалы, ЛКМ и лаборатория</x:v>
      </x:c>
      <x:c r="B17" s="16" t="str">
        <x:v>Химматериалы</x:v>
      </x:c>
      <x:c r="C17" s="16" t="n">
        <x:v>50</x:v>
      </x:c>
      <x:c r="D17" s="16" t="str">
        <x:v>Барнаульская ТЭЦ-2, Барнаульская ТЭЦ-3, Бийскэнерго, Рубцовский ТЭК</x:v>
      </x:c>
      <x:c r="E17" s="17" t="n">
        <x:v>573272.4137298</x:v>
      </x:c>
      <x:c r="F17" s="16" t="str">
        <x:v>Существующая/расширенная группа</x:v>
      </x:c>
    </x:row>
    <x:row r="18" ht="58" customHeight="1">
      <x:c r="A18" s="16" t="str">
        <x:v>Авто- и спецтехника: запасные части</x:v>
      </x:c>
      <x:c r="B18" s="16" t="str">
        <x:v>Авто и спецтехника</x:v>
      </x:c>
      <x:c r="C18" s="16" t="n">
        <x:v>121</x:v>
      </x:c>
      <x:c r="D18" s="16" t="str">
        <x:v>Барнаульская ТЭЦ-2, Барнаульская ТЭЦ-3, Бийскэнерго</x:v>
      </x:c>
      <x:c r="E18" s="17" t="n">
        <x:v>588451.6646</x:v>
      </x:c>
      <x:c r="F18" s="16" t="str">
        <x:v>Существующая/расширенная группа</x:v>
      </x:c>
    </x:row>
    <x:row r="19" ht="58" customHeight="1">
      <x:c r="A19" s="16" t="str">
        <x:v>Прочие специализированные материалы</x:v>
      </x:c>
      <x:c r="B19" s="16" t="str">
        <x:v>Прочие специализированные</x:v>
      </x:c>
      <x:c r="C19" s="16" t="n">
        <x:v>1</x:v>
      </x:c>
      <x:c r="D19" s="16" t="str">
        <x:v>Барнаульская ТЭЦ-2</x:v>
      </x:c>
      <x:c r="E19" s="17" t="n">
        <x:v>4225.9458</x:v>
      </x:c>
      <x:c r="F19" s="16" t="str">
        <x:v>Существующая/расширенная группа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8a8a2a2aad3340e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ЗИП турбогенераторов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2000742150-W111</x:v>
      </x:c>
      <x:c r="C5" s="16" t="str">
        <x:v>ПРОФИЛЬ 8-ВС 2634192030 ТВФ-63-2Е</x:v>
      </x:c>
      <x:c r="D5" s="16" t="str">
        <x:v>ЗЧ турбогенераторов</x:v>
      </x:c>
      <x:c r="E5" s="16" t="str">
        <x:v>КГ</x:v>
      </x:c>
      <x:c r="F5" s="24" t="n">
        <x:v>13.6</x:v>
      </x:c>
      <x:c r="G5" s="17" t="n">
        <x:v>679.3936</x:v>
      </x:c>
      <x:c r="H5" s="17" t="n">
        <x:f>G5*F5</x:f>
        <x:v>9239.75296</x:v>
      </x:c>
      <x:c r="I5" s="26" t="str">
        <x:f>HYPERLINK("https://etp-aktiv.ru/catalog/materialy/zapasnye-chasti-osnovnogo-ehnergeticheskogo-oborudovaniya/2000742150-W111/","Открыть позицию")</x:f>
        <x:v>Открыть позицию</x:v>
      </x:c>
    </x:row>
    <x:row r="6" ht="28" customHeight="1">
      <x:c r="A6" s="16" t="str">
        <x:v>Бийскэнерго</x:v>
      </x:c>
      <x:c r="B6" s="16" t="str">
        <x:v>2000525598-W113</x:v>
      </x:c>
      <x:c r="C6" s="16" t="str">
        <x:v>ВТУЛКА 8БС.719.007-01 ТВФ-60-2</x:v>
      </x:c>
      <x:c r="D6" s="16" t="str">
        <x:v>ЗЧ турбогенераторов</x:v>
      </x:c>
      <x:c r="E6" s="16" t="str">
        <x:v>ШТ</x:v>
      </x:c>
      <x:c r="F6" s="25" t="n">
        <x:v>10</x:v>
      </x:c>
      <x:c r="G6" s="17" t="n">
        <x:v>2039.3519999999999</x:v>
      </x:c>
      <x:c r="H6" s="17" t="n">
        <x:f>G6*F6</x:f>
        <x:v>20393.519999999997</x:v>
      </x:c>
      <x:c r="I6" s="26" t="str">
        <x:f>HYPERLINK("https://etp-aktiv.ru/catalog/materialy/zapasnye-chasti-osnovnogo-ehnergeticheskogo-oborudovaniya/2000525598-W113/","Открыть позицию")</x:f>
        <x:v>Открыть позицию</x:v>
      </x:c>
    </x:row>
    <x:row r="7" ht="28" customHeight="1">
      <x:c r="A7" s="16" t="str">
        <x:v>Бийскэнерго</x:v>
      </x:c>
      <x:c r="B7" s="16" t="str">
        <x:v>2000695836-W113</x:v>
      </x:c>
      <x:c r="C7" s="16" t="str">
        <x:v>ПРОКЛАДКА 8БС.156.334 Т/Г ТВФ-100-2</x:v>
      </x:c>
      <x:c r="D7" s="16" t="str">
        <x:v>ЗЧ турбогенераторов</x:v>
      </x:c>
      <x:c r="E7" s="16" t="str">
        <x:v>ШТ</x:v>
      </x:c>
      <x:c r="F7" s="25" t="n">
        <x:v>3</x:v>
      </x:c>
      <x:c r="G7" s="17" t="n">
        <x:v>20532.6</x:v>
      </x:c>
      <x:c r="H7" s="17" t="n">
        <x:f>G7*F7</x:f>
        <x:v>61597.799999999996</x:v>
      </x:c>
      <x:c r="I7" s="26" t="str">
        <x:f>HYPERLINK("https://etp-aktiv.ru/catalog/materialy/zapasnye-chasti-osnovnogo-ehnergeticheskogo-oborudovaniya/2000695836-W113/","Открыть позицию")</x:f>
        <x:v>Открыть позицию</x:v>
      </x:c>
    </x:row>
    <x:row r="8" ht="28" customHeight="1">
      <x:c r="A8" s="16" t="str">
        <x:v>Бийскэнерго</x:v>
      </x:c>
      <x:c r="B8" s="16" t="str">
        <x:v>2000525694-W113</x:v>
      </x:c>
      <x:c r="C8" s="16" t="str">
        <x:v>ПРОКЛАДКА 8БС.371.522-01 ТВВ</x:v>
      </x:c>
      <x:c r="D8" s="16" t="str">
        <x:v>ЗЧ турбогенераторов</x:v>
      </x:c>
      <x:c r="E8" s="16" t="str">
        <x:v>ШТ</x:v>
      </x:c>
      <x:c r="F8" s="25" t="n">
        <x:v>10</x:v>
      </x:c>
      <x:c r="G8" s="17" t="n">
        <x:v>1989.3319999999999</x:v>
      </x:c>
      <x:c r="H8" s="17" t="n">
        <x:f>G8*F8</x:f>
        <x:v>19893.32</x:v>
      </x:c>
      <x:c r="I8" s="26" t="str">
        <x:f>HYPERLINK("https://etp-aktiv.ru/catalog/materialy/zapasnye-chasti-osnovnogo-ehnergeticheskogo-oborudovaniya/2000525694-W113/","Открыть позицию")</x:f>
        <x:v>Открыть позицию</x:v>
      </x:c>
    </x:row>
    <x:row r="9" ht="28" customHeight="1">
      <x:c r="A9" s="16" t="str">
        <x:v>Бийскэнерго</x:v>
      </x:c>
      <x:c r="B9" s="16" t="str">
        <x:v>2000695837-W113</x:v>
      </x:c>
      <x:c r="C9" s="16" t="str">
        <x:v>ПРОКЛАДКА 8БС.760.552-553 Т/Г ТВФ-100-2</x:v>
      </x:c>
      <x:c r="D9" s="16" t="str">
        <x:v>ЗЧ турбогенераторов</x:v>
      </x:c>
      <x:c r="E9" s="16" t="str">
        <x:v>ШТ</x:v>
      </x:c>
      <x:c r="F9" s="25" t="n">
        <x:v>4</x:v>
      </x:c>
      <x:c r="G9" s="17" t="n">
        <x:v>33073.8218</x:v>
      </x:c>
      <x:c r="H9" s="17" t="n">
        <x:f>G9*F9</x:f>
        <x:v>132295.2872</x:v>
      </x:c>
      <x:c r="I9" s="26" t="str">
        <x:f>HYPERLINK("https://etp-aktiv.ru/catalog/materialy/zapasnye-chasti-osnovnogo-ehnergeticheskogo-oborudovaniya/2000695837-W113/","Открыть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2f1c2e8f8810472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Котельно-вспомогательное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2000635387-W111</x:v>
      </x:c>
      <x:c r="C5" s="16" t="str">
        <x:v>ЗВЕЗДОЧКА 41179</x:v>
      </x:c>
      <x:c r="D5" s="16" t="str">
        <x:v>ЗЧ к КВО</x:v>
      </x:c>
      <x:c r="E5" s="16" t="str">
        <x:v>ШТ</x:v>
      </x:c>
      <x:c r="F5" s="25" t="n">
        <x:v>2</x:v>
      </x:c>
      <x:c r="G5" s="17" t="n">
        <x:v>18157.723599999998</x:v>
      </x:c>
      <x:c r="H5" s="17" t="n">
        <x:f>G5*F5</x:f>
        <x:v>36315.447199999995</x:v>
      </x:c>
      <x:c r="I5" s="26" t="str">
        <x:f>HYPERLINK("https://etp-aktiv.ru/catalog/materialy/zapasnye-chasti-osnovnogo-ehnergeticheskogo-oborudovaniya/2000635387-W111/","Открыть позицию")</x:f>
        <x:v>Открыть позицию</x:v>
      </x:c>
    </x:row>
    <x:row r="6" ht="28" customHeight="1">
      <x:c r="A6" s="16" t="str">
        <x:v>Барнаульская ТЭЦ-2</x:v>
      </x:c>
      <x:c r="B6" s="16" t="str">
        <x:v>2000635388-W111</x:v>
      </x:c>
      <x:c r="C6" s="16" t="str">
        <x:v>ЗВЕЗДОЧКА 41180</x:v>
      </x:c>
      <x:c r="D6" s="16" t="str">
        <x:v>ЗЧ к КВО</x:v>
      </x:c>
      <x:c r="E6" s="16" t="str">
        <x:v>ШТ</x:v>
      </x:c>
      <x:c r="F6" s="25" t="n">
        <x:v>2</x:v>
      </x:c>
      <x:c r="G6" s="17" t="n">
        <x:v>17787.1486</x:v>
      </x:c>
      <x:c r="H6" s="17" t="n">
        <x:f>G6*F6</x:f>
        <x:v>35574.2972</x:v>
      </x:c>
      <x:c r="I6" s="26" t="str">
        <x:f>HYPERLINK("https://etp-aktiv.ru/catalog/materialy/zapasnye-chasti-osnovnogo-ehnergeticheskogo-oborudovaniya/2000635388-W111/","Открыть позицию")</x:f>
        <x:v>Открыть позицию</x:v>
      </x:c>
    </x:row>
    <x:row r="7" ht="28" customHeight="1">
      <x:c r="A7" s="16" t="str">
        <x:v>Барнаульская ТЭЦ-2</x:v>
      </x:c>
      <x:c r="B7" s="16" t="str">
        <x:v>2000960547-W111</x:v>
      </x:c>
      <x:c r="C7" s="16" t="str">
        <x:v>КЛАПАН РЕГУЛИРУЮЩИЙ DN1100 23 ПГВУ292-80</x:v>
      </x:c>
      <x:c r="D7" s="16" t="str">
        <x:v>ЗЧ к КВО</x:v>
      </x:c>
      <x:c r="E7" s="16" t="str">
        <x:v>ШТ</x:v>
      </x:c>
      <x:c r="F7" s="25" t="n">
        <x:v>1</x:v>
      </x:c>
      <x:c r="G7" s="17" t="n">
        <x:v>205781.7676</x:v>
      </x:c>
      <x:c r="H7" s="17" t="n">
        <x:f>G7*F7</x:f>
        <x:v>205781.7676</x:v>
      </x:c>
      <x:c r="I7" s="26" t="str">
        <x:f>HYPERLINK("https://etp-aktiv.ru/catalog/materialy/zapasnye-chasti-osnovnogo-ehnergeticheskogo-oborudovaniya/2000960547-W111/","Открыть позицию")</x:f>
        <x:v>Открыть позицию</x:v>
      </x:c>
    </x:row>
    <x:row r="8" ht="28" customHeight="1">
      <x:c r="A8" s="16" t="str">
        <x:v>Барнаульская ТЭЦ-2</x:v>
      </x:c>
      <x:c r="B8" s="16" t="str">
        <x:v>2000635386-W111</x:v>
      </x:c>
      <x:c r="C8" s="16" t="str">
        <x:v>СТОЛ ВЕРХНИЙ 40368</x:v>
      </x:c>
      <x:c r="D8" s="16" t="str">
        <x:v>ЗЧ к КВО</x:v>
      </x:c>
      <x:c r="E8" s="16" t="str">
        <x:v>ШТ</x:v>
      </x:c>
      <x:c r="F8" s="25" t="n">
        <x:v>1</x:v>
      </x:c>
      <x:c r="G8" s="17" t="n">
        <x:v>27793.125</x:v>
      </x:c>
      <x:c r="H8" s="17" t="n">
        <x:f>G8*F8</x:f>
        <x:v>27793.125</x:v>
      </x:c>
      <x:c r="I8" s="26" t="str">
        <x:f>HYPERLINK("https://etp-aktiv.ru/catalog/materialy/zapasnye-chasti-osnovnogo-ehnergeticheskogo-oborudovaniya/2000635386-W111/","Открыть позицию")</x:f>
        <x:v>Открыть позицию</x:v>
      </x:c>
    </x:row>
    <x:row r="9" ht="28" customHeight="1">
      <x:c r="A9" s="16" t="str">
        <x:v>Барнаульская ТЭЦ-2</x:v>
      </x:c>
      <x:c r="B9" s="16" t="str">
        <x:v>2000532348-W111</x:v>
      </x:c>
      <x:c r="C9" s="16" t="str">
        <x:v>ЧЕРВЯК 100-К-630</x:v>
      </x:c>
      <x:c r="D9" s="16" t="str">
        <x:v>ЗЧ к КВО</x:v>
      </x:c>
      <x:c r="E9" s="16" t="str">
        <x:v>ШТ</x:v>
      </x:c>
      <x:c r="F9" s="25" t="n">
        <x:v>4</x:v>
      </x:c>
      <x:c r="G9" s="17" t="n">
        <x:v>9409.067000000001</x:v>
      </x:c>
      <x:c r="H9" s="17" t="n">
        <x:f>G9*F9</x:f>
        <x:v>37636.268000000004</x:v>
      </x:c>
      <x:c r="I9" s="26" t="str">
        <x:f>HYPERLINK("https://etp-aktiv.ru/catalog/materialy/zapasnye-chasti-osnovnogo-ehnergeticheskogo-oborudovaniya/2000532348-W111/","Открыть позицию")</x:f>
        <x:v>Открыть позицию</x:v>
      </x:c>
    </x:row>
    <x:row r="10" ht="28" customHeight="1">
      <x:c r="A10" s="16" t="str">
        <x:v>Барнаульская ТЭЦ-2</x:v>
      </x:c>
      <x:c r="B10" s="16" t="str">
        <x:v>2000532435-W111</x:v>
      </x:c>
      <x:c r="C10" s="16" t="str">
        <x:v>ШТУЦЕР ТАВОТНИЦЫ М10 ЭСКИЗ N801</x:v>
      </x:c>
      <x:c r="D10" s="16" t="str">
        <x:v>ЗЧ к КВО</x:v>
      </x:c>
      <x:c r="E10" s="16" t="str">
        <x:v>ШТ</x:v>
      </x:c>
      <x:c r="F10" s="25" t="n">
        <x:v>10</x:v>
      </x:c>
      <x:c r="G10" s="17" t="n">
        <x:v>343.125</x:v>
      </x:c>
      <x:c r="H10" s="17" t="n">
        <x:f>G10*F10</x:f>
        <x:v>3431.25</x:v>
      </x:c>
      <x:c r="I10" s="26" t="str">
        <x:f>HYPERLINK("https://etp-aktiv.ru/catalog/materialy/zapasnye-chasti-osnovnogo-ehnergeticheskogo-oborudovaniya/2000532435-W111/","Открыть позицию")</x:f>
        <x:v>Открыть позицию</x:v>
      </x:c>
    </x:row>
    <x:row r="11" ht="28" customHeight="1">
      <x:c r="A11" s="16" t="str">
        <x:v>Барнаульская ТЭЦ-2</x:v>
      </x:c>
      <x:c r="B11" s="16" t="str">
        <x:v>2000532436-W111</x:v>
      </x:c>
      <x:c r="C11" s="16" t="str">
        <x:v>ШТУЦЕР ТАВОТНИЦЫ М14 ЭСКИЗ N801</x:v>
      </x:c>
      <x:c r="D11" s="16" t="str">
        <x:v>ЗЧ к КВО</x:v>
      </x:c>
      <x:c r="E11" s="16" t="str">
        <x:v>ШТ</x:v>
      </x:c>
      <x:c r="F11" s="25" t="n">
        <x:v>10</x:v>
      </x:c>
      <x:c r="G11" s="17" t="n">
        <x:v>343.125</x:v>
      </x:c>
      <x:c r="H11" s="17" t="n">
        <x:f>G11*F11</x:f>
        <x:v>3431.25</x:v>
      </x:c>
      <x:c r="I11" s="26" t="str">
        <x:f>HYPERLINK("https://etp-aktiv.ru/catalog/materialy/zapasnye-chasti-osnovnogo-ehnergeticheskogo-oborudovaniya/2000532436-W111/","Открыть позицию")</x:f>
        <x:v>Открыть позицию</x:v>
      </x:c>
    </x:row>
    <x:row r="12" ht="28" customHeight="1">
      <x:c r="A12" s="16" t="str">
        <x:v>Барнаульская ТЭЦ-3</x:v>
      </x:c>
      <x:c r="B12" s="16" t="str">
        <x:v>2000531906-W112</x:v>
      </x:c>
      <x:c r="C12" s="16" t="str">
        <x:v>КЛАПАН DУ400 07 ПГВУ 292-80</x:v>
      </x:c>
      <x:c r="D12" s="16" t="str">
        <x:v>ЗЧ к КВО</x:v>
      </x:c>
      <x:c r="E12" s="16" t="str">
        <x:v>ШТ</x:v>
      </x:c>
      <x:c r="F12" s="25" t="n">
        <x:v>4</x:v>
      </x:c>
      <x:c r="G12" s="17" t="n">
        <x:v>2251.5832</x:v>
      </x:c>
      <x:c r="H12" s="17" t="n">
        <x:f>G12*F12</x:f>
        <x:v>9006.3328</x:v>
      </x:c>
      <x:c r="I12" s="26" t="str">
        <x:f>HYPERLINK("https://etp-aktiv.ru/catalog/materialy/zapasnye-chasti-osnovnogo-ehnergeticheskogo-oborudovaniya/2000531906-W112/","Открыть позицию")</x:f>
        <x:v>Открыть позицию</x:v>
      </x:c>
    </x:row>
    <x:row r="13" ht="28" customHeight="1">
      <x:c r="A13" s="16" t="str">
        <x:v>Барнаульская ТЭЦ-3</x:v>
      </x:c>
      <x:c r="B13" s="16" t="str">
        <x:v>2000531908-W112</x:v>
      </x:c>
      <x:c r="C13" s="16" t="str">
        <x:v>КЛАПАН DУ500 11 ПГВУ 292-80</x:v>
      </x:c>
      <x:c r="D13" s="16" t="str">
        <x:v>ЗЧ к КВО</x:v>
      </x:c>
      <x:c r="E13" s="16" t="str">
        <x:v>ШТ</x:v>
      </x:c>
      <x:c r="F13" s="25" t="n">
        <x:v>1</x:v>
      </x:c>
      <x:c r="G13" s="17" t="n">
        <x:v>1745.4662</x:v>
      </x:c>
      <x:c r="H13" s="17" t="n">
        <x:f>G13*F13</x:f>
        <x:v>1745.4662</x:v>
      </x:c>
      <x:c r="I13" s="26" t="str">
        <x:f>HYPERLINK("https://etp-aktiv.ru/catalog/materialy/zapasnye-chasti-osnovnogo-ehnergeticheskogo-oborudovaniya/2000531908-W112/","Открыть позицию")</x:f>
        <x:v>Открыть позицию</x:v>
      </x:c>
    </x:row>
    <x:row r="14" ht="28" customHeight="1">
      <x:c r="A14" s="16" t="str">
        <x:v>Барнаульская ТЭЦ-3</x:v>
      </x:c>
      <x:c r="B14" s="16" t="str">
        <x:v>2000531905-W112</x:v>
      </x:c>
      <x:c r="C14" s="16" t="str">
        <x:v>КЛАПАН КРУГЛОЕ СЕЧ DУ200 05 ПГВУ 291-80</x:v>
      </x:c>
      <x:c r="D14" s="16" t="str">
        <x:v>ЗЧ к КВО</x:v>
      </x:c>
      <x:c r="E14" s="16" t="str">
        <x:v>ШТ</x:v>
      </x:c>
      <x:c r="F14" s="25" t="n">
        <x:v>5</x:v>
      </x:c>
      <x:c r="G14" s="17" t="n">
        <x:v>2135.4636</x:v>
      </x:c>
      <x:c r="H14" s="17" t="n">
        <x:f>G14*F14</x:f>
        <x:v>10677.318</x:v>
      </x:c>
      <x:c r="I14" s="26" t="str">
        <x:f>HYPERLINK("https://etp-aktiv.ru/catalog/materialy/zapasnye-chasti-osnovnogo-ehnergeticheskogo-oborudovaniya/2000531905-W112/","Открыть позицию")</x:f>
        <x:v>Открыть позицию</x:v>
      </x:c>
    </x:row>
    <x:row r="15" ht="28" customHeight="1">
      <x:c r="A15" s="16" t="str">
        <x:v>Барнаульская ТЭЦ-3</x:v>
      </x:c>
      <x:c r="B15" s="16" t="str">
        <x:v>2000531914-W112</x:v>
      </x:c>
      <x:c r="C15" s="16" t="str">
        <x:v>КЛАПАН КРУГЛЫЙ DУ1200 25 ПГВУ 292-80</x:v>
      </x:c>
      <x:c r="D15" s="16" t="str">
        <x:v>ЗЧ к КВО</x:v>
      </x:c>
      <x:c r="E15" s="16" t="str">
        <x:v>ШТ</x:v>
      </x:c>
      <x:c r="F15" s="25" t="n">
        <x:v>4</x:v>
      </x:c>
      <x:c r="G15" s="17" t="n">
        <x:v>4418.7424</x:v>
      </x:c>
      <x:c r="H15" s="17" t="n">
        <x:f>G15*F15</x:f>
        <x:v>17674.9696</x:v>
      </x:c>
      <x:c r="I15" s="26" t="str">
        <x:f>HYPERLINK("https://etp-aktiv.ru/catalog/materialy/zapasnye-chasti-osnovnogo-ehnergeticheskogo-oborudovaniya/2000531914-W112/","Открыть позицию")</x:f>
        <x:v>Открыть позицию</x:v>
      </x:c>
    </x:row>
    <x:row r="16" ht="28" customHeight="1">
      <x:c r="A16" s="16" t="str">
        <x:v>Барнаульская ТЭЦ-3</x:v>
      </x:c>
      <x:c r="B16" s="16" t="str">
        <x:v>2000789477-W112</x:v>
      </x:c>
      <x:c r="C16" s="16" t="str">
        <x:v>КЛАПАН ПГВУ DN900 ПРАВЫЙ Т621113015Т3-02</x:v>
      </x:c>
      <x:c r="D16" s="16" t="str">
        <x:v>ЗЧ к КВО</x:v>
      </x:c>
      <x:c r="E16" s="16" t="str">
        <x:v>ШТ</x:v>
      </x:c>
      <x:c r="F16" s="25" t="n">
        <x:v>5</x:v>
      </x:c>
      <x:c r="G16" s="17" t="n">
        <x:v>8031.87</x:v>
      </x:c>
      <x:c r="H16" s="17" t="n">
        <x:f>G16*F16</x:f>
        <x:v>40159.35</x:v>
      </x:c>
      <x:c r="I16" s="26" t="str">
        <x:f>HYPERLINK("https://etp-aktiv.ru/catalog/materialy/zapasnye-chasti-osnovnogo-ehnergeticheskogo-oborudovaniya/2000789477-W112/","Открыть позицию")</x:f>
        <x:v>Открыть позицию</x:v>
      </x:c>
    </x:row>
    <x:row r="17" ht="28" customHeight="1">
      <x:c r="A17" s="16" t="str">
        <x:v>БийскэнергоТеплоТранзит</x:v>
      </x:c>
      <x:c r="B17" s="16" t="str">
        <x:v>2000866717-W123</x:v>
      </x:c>
      <x:c r="C17" s="16" t="str">
        <x:v>УПЛОТНЕНИЕ ГОРЕЛОК ФЛАНЦ WE2117060101-7</x:v>
      </x:c>
      <x:c r="D17" s="16" t="str">
        <x:v>ЗЧ к КВО</x:v>
      </x:c>
      <x:c r="E17" s="16" t="str">
        <x:v>ШТ</x:v>
      </x:c>
      <x:c r="F17" s="25" t="n">
        <x:v>7</x:v>
      </x:c>
      <x:c r="G17" s="17" t="n">
        <x:v>11459.2526</x:v>
      </x:c>
      <x:c r="H17" s="17" t="n">
        <x:f>G17*F17</x:f>
        <x:v>80214.76819999999</x:v>
      </x:c>
      <x:c r="I17" s="26" t="str">
        <x:f>HYPERLINK("https://etp-aktiv.ru/catalog/materialy/zapasnye-chasti-osnovnogo-ehnergeticheskogo-oborudovaniya/2000866717-W123/","Открыть позицию")</x:f>
        <x:v>Открыть позицию</x:v>
      </x:c>
    </x:row>
    <x:row r="18" ht="28" customHeight="1">
      <x:c r="A18" s="16" t="str">
        <x:v>БийскэнергоТеплоТранзит</x:v>
      </x:c>
      <x:c r="B18" s="16" t="str">
        <x:v>2001078451-W123</x:v>
      </x:c>
      <x:c r="C18" s="16" t="str">
        <x:v>ШНЕК ДУО800-6-60-89-95-2610</x:v>
      </x:c>
      <x:c r="D18" s="16" t="str">
        <x:v>ЗЧ котлов</x:v>
      </x:c>
      <x:c r="E18" s="16" t="str">
        <x:v>ШТ</x:v>
      </x:c>
      <x:c r="F18" s="25" t="n">
        <x:v>2</x:v>
      </x:c>
      <x:c r="G18" s="17" t="n">
        <x:v>24018.75</x:v>
      </x:c>
      <x:c r="H18" s="17" t="n">
        <x:f>G18*F18</x:f>
        <x:v>48037.5</x:v>
      </x:c>
      <x:c r="I18" s="26" t="str">
        <x:f>HYPERLINK("https://etp-aktiv.ru/catalog/materialy/zapasnye-chasti-osnovnogo-ehnergeticheskogo-oborudovaniya/2001078451-W123/","Открыть позицию")</x:f>
        <x:v>Открыть позицию</x:v>
      </x:c>
    </x:row>
    <x:row r="19" ht="28" customHeight="1">
      <x:c r="A19" s="16" t="str">
        <x:v>Рубцовский ТЭК</x:v>
      </x:c>
      <x:c r="B19" s="16" t="str">
        <x:v>5000056335-W122</x:v>
      </x:c>
      <x:c r="C19" s="16" t="str">
        <x:v>АППАРАТ ОБДУВКИ ОГ 3100ММ</x:v>
      </x:c>
      <x:c r="D19" s="16" t="str">
        <x:v>КВО</x:v>
      </x:c>
      <x:c r="E19" s="16" t="str">
        <x:v>ШТ</x:v>
      </x:c>
      <x:c r="F19" s="25" t="n">
        <x:v>4</x:v>
      </x:c>
      <x:c r="G19" s="17" t="n">
        <x:v>126006.358</x:v>
      </x:c>
      <x:c r="H19" s="17" t="n">
        <x:f>G19*F19</x:f>
        <x:v>504025.432</x:v>
      </x:c>
      <x:c r="I19" s="26" t="str">
        <x:f>HYPERLINK("https://etp-aktiv.ru/catalog/materialy/zapasnye-chasti-osnovnogo-ehnergeticheskogo-oborudovaniya/5000056335-W122/","Открыть позицию")</x:f>
        <x:v>Открыть позицию</x:v>
      </x:c>
    </x:row>
    <x:row r="20" ht="28" customHeight="1">
      <x:c r="A20" s="16" t="str">
        <x:v>Рубцовский ТЭК</x:v>
      </x:c>
      <x:c r="B20" s="16" t="str">
        <x:v>5000095647-W122</x:v>
      </x:c>
      <x:c r="C20" s="16" t="str">
        <x:v>ВОДОНАГРЕВАТЕЛЬ РБ4000К-0-14 У 0,6МПА</x:v>
      </x:c>
      <x:c r="D20" s="16" t="str">
        <x:v>Э/нагревОтопит агрег</x:v>
      </x:c>
      <x:c r="E20" s="16" t="str">
        <x:v>ШТ</x:v>
      </x:c>
      <x:c r="F20" s="25" t="n">
        <x:v>1</x:v>
      </x:c>
      <x:c r="G20" s="17" t="n">
        <x:v>434625</x:v>
      </x:c>
      <x:c r="H20" s="17" t="n">
        <x:f>G20*F20</x:f>
        <x:v>434625</x:v>
      </x:c>
      <x:c r="I20" s="26" t="str">
        <x:f>HYPERLINK("https://etp-aktiv.ru/catalog/materialy/prochie-materialy/5000095647-W122/","Открыть позицию")</x:f>
        <x:v>Открыть позицию</x:v>
      </x:c>
    </x:row>
    <x:row r="21" ht="28" customHeight="1">
      <x:c r="A21" s="16" t="str">
        <x:v>Рубцовский ТЭК</x:v>
      </x:c>
      <x:c r="B21" s="16" t="str">
        <x:v>2000006383-W122</x:v>
      </x:c>
      <x:c r="C21" s="16" t="str">
        <x:v>ДЕРЖАТЕЛЬ ТЧЗМ2,7-6,5 00.7003.005</x:v>
      </x:c>
      <x:c r="D21" s="16" t="str">
        <x:v>ЗЧ к КВО</x:v>
      </x:c>
      <x:c r="E21" s="16" t="str">
        <x:v>ШТ</x:v>
      </x:c>
      <x:c r="F21" s="25" t="n">
        <x:v>2</x:v>
      </x:c>
      <x:c r="G21" s="17" t="n">
        <x:v>234.545</x:v>
      </x:c>
      <x:c r="H21" s="17" t="n">
        <x:f>G21*F21</x:f>
        <x:v>469.09</x:v>
      </x:c>
      <x:c r="I21" s="26" t="str">
        <x:f>HYPERLINK("https://etp-aktiv.ru/catalog/materialy/zapasnye-chasti-osnovnogo-ehnergeticheskogo-oborudovaniya/2000006383-W122/","Открыть позицию")</x:f>
        <x:v>Открыть позицию</x:v>
      </x:c>
    </x:row>
    <x:row r="22" ht="28" customHeight="1">
      <x:c r="A22" s="16" t="str">
        <x:v>Рубцовский ТЭК</x:v>
      </x:c>
      <x:c r="B22" s="16" t="str">
        <x:v>2000553599-W122</x:v>
      </x:c>
      <x:c r="C22" s="16" t="str">
        <x:v>КЛАПАН КПГ-250 (ПРЕДОХРАНИТЕЛЬН ГИДРАВЛ)</x:v>
      </x:c>
      <x:c r="D22" s="16" t="str">
        <x:v>Комп и запчаст д/ХВО</x:v>
      </x:c>
      <x:c r="E22" s="16" t="str">
        <x:v>ШТ</x:v>
      </x:c>
      <x:c r="F22" s="25" t="n">
        <x:v>2</x:v>
      </x:c>
      <x:c r="G22" s="17" t="n">
        <x:v>17167.0226</x:v>
      </x:c>
      <x:c r="H22" s="17" t="n">
        <x:f>G22*F22</x:f>
        <x:v>34334.0452</x:v>
      </x:c>
      <x:c r="I22" s="26" t="str">
        <x:f>HYPERLINK("https://etp-aktiv.ru/catalog/materialy/zapasnye-chasti-promyshlennogo-oborudovaniya/2000553599-W122/","Открыть позицию")</x:f>
        <x:v>Открыть позицию</x:v>
      </x:c>
    </x:row>
    <x:row r="23" ht="28" customHeight="1">
      <x:c r="A23" s="16" t="str">
        <x:v>Рубцовский ТЭК</x:v>
      </x:c>
      <x:c r="B23" s="16" t="str">
        <x:v>2000553602-W122</x:v>
      </x:c>
      <x:c r="C23" s="16" t="str">
        <x:v>КЛАПАН РЕЗЕРВУАРОВ НДКМ-250</x:v>
      </x:c>
      <x:c r="D23" s="16" t="str">
        <x:v>Комп и запчаст д/ХВО</x:v>
      </x:c>
      <x:c r="E23" s="16" t="str">
        <x:v>ШТ</x:v>
      </x:c>
      <x:c r="F23" s="25" t="n">
        <x:v>2</x:v>
      </x:c>
      <x:c r="G23" s="17" t="n">
        <x:v>7284.3638</x:v>
      </x:c>
      <x:c r="H23" s="17" t="n">
        <x:f>G23*F23</x:f>
        <x:v>14568.7276</x:v>
      </x:c>
      <x:c r="I23" s="26" t="str">
        <x:f>HYPERLINK("https://etp-aktiv.ru/catalog/materialy/zapasnye-chasti-promyshlennogo-oborudovaniya/2000553602-W122/","Открыть позицию")</x:f>
        <x:v>Открыть позицию</x:v>
      </x:c>
    </x:row>
    <x:row r="24" ht="28" customHeight="1">
      <x:c r="A24" s="16" t="str">
        <x:v>Рубцовский ТЭК</x:v>
      </x:c>
      <x:c r="B24" s="16" t="str">
        <x:v>2000553600-W122</x:v>
      </x:c>
      <x:c r="C24" s="16" t="str">
        <x:v>КРАН СИФОННЫЙ КС-80 У1</x:v>
      </x:c>
      <x:c r="D24" s="16" t="str">
        <x:v>Комп и запчаст д/ХВО</x:v>
      </x:c>
      <x:c r="E24" s="16" t="str">
        <x:v>ШТ</x:v>
      </x:c>
      <x:c r="F24" s="25" t="n">
        <x:v>4</x:v>
      </x:c>
      <x:c r="G24" s="17" t="n">
        <x:v>3675.8844</x:v>
      </x:c>
      <x:c r="H24" s="17" t="n">
        <x:f>G24*F24</x:f>
        <x:v>14703.5376</x:v>
      </x:c>
      <x:c r="I24" s="26" t="str">
        <x:f>HYPERLINK("https://etp-aktiv.ru/catalog/materialy/zapasnye-chasti-promyshlennogo-oborudovaniya/2000553600-W122/","Открыть позицию")</x:f>
        <x:v>Открыть позицию</x:v>
      </x:c>
    </x:row>
    <x:row r="25" ht="28" customHeight="1">
      <x:c r="A25" s="16" t="str">
        <x:v>Рубцовский ТЭК</x:v>
      </x:c>
      <x:c r="B25" s="16" t="str">
        <x:v>2000013386-W122</x:v>
      </x:c>
      <x:c r="C25" s="16" t="str">
        <x:v>РОТОР ЗАБРАС ЗП 600 Т 67.19.000 М2 СБ</x:v>
      </x:c>
      <x:c r="D25" s="16" t="str">
        <x:v>ЗЧ к КВО</x:v>
      </x:c>
      <x:c r="E25" s="16" t="str">
        <x:v>ШТ</x:v>
      </x:c>
      <x:c r="F25" s="25" t="n">
        <x:v>2</x:v>
      </x:c>
      <x:c r="G25" s="17" t="n">
        <x:v>24965.774999999998</x:v>
      </x:c>
      <x:c r="H25" s="17" t="n">
        <x:f>G25*F25</x:f>
        <x:v>49931.549999999996</x:v>
      </x:c>
      <x:c r="I25" s="26" t="str">
        <x:f>HYPERLINK("https://etp-aktiv.ru/catalog/materialy/zapasnye-chasti-osnovnogo-ehnergeticheskogo-oborudovaniya/2000013386-W122/","Открыть позицию")</x:f>
        <x:v>Открыть позицию</x:v>
      </x:c>
    </x:row>
    <x:row r="26" ht="28" customHeight="1">
      <x:c r="A26" s="16" t="str">
        <x:v>Рубцовский ТЭК</x:v>
      </x:c>
      <x:c r="B26" s="16" t="str">
        <x:v>2000590712-W122</x:v>
      </x:c>
      <x:c r="C26" s="16" t="str">
        <x:v>СТЕКЛО КЛИНГЕРА N8 320*34*17</x:v>
      </x:c>
      <x:c r="D26" s="16" t="str">
        <x:v>ЗЧ котлов</x:v>
      </x:c>
      <x:c r="E26" s="16" t="str">
        <x:v>ШТ</x:v>
      </x:c>
      <x:c r="F26" s="25" t="n">
        <x:v>157</x:v>
      </x:c>
      <x:c r="G26" s="17" t="n">
        <x:v>1952</x:v>
      </x:c>
      <x:c r="H26" s="17" t="n">
        <x:f>G26*F26</x:f>
        <x:v>306464</x:v>
      </x:c>
      <x:c r="I26" s="26" t="str">
        <x:f>HYPERLINK("https://etp-aktiv.ru/catalog/materialy/zapasnye-chasti-osnovnogo-ehnergeticheskogo-oborudovaniya/2000590712-W122/","Открыть позицию")</x:f>
        <x:v>Открыть позицию</x:v>
      </x:c>
    </x:row>
    <x:row r="27" ht="28" customHeight="1">
      <x:c r="A27" s="16" t="str">
        <x:v>Рубцовский ТЭК</x:v>
      </x:c>
      <x:c r="B27" s="16" t="str">
        <x:v>2000531883-W122</x:v>
      </x:c>
      <x:c r="C27" s="16" t="str">
        <x:v>УСТРОЙСТВО ЗЗУ-700ММ ТУ3113-008-97469175</x:v>
      </x:c>
      <x:c r="D27" s="16" t="str">
        <x:v>ЗЧ к КВО</x:v>
      </x:c>
      <x:c r="E27" s="16" t="str">
        <x:v>ШТ</x:v>
      </x:c>
      <x:c r="F27" s="25" t="n">
        <x:v>3</x:v>
      </x:c>
      <x:c r="G27" s="17" t="n">
        <x:v>8154.6874</x:v>
      </x:c>
      <x:c r="H27" s="17" t="n">
        <x:f>G27*F27</x:f>
        <x:v>24464.0622</x:v>
      </x:c>
      <x:c r="I27" s="26" t="str">
        <x:f>HYPERLINK("https://etp-aktiv.ru/catalog/materialy/zapasnye-chasti-osnovnogo-ehnergeticheskogo-oborudovaniya/2000531883-W122/","Открыть позицию")</x:f>
        <x:v>Открыть позицию</x:v>
      </x:c>
    </x:row>
    <x:row r="28" ht="28" customHeight="1">
      <x:c r="A28" s="16" t="str">
        <x:v>Рубцовский ТЭК</x:v>
      </x:c>
      <x:c r="B28" s="16" t="str">
        <x:v>2000531896-W122</x:v>
      </x:c>
      <x:c r="C28" s="16" t="str">
        <x:v>ФОРСУНКА КОТЕЛ КВГМ 100 ФМР-3800</x:v>
      </x:c>
      <x:c r="D28" s="16" t="str">
        <x:v>ЗЧ к КВО</x:v>
      </x:c>
      <x:c r="E28" s="16" t="str">
        <x:v>ШТ</x:v>
      </x:c>
      <x:c r="F28" s="25" t="n">
        <x:v>3</x:v>
      </x:c>
      <x:c r="G28" s="17" t="n">
        <x:v>134455.2484</x:v>
      </x:c>
      <x:c r="H28" s="17" t="n">
        <x:f>G28*F28</x:f>
        <x:v>403365.7452</x:v>
      </x:c>
      <x:c r="I28" s="26" t="str">
        <x:f>HYPERLINK("https://etp-aktiv.ru/catalog/materialy/zapasnye-chasti-osnovnogo-ehnergeticheskogo-oborudovaniya/2000531896-W122/","Открыть позицию")</x:f>
        <x:v>Открыть позицию</x:v>
      </x:c>
    </x:row>
    <x:row r="29" ht="28" customHeight="1">
      <x:c r="A29" s="16" t="str">
        <x:v>Рубцовский ТЭК</x:v>
      </x:c>
      <x:c r="B29" s="16" t="str">
        <x:v>2000158808-W122</x:v>
      </x:c>
      <x:c r="C29" s="16" t="str">
        <x:v>ЦЕПЬ ПР-19,05-3180</x:v>
      </x:c>
      <x:c r="D29" s="16" t="str">
        <x:v>ЗЧ к КВО</x:v>
      </x:c>
      <x:c r="E29" s="16" t="str">
        <x:v>М</x:v>
      </x:c>
      <x:c r="F29" s="24" t="n">
        <x:v>12.637</x:v>
      </x:c>
      <x:c r="G29" s="17" t="n">
        <x:v>637.7306</x:v>
      </x:c>
      <x:c r="H29" s="17" t="n">
        <x:f>G29*F29</x:f>
        <x:v>8059.0015922</x:v>
      </x:c>
      <x:c r="I29" s="26" t="str">
        <x:f>HYPERLINK("https://etp-aktiv.ru/catalog/materialy/zapasnye-chasti-osnovnogo-ehnergeticheskogo-oborudovaniya/2000158808-W122/","Открыть позицию")</x:f>
        <x:v>Открыть позицию</x:v>
      </x:c>
    </x:row>
    <x:row r="30" ht="28" customHeight="1">
      <x:c r="A30" s="16" t="str">
        <x:v>Рубцовский ТЭК</x:v>
      </x:c>
      <x:c r="B30" s="16" t="str">
        <x:v>2000531898-W122</x:v>
      </x:c>
      <x:c r="C30" s="16" t="str">
        <x:v>ЧАСТЬ ГОРЕЛКИ ГАЗОВОЗДУШНАЯ РГМГ-30 Л</x:v>
      </x:c>
      <x:c r="D30" s="16" t="str">
        <x:v>ЗЧ к КВО</x:v>
      </x:c>
      <x:c r="E30" s="16" t="str">
        <x:v>ШТ</x:v>
      </x:c>
      <x:c r="F30" s="25" t="n">
        <x:v>3</x:v>
      </x:c>
      <x:c r="G30" s="17" t="n">
        <x:v>74844.5478</x:v>
      </x:c>
      <x:c r="H30" s="17" t="n">
        <x:f>G30*F30</x:f>
        <x:v>224533.6434</x:v>
      </x:c>
      <x:c r="I30" s="26" t="str">
        <x:f>HYPERLINK("https://etp-aktiv.ru/catalog/materialy/zapasnye-chasti-osnovnogo-ehnergeticheskogo-oborudovaniya/2000531898-W122/","Открыть позицию")</x:f>
        <x:v>Открыть позицию</x:v>
      </x:c>
    </x:row>
    <x:row r="31" ht="28" customHeight="1">
      <x:c r="A31" s="16" t="str">
        <x:v>Филиал БТСК</x:v>
      </x:c>
      <x:c r="B31" s="16" t="str">
        <x:v>2000488439-W121</x:v>
      </x:c>
      <x:c r="C31" s="16" t="str">
        <x:v>УПЛОТНЕНИЕ EPDM(P) CLIP-ON 00-00015863</x:v>
      </x:c>
      <x:c r="D31" s="16" t="str">
        <x:v>ЗЧ к КВО</x:v>
      </x:c>
      <x:c r="E31" s="16" t="str">
        <x:v>ШТ</x:v>
      </x:c>
      <x:c r="F31" s="25" t="n">
        <x:v>136</x:v>
      </x:c>
      <x:c r="G31" s="17" t="n">
        <x:v>61.854</x:v>
      </x:c>
      <x:c r="H31" s="17" t="n">
        <x:f>G31*F31</x:f>
        <x:v>8412.144</x:v>
      </x:c>
      <x:c r="I31" s="26" t="str">
        <x:f>HYPERLINK("https://etp-aktiv.ru/catalog/materialy/zapasnye-chasti-osnovnogo-ehnergeticheskogo-oborudovaniya/2000488439-W121/","Открыть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e80200e02e15403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Турбинное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2000908656-W111</x:v>
      </x:c>
      <x:c r="C5" s="16" t="str">
        <x:v>ГРУЗ МТ-160707 Т-65-130-2М 31506 2012УТЗ</x:v>
      </x:c>
      <x:c r="D5" s="16" t="str">
        <x:v>ЗЧ турбин</x:v>
      </x:c>
      <x:c r="E5" s="16" t="str">
        <x:v>ШТ</x:v>
      </x:c>
      <x:c r="F5" s="25" t="n">
        <x:v>1</x:v>
      </x:c>
      <x:c r="G5" s="17" t="n">
        <x:v>13725</x:v>
      </x:c>
      <x:c r="H5" s="17" t="n">
        <x:f>G5*F5</x:f>
        <x:v>13725</x:v>
      </x:c>
      <x:c r="I5" s="26" t="str">
        <x:f>HYPERLINK("https://etp-aktiv.ru/catalog/materialy/zapasnye-chasti-osnovnogo-ehnergeticheskogo-oborudovaniya/2000908656-W111/","Открыть позицию")</x:f>
        <x:v>Открыть позицию</x:v>
      </x:c>
    </x:row>
    <x:row r="6" ht="28" customHeight="1">
      <x:c r="A6" s="16" t="str">
        <x:v>Барнаульская ТЭЦ-2</x:v>
      </x:c>
      <x:c r="B6" s="16" t="str">
        <x:v>2000908657-W111</x:v>
      </x:c>
      <x:c r="C6" s="16" t="str">
        <x:v>ГРУЗ МТ-160708 Т-65-130-2М 31506 2012УТЗ</x:v>
      </x:c>
      <x:c r="D6" s="16" t="str">
        <x:v>ЗЧ турбин</x:v>
      </x:c>
      <x:c r="E6" s="16" t="str">
        <x:v>ШТ</x:v>
      </x:c>
      <x:c r="F6" s="25" t="n">
        <x:v>1</x:v>
      </x:c>
      <x:c r="G6" s="17" t="n">
        <x:v>13725</x:v>
      </x:c>
      <x:c r="H6" s="17" t="n">
        <x:f>G6*F6</x:f>
        <x:v>13725</x:v>
      </x:c>
      <x:c r="I6" s="26" t="str">
        <x:f>HYPERLINK("https://etp-aktiv.ru/catalog/materialy/zapasnye-chasti-osnovnogo-ehnergeticheskogo-oborudovaniya/2000908657-W111/","Открыть позицию")</x:f>
        <x:v>Открыть позицию</x:v>
      </x:c>
    </x:row>
    <x:row r="7" ht="28" customHeight="1">
      <x:c r="A7" s="16" t="str">
        <x:v>Барнаульская ТЭЦ-2</x:v>
      </x:c>
      <x:c r="B7" s="16" t="str">
        <x:v>2000908661-W111</x:v>
      </x:c>
      <x:c r="C7" s="16" t="str">
        <x:v>ГРУЗ МТ-190011 Т65-130-2М 31506 2012 УТЗ</x:v>
      </x:c>
      <x:c r="D7" s="16" t="str">
        <x:v>ЗЧ турбин</x:v>
      </x:c>
      <x:c r="E7" s="16" t="str">
        <x:v>ШТ</x:v>
      </x:c>
      <x:c r="F7" s="25" t="n">
        <x:v>1</x:v>
      </x:c>
      <x:c r="G7" s="17" t="n">
        <x:v>12352.5</x:v>
      </x:c>
      <x:c r="H7" s="17" t="n">
        <x:f>G7*F7</x:f>
        <x:v>12352.5</x:v>
      </x:c>
      <x:c r="I7" s="26" t="str">
        <x:f>HYPERLINK("https://etp-aktiv.ru/catalog/materialy/zapasnye-chasti-osnovnogo-ehnergeticheskogo-oborudovaniya/2000908661-W111/","Открыть позицию")</x:f>
        <x:v>Открыть позицию</x:v>
      </x:c>
    </x:row>
    <x:row r="8" ht="28" customHeight="1">
      <x:c r="A8" s="16" t="str">
        <x:v>Барнаульская ТЭЦ-2</x:v>
      </x:c>
      <x:c r="B8" s="16" t="str">
        <x:v>2000908662-W111</x:v>
      </x:c>
      <x:c r="C8" s="16" t="str">
        <x:v>ГРУЗ МТ-190012 Т65-130-2М 31506 2012 УТЗ</x:v>
      </x:c>
      <x:c r="D8" s="16" t="str">
        <x:v>ЗЧ турбин</x:v>
      </x:c>
      <x:c r="E8" s="16" t="str">
        <x:v>ШТ</x:v>
      </x:c>
      <x:c r="F8" s="25" t="n">
        <x:v>1</x:v>
      </x:c>
      <x:c r="G8" s="17" t="n">
        <x:v>12352.5</x:v>
      </x:c>
      <x:c r="H8" s="17" t="n">
        <x:f>G8*F8</x:f>
        <x:v>12352.5</x:v>
      </x:c>
      <x:c r="I8" s="26" t="str">
        <x:f>HYPERLINK("https://etp-aktiv.ru/catalog/materialy/zapasnye-chasti-osnovnogo-ehnergeticheskogo-oborudovaniya/2000908662-W111/","Открыть позицию")</x:f>
        <x:v>Открыть позицию</x:v>
      </x:c>
    </x:row>
    <x:row r="9" ht="28" customHeight="1">
      <x:c r="A9" s="16" t="str">
        <x:v>Барнаульская ТЭЦ-2</x:v>
      </x:c>
      <x:c r="B9" s="16" t="str">
        <x:v>2000598038-W111</x:v>
      </x:c>
      <x:c r="C9" s="16" t="str">
        <x:v>КОЛЬЦО Д-1089740 ПТ-60-130 694 1960 ЛМЗ</x:v>
      </x:c>
      <x:c r="D9" s="16" t="str">
        <x:v>ЗЧ турбин</x:v>
      </x:c>
      <x:c r="E9" s="16" t="str">
        <x:v>ШТ</x:v>
      </x:c>
      <x:c r="F9" s="25" t="n">
        <x:v>4</x:v>
      </x:c>
      <x:c r="G9" s="17" t="n">
        <x:v>10099.648</x:v>
      </x:c>
      <x:c r="H9" s="17" t="n">
        <x:f>G9*F9</x:f>
        <x:v>40398.592</x:v>
      </x:c>
      <x:c r="I9" s="26" t="str">
        <x:f>HYPERLINK("https://etp-aktiv.ru/catalog/materialy/zapasnye-chasti-osnovnogo-ehnergeticheskogo-oborudovaniya/2000598038-W111/","Открыть позицию")</x:f>
        <x:v>Открыть позицию</x:v>
      </x:c>
    </x:row>
    <x:row r="10" ht="28" customHeight="1">
      <x:c r="A10" s="16" t="str">
        <x:v>Барнаульская ТЭЦ-2</x:v>
      </x:c>
      <x:c r="B10" s="16" t="str">
        <x:v>2000525433-W111</x:v>
      </x:c>
      <x:c r="C10" s="16" t="str">
        <x:v>КОЛЬЦО СТ-157926 Т100-130 26591 1974УТМЗ</x:v>
      </x:c>
      <x:c r="D10" s="16" t="str">
        <x:v>ЗЧ турбин</x:v>
      </x:c>
      <x:c r="E10" s="16" t="str">
        <x:v>ШТ</x:v>
      </x:c>
      <x:c r="F10" s="25" t="n">
        <x:v>1</x:v>
      </x:c>
      <x:c r="G10" s="17" t="n">
        <x:v>62220</x:v>
      </x:c>
      <x:c r="H10" s="17" t="n">
        <x:f>G10*F10</x:f>
        <x:v>62220</x:v>
      </x:c>
      <x:c r="I10" s="26" t="str">
        <x:f>HYPERLINK("https://etp-aktiv.ru/catalog/materialy/zapasnye-chasti-osnovnogo-ehnergeticheskogo-oborudovaniya/2000525433-W111/","Открыть позицию")</x:f>
        <x:v>Открыть позицию</x:v>
      </x:c>
    </x:row>
    <x:row r="11" ht="28" customHeight="1">
      <x:c r="A11" s="16" t="str">
        <x:v>Барнаульская ТЭЦ-2</x:v>
      </x:c>
      <x:c r="B11" s="16" t="str">
        <x:v>2000590293-W111</x:v>
      </x:c>
      <x:c r="C11" s="16" t="str">
        <x:v>ПРУЖИНА 1158390 Т-180/210- 1919 1987 ЛМЗ</x:v>
      </x:c>
      <x:c r="D11" s="16" t="str">
        <x:v>ЗЧ турбин</x:v>
      </x:c>
      <x:c r="E11" s="16" t="str">
        <x:v>ШТ</x:v>
      </x:c>
      <x:c r="F11" s="25" t="n">
        <x:v>1</x:v>
      </x:c>
      <x:c r="G11" s="17" t="n">
        <x:v>2620.9138</x:v>
      </x:c>
      <x:c r="H11" s="17" t="n">
        <x:f>G11*F11</x:f>
        <x:v>2620.9138</x:v>
      </x:c>
      <x:c r="I11" s="26" t="str">
        <x:f>HYPERLINK("https://etp-aktiv.ru/catalog/materialy/zapasnye-chasti-osnovnogo-ehnergeticheskogo-oborudovaniya/2000590293-W111/","Открыть позицию")</x:f>
        <x:v>Открыть позицию</x:v>
      </x:c>
    </x:row>
    <x:row r="12" ht="28" customHeight="1">
      <x:c r="A12" s="16" t="str">
        <x:v>Барнаульская ТЭЦ-2</x:v>
      </x:c>
      <x:c r="B12" s="16" t="str">
        <x:v>2000251268-W111</x:v>
      </x:c>
      <x:c r="C12" s="16" t="str">
        <x:v>ПРУЖИНА Д-1022381 Т-30-90 5506 1955 БВЗ</x:v>
      </x:c>
      <x:c r="D12" s="16" t="str">
        <x:v>ЗЧ турбин</x:v>
      </x:c>
      <x:c r="E12" s="16" t="str">
        <x:v>ШТ</x:v>
      </x:c>
      <x:c r="F12" s="25" t="n">
        <x:v>96</x:v>
      </x:c>
      <x:c r="G12" s="17" t="n">
        <x:v>163.48</x:v>
      </x:c>
      <x:c r="H12" s="17" t="n">
        <x:f>G12*F12</x:f>
        <x:v>15694.079999999998</x:v>
      </x:c>
      <x:c r="I12" s="26" t="str">
        <x:f>HYPERLINK("https://etp-aktiv.ru/catalog/materialy/zapasnye-chasti-osnovnogo-ehnergeticheskogo-oborudovaniya/2000251268-W111/","Открыть позицию")</x:f>
        <x:v>Открыть позицию</x:v>
      </x:c>
    </x:row>
    <x:row r="13" ht="28" customHeight="1">
      <x:c r="A13" s="16" t="str">
        <x:v>Барнаульская ТЭЦ-2</x:v>
      </x:c>
      <x:c r="B13" s="16" t="str">
        <x:v>2000590374-W111</x:v>
      </x:c>
      <x:c r="C13" s="16" t="str">
        <x:v>ПРУЖИНА СЖАТИЯ 1129456 Т200 1903 1985ЛМЗ</x:v>
      </x:c>
      <x:c r="D13" s="16" t="str">
        <x:v>ЗЧ турбин</x:v>
      </x:c>
      <x:c r="E13" s="16" t="str">
        <x:v>ШТ</x:v>
      </x:c>
      <x:c r="F13" s="25" t="n">
        <x:v>1</x:v>
      </x:c>
      <x:c r="G13" s="17" t="n">
        <x:v>3740.4712</x:v>
      </x:c>
      <x:c r="H13" s="17" t="n">
        <x:f>G13*F13</x:f>
        <x:v>3740.4712</x:v>
      </x:c>
      <x:c r="I13" s="26" t="str">
        <x:f>HYPERLINK("https://etp-aktiv.ru/catalog/materialy/zapasnye-chasti-osnovnogo-ehnergeticheskogo-oborudovaniya/2000590374-W111/","Открыть позицию")</x:f>
        <x:v>Открыть позицию</x:v>
      </x:c>
    </x:row>
    <x:row r="14" ht="28" customHeight="1">
      <x:c r="A14" s="16" t="str">
        <x:v>Барнаульская ТЭЦ-2</x:v>
      </x:c>
      <x:c r="B14" s="16" t="str">
        <x:v>2000872828-W111</x:v>
      </x:c>
      <x:c r="C14" s="16" t="str">
        <x:v>ШАЙБА МТ-116308 Т-65-130 31505 2012 УТЗ</x:v>
      </x:c>
      <x:c r="D14" s="16" t="str">
        <x:v>ЗЧ турбин</x:v>
      </x:c>
      <x:c r="E14" s="16" t="str">
        <x:v>ШТ</x:v>
      </x:c>
      <x:c r="F14" s="25" t="n">
        <x:v>10</x:v>
      </x:c>
      <x:c r="G14" s="17" t="n">
        <x:v>2379.915</x:v>
      </x:c>
      <x:c r="H14" s="17" t="n">
        <x:f>G14*F14</x:f>
        <x:v>23799.15</x:v>
      </x:c>
      <x:c r="I14" s="26" t="str">
        <x:f>HYPERLINK("https://etp-aktiv.ru/catalog/materialy/zapasnye-chasti-osnovnogo-ehnergeticheskogo-oborudovaniya/2000872828-W111/","Открыть позицию")</x:f>
        <x:v>Открыть позицию</x:v>
      </x:c>
    </x:row>
    <x:row r="15" ht="28" customHeight="1">
      <x:c r="A15" s="16" t="str">
        <x:v>Барнаульская ТЭЦ-2</x:v>
      </x:c>
      <x:c r="B15" s="16" t="str">
        <x:v>2000818555-W111</x:v>
      </x:c>
      <x:c r="C15" s="16" t="str">
        <x:v>ШАЙБА МТ-139410 Т65-130 31505 2012 УТЗ</x:v>
      </x:c>
      <x:c r="D15" s="16" t="str">
        <x:v>ЗЧ турбин</x:v>
      </x:c>
      <x:c r="E15" s="16" t="str">
        <x:v>ШТ</x:v>
      </x:c>
      <x:c r="F15" s="25" t="n">
        <x:v>4</x:v>
      </x:c>
      <x:c r="G15" s="17" t="n">
        <x:v>480.375</x:v>
      </x:c>
      <x:c r="H15" s="17" t="n">
        <x:f>G15*F15</x:f>
        <x:v>1921.5</x:v>
      </x:c>
      <x:c r="I15" s="26" t="str">
        <x:f>HYPERLINK("https://etp-aktiv.ru/catalog/materialy/zapasnye-chasti-osnovnogo-ehnergeticheskogo-oborudovaniya/2000818555-W111/","Открыть позицию")</x:f>
        <x:v>Открыть позицию</x:v>
      </x:c>
    </x:row>
    <x:row r="16" ht="28" customHeight="1">
      <x:c r="A16" s="16" t="str">
        <x:v>Барнаульская ТЭЦ-2</x:v>
      </x:c>
      <x:c r="B16" s="16" t="str">
        <x:v>2000590231-W111</x:v>
      </x:c>
      <x:c r="C16" s="16" t="str">
        <x:v>ШПИЛЬКА СТ-158430 ПТ50 23524 1972 УТМЗ</x:v>
      </x:c>
      <x:c r="D16" s="16" t="str">
        <x:v>ЗЧ турбин</x:v>
      </x:c>
      <x:c r="E16" s="16" t="str">
        <x:v>ШТ</x:v>
      </x:c>
      <x:c r="F16" s="25" t="n">
        <x:v>1</x:v>
      </x:c>
      <x:c r="G16" s="17" t="n">
        <x:v>15440.625</x:v>
      </x:c>
      <x:c r="H16" s="17" t="n">
        <x:f>G16*F16</x:f>
        <x:v>15440.625</x:v>
      </x:c>
      <x:c r="I16" s="26" t="str">
        <x:f>HYPERLINK("https://etp-aktiv.ru/catalog/materialy/zapasnye-chasti-osnovnogo-ehnergeticheskogo-oborudovaniya/2000590231-W111/","Открыть позицию")</x:f>
        <x:v>Открыть позицию</x:v>
      </x:c>
    </x:row>
    <x:row r="17" ht="28" customHeight="1">
      <x:c r="A17" s="16" t="str">
        <x:v>Барнаульская ТЭЦ-3</x:v>
      </x:c>
      <x:c r="B17" s="16" t="str">
        <x:v>2000622122-W112</x:v>
      </x:c>
      <x:c r="C17" s="16" t="str">
        <x:v>КОРПУС БТ-223350 Р-102-103-15/2 УТЗ</x:v>
      </x:c>
      <x:c r="D17" s="16" t="str">
        <x:v>ЗЧ турбин</x:v>
      </x:c>
      <x:c r="E17" s="16" t="str">
        <x:v>КМП</x:v>
      </x:c>
      <x:c r="F17" s="25" t="n">
        <x:v>1</x:v>
      </x:c>
      <x:c r="G17" s="17" t="n">
        <x:v>13928.3374</x:v>
      </x:c>
      <x:c r="H17" s="17" t="n">
        <x:f>G17*F17</x:f>
        <x:v>13928.3374</x:v>
      </x:c>
      <x:c r="I17" s="26" t="str">
        <x:f>HYPERLINK("https://etp-aktiv.ru/catalog/materialy/zapasnye-chasti-osnovnogo-ehnergeticheskogo-oborudovaniya/2000622122-W112/","Открыть позицию")</x:f>
        <x:v>Открыть позицию</x:v>
      </x:c>
    </x:row>
    <x:row r="18" ht="28" customHeight="1">
      <x:c r="A18" s="16" t="str">
        <x:v>Бийскэнерго</x:v>
      </x:c>
      <x:c r="B18" s="16" t="str">
        <x:v>2000524827-W113</x:v>
      </x:c>
      <x:c r="C18" s="16" t="str">
        <x:v>ДНИЩЕ 22Т293-758 D75 ПТ-60- 904 1964 ЛМЗ</x:v>
      </x:c>
      <x:c r="D18" s="16" t="str">
        <x:v>ЗЧ турбин</x:v>
      </x:c>
      <x:c r="E18" s="16" t="str">
        <x:v>ШТ</x:v>
      </x:c>
      <x:c r="F18" s="25" t="n">
        <x:v>1</x:v>
      </x:c>
      <x:c r="G18" s="17" t="n">
        <x:v>3843</x:v>
      </x:c>
      <x:c r="H18" s="17" t="n">
        <x:f>G18*F18</x:f>
        <x:v>3843</x:v>
      </x:c>
      <x:c r="I18" s="26" t="str">
        <x:f>HYPERLINK("https://etp-aktiv.ru/catalog/materialy/zapasnye-chasti-osnovnogo-ehnergeticheskogo-oborudovaniya/2000524827-W113/","Открыть позицию")</x:f>
        <x:v>Открыть позицию</x:v>
      </x:c>
    </x:row>
    <x:row r="19" ht="28" customHeight="1">
      <x:c r="A19" s="16" t="str">
        <x:v>Бийскэнерго</x:v>
      </x:c>
      <x:c r="B19" s="16" t="str">
        <x:v>2000524828-W113</x:v>
      </x:c>
      <x:c r="C19" s="16" t="str">
        <x:v>ДНИЩЕ 2Т662-065 D125 ПТ-60- 904 1964 ЛМЗ</x:v>
      </x:c>
      <x:c r="D19" s="16" t="str">
        <x:v>ЗЧ турбин</x:v>
      </x:c>
      <x:c r="E19" s="16" t="str">
        <x:v>ШТ</x:v>
      </x:c>
      <x:c r="F19" s="25" t="n">
        <x:v>1</x:v>
      </x:c>
      <x:c r="G19" s="17" t="n">
        <x:v>4986.75</x:v>
      </x:c>
      <x:c r="H19" s="17" t="n">
        <x:f>G19*F19</x:f>
        <x:v>4986.75</x:v>
      </x:c>
      <x:c r="I19" s="26" t="str">
        <x:f>HYPERLINK("https://etp-aktiv.ru/catalog/materialy/zapasnye-chasti-osnovnogo-ehnergeticheskogo-oborudovaniya/2000524828-W113/","Открыть позицию")</x:f>
        <x:v>Открыть позицию</x:v>
      </x:c>
    </x:row>
    <x:row r="20" ht="28" customHeight="1">
      <x:c r="A20" s="16" t="str">
        <x:v>Филиал БТСК</x:v>
      </x:c>
      <x:c r="B20" s="16" t="str">
        <x:v>2000723491-W121</x:v>
      </x:c>
      <x:c r="C20" s="16" t="str">
        <x:v>КОЛЬЦО ТИ024 Р002 FKM CLIP-ON 0,5</x:v>
      </x:c>
      <x:c r="D20" s="16" t="str">
        <x:v>ЗЧ турб-вспом оборуд</x:v>
      </x:c>
      <x:c r="E20" s="16" t="str">
        <x:v>ШТ</x:v>
      </x:c>
      <x:c r="F20" s="25" t="n">
        <x:v>4</x:v>
      </x:c>
      <x:c r="G20" s="17" t="n">
        <x:v>39.6622</x:v>
      </x:c>
      <x:c r="H20" s="17" t="n">
        <x:f>G20*F20</x:f>
        <x:v>158.6488</x:v>
      </x:c>
      <x:c r="I20" s="26" t="str">
        <x:f>HYPERLINK("https://etp-aktiv.ru/catalog/materialy/zapasnye-chasti-osnovnogo-ehnergeticheskogo-oborudovaniya/2000723491-W121/","Открыть позицию")</x:f>
        <x:v>Открыть позицию</x:v>
      </x:c>
    </x:row>
    <x:row r="21" ht="28" customHeight="1">
      <x:c r="A21" s="16" t="str">
        <x:v>Филиал БТСК</x:v>
      </x:c>
      <x:c r="B21" s="16" t="str">
        <x:v>2000954280-W121</x:v>
      </x:c>
      <x:c r="C21" s="16" t="str">
        <x:v>ПРОКЛАДКА S100 EPDM RI-GA-E8-100-001</x:v>
      </x:c>
      <x:c r="D21" s="16" t="str">
        <x:v>ЗЧ турб-вспом оборуд</x:v>
      </x:c>
      <x:c r="E21" s="16" t="str">
        <x:v>ШТ</x:v>
      </x:c>
      <x:c r="F21" s="25" t="n">
        <x:v>30</x:v>
      </x:c>
      <x:c r="G21" s="17" t="n">
        <x:v>327.1186</x:v>
      </x:c>
      <x:c r="H21" s="17" t="n">
        <x:f>G21*F21</x:f>
        <x:v>9813.558</x:v>
      </x:c>
      <x:c r="I21" s="26" t="str">
        <x:f>HYPERLINK("https://etp-aktiv.ru/catalog/materialy/zapasnye-chasti-osnovnogo-ehnergeticheskogo-oborudovaniya/2000954280-W121/","Открыть позицию")</x:f>
        <x:v>Открыть позицию</x:v>
      </x:c>
    </x:row>
    <x:row r="22" ht="28" customHeight="1">
      <x:c r="A22" s="16" t="str">
        <x:v>Филиал БТСК</x:v>
      </x:c>
      <x:c r="B22" s="16" t="str">
        <x:v>2000950301-W121</x:v>
      </x:c>
      <x:c r="C22" s="16" t="str">
        <x:v>ПРОКЛАДКА S20A EPDM RI-GA-E8-020-A-004</x:v>
      </x:c>
      <x:c r="D22" s="16" t="str">
        <x:v>ЗЧ турб-вспом оборуд</x:v>
      </x:c>
      <x:c r="E22" s="16" t="str">
        <x:v>ШТ</x:v>
      </x:c>
      <x:c r="F22" s="25" t="n">
        <x:v>30</x:v>
      </x:c>
      <x:c r="G22" s="17" t="n">
        <x:v>338.55</x:v>
      </x:c>
      <x:c r="H22" s="17" t="n">
        <x:f>G22*F22</x:f>
        <x:v>10156.5</x:v>
      </x:c>
      <x:c r="I22" s="26" t="str">
        <x:f>HYPERLINK("https://etp-aktiv.ru/catalog/materialy/zapasnye-chasti-osnovnogo-ehnergeticheskogo-oborudovaniya/2000950301-W121/","Открыть позицию")</x:f>
        <x:v>Открыть позицию</x:v>
      </x:c>
    </x:row>
    <x:row r="23" ht="28" customHeight="1">
      <x:c r="A23" s="16" t="str">
        <x:v>Филиал БТСК</x:v>
      </x:c>
      <x:c r="B23" s="16" t="str">
        <x:v>2000954184-W121</x:v>
      </x:c>
      <x:c r="C23" s="16" t="str">
        <x:v>ПРОКЛАДКА S47 EPDM RI-GA-E8-047-001</x:v>
      </x:c>
      <x:c r="D23" s="16" t="str">
        <x:v>ЗЧ турб-вспом оборуд</x:v>
      </x:c>
      <x:c r="E23" s="16" t="str">
        <x:v>ШТ</x:v>
      </x:c>
      <x:c r="F23" s="25" t="n">
        <x:v>30</x:v>
      </x:c>
      <x:c r="G23" s="17" t="n">
        <x:v>205.875</x:v>
      </x:c>
      <x:c r="H23" s="17" t="n">
        <x:f>G23*F23</x:f>
        <x:v>6176.25</x:v>
      </x:c>
      <x:c r="I23" s="26" t="str">
        <x:f>HYPERLINK("https://etp-aktiv.ru/catalog/materialy/zapasnye-chasti-osnovnogo-ehnergeticheskogo-oborudovaniya/2000954184-W121/","Открыть позицию")</x:f>
        <x:v>Открыть позицию</x:v>
      </x:c>
    </x:row>
    <x:row r="24" ht="28" customHeight="1">
      <x:c r="A24" s="16" t="str">
        <x:v>Филиал БТСК</x:v>
      </x:c>
      <x:c r="B24" s="16" t="str">
        <x:v>2001007958-W121</x:v>
      </x:c>
      <x:c r="C24" s="16" t="str">
        <x:v>УПЛОТНЕНИЕ 27-1000</x:v>
      </x:c>
      <x:c r="D24" s="16" t="str">
        <x:v>ЗЧ турб-вспом оборуд</x:v>
      </x:c>
      <x:c r="E24" s="16" t="str">
        <x:v>ШТ</x:v>
      </x:c>
      <x:c r="F24" s="25" t="n">
        <x:v>112</x:v>
      </x:c>
      <x:c r="G24" s="17" t="n">
        <x:v>694.485</x:v>
      </x:c>
      <x:c r="H24" s="17" t="n">
        <x:f>G24*F24</x:f>
        <x:v>77782.32</x:v>
      </x:c>
      <x:c r="I24" s="26" t="str">
        <x:f>HYPERLINK("https://etp-aktiv.ru/catalog/materialy/zapasnye-chasti-osnovnogo-ehnergeticheskogo-oborudovaniya/2001007958-W121/","Открыть позицию")</x:f>
        <x:v>Открыть позицию</x:v>
      </x:c>
    </x:row>
    <x:row r="25" ht="28" customHeight="1">
      <x:c r="A25" s="16" t="str">
        <x:v>Филиал БТСК</x:v>
      </x:c>
      <x:c r="B25" s="16" t="str">
        <x:v>2000914264-W121</x:v>
      </x:c>
      <x:c r="C25" s="16" t="str">
        <x:v>УПЛОТНЕНИЕ FP14 EPDM Т/ОБМ ТПР14-69-1-EH</x:v>
      </x:c>
      <x:c r="D25" s="16" t="str">
        <x:v>ЗЧ турб-вспом оборуд</x:v>
      </x:c>
      <x:c r="E25" s="16" t="str">
        <x:v>ШТ</x:v>
      </x:c>
      <x:c r="F25" s="25" t="n">
        <x:v>30</x:v>
      </x:c>
      <x:c r="G25" s="17" t="n">
        <x:v>109.8</x:v>
      </x:c>
      <x:c r="H25" s="17" t="n">
        <x:f>G25*F25</x:f>
        <x:v>3294</x:v>
      </x:c>
      <x:c r="I25" s="26" t="str">
        <x:f>HYPERLINK("https://etp-aktiv.ru/catalog/materialy/zapasnye-chasti-osnovnogo-ehnergeticheskogo-oborudovaniya/2000914264-W121/","Открыть позицию")</x:f>
        <x:v>Открыть позицию</x:v>
      </x:c>
    </x:row>
    <x:row r="26" ht="28" customHeight="1">
      <x:c r="A26" s="16" t="str">
        <x:v>Филиал БТСК</x:v>
      </x:c>
      <x:c r="B26" s="16" t="str">
        <x:v>2000914939-W121</x:v>
      </x:c>
      <x:c r="C26" s="16" t="str">
        <x:v>УПЛОТНЕНИЕ T5M-EPDM-CLIP Т/ОБМ T5-MFG</x:v>
      </x:c>
      <x:c r="D26" s="16" t="str">
        <x:v>ЗЧ турб-вспом оборуд</x:v>
      </x:c>
      <x:c r="E26" s="16" t="str">
        <x:v>ШТ</x:v>
      </x:c>
      <x:c r="F26" s="25" t="n">
        <x:v>30</x:v>
      </x:c>
      <x:c r="G26" s="17" t="n">
        <x:v>61.7686</x:v>
      </x:c>
      <x:c r="H26" s="17" t="n">
        <x:f>G26*F26</x:f>
        <x:v>1853.058</x:v>
      </x:c>
      <x:c r="I26" s="26" t="str">
        <x:f>HYPERLINK("https://etp-aktiv.ru/catalog/materialy/zapasnye-chasti-osnovnogo-ehnergeticheskogo-oborudovaniya/2000914939-W121/","Открыть позицию")</x:f>
        <x:v>Открыть позицию</x:v>
      </x:c>
    </x:row>
    <x:row r="27" ht="28" customHeight="1">
      <x:c r="A27" s="16" t="str">
        <x:v>Филиал БТСК</x:v>
      </x:c>
      <x:c r="B27" s="16" t="str">
        <x:v>2000914966-W121</x:v>
      </x:c>
      <x:c r="C27" s="16" t="str">
        <x:v>УПЛОТНЕНИЕ T8B-EPDM-CLIP Т/ОБМ T8 BFG</x:v>
      </x:c>
      <x:c r="D27" s="16" t="str">
        <x:v>ЗЧ турб-вспом оборуд</x:v>
      </x:c>
      <x:c r="E27" s="16" t="str">
        <x:v>ШТ</x:v>
      </x:c>
      <x:c r="F27" s="25" t="n">
        <x:v>30</x:v>
      </x:c>
      <x:c r="G27" s="17" t="n">
        <x:v>77.77499999999999</x:v>
      </x:c>
      <x:c r="H27" s="17" t="n">
        <x:f>G27*F27</x:f>
        <x:v>2333.2499999999995</x:v>
      </x:c>
      <x:c r="I27" s="26" t="str">
        <x:f>HYPERLINK("https://etp-aktiv.ru/catalog/materialy/zapasnye-chasti-osnovnogo-ehnergeticheskogo-oborudovaniya/2000914966-W121/","Открыть позицию")</x:f>
        <x:v>Открыть позицию</x:v>
      </x:c>
    </x:row>
    <x:row r="28" ht="28" customHeight="1">
      <x:c r="A28" s="16" t="str">
        <x:v>Филиал БТСК</x:v>
      </x:c>
      <x:c r="B28" s="16" t="str">
        <x:v>2000915916-W121</x:v>
      </x:c>
      <x:c r="C28" s="16" t="str">
        <x:v>УПЛОТНЕНИЕ TL10B-EPDM-CLIP T10-BFG-30,4</x:v>
      </x:c>
      <x:c r="D28" s="16" t="str">
        <x:v>ЗЧ турб-вспом оборуд</x:v>
      </x:c>
      <x:c r="E28" s="16" t="str">
        <x:v>ШТ</x:v>
      </x:c>
      <x:c r="F28" s="25" t="n">
        <x:v>30</x:v>
      </x:c>
      <x:c r="G28" s="17" t="n">
        <x:v>166.9936</x:v>
      </x:c>
      <x:c r="H28" s="17" t="n">
        <x:f>G28*F28</x:f>
        <x:v>5009.808</x:v>
      </x:c>
      <x:c r="I28" s="26" t="str">
        <x:f>HYPERLINK("https://etp-aktiv.ru/catalog/materialy/zapasnye-chasti-osnovnogo-ehnergeticheskogo-oborudovaniya/2000915916-W121/","Открыть позицию")</x:f>
        <x:v>Открыть позицию</x:v>
      </x:c>
    </x:row>
    <x:row r="29" ht="28" customHeight="1">
      <x:c r="A29" s="16" t="str">
        <x:v>Филиал БТСК</x:v>
      </x:c>
      <x:c r="B29" s="16" t="str">
        <x:v>2000914961-W121</x:v>
      </x:c>
      <x:c r="C29" s="16" t="str">
        <x:v>УПЛОТНЕНИЕ TL3P-EPDM-CLIP Т/ОБМ TL3-MFG</x:v>
      </x:c>
      <x:c r="D29" s="16" t="str">
        <x:v>ЗЧ турб-вспом оборуд</x:v>
      </x:c>
      <x:c r="E29" s="16" t="str">
        <x:v>ШТ</x:v>
      </x:c>
      <x:c r="F29" s="25" t="n">
        <x:v>30</x:v>
      </x:c>
      <x:c r="G29" s="17" t="n">
        <x:v>212.7436</x:v>
      </x:c>
      <x:c r="H29" s="17" t="n">
        <x:f>G29*F29</x:f>
        <x:v>6382.308</x:v>
      </x:c>
      <x:c r="I29" s="26" t="str">
        <x:f>HYPERLINK("https://etp-aktiv.ru/catalog/materialy/zapasnye-chasti-osnovnogo-ehnergeticheskogo-oborudovaniya/2000914961-W121/","Открыть позицию")</x:f>
        <x:v>Открыть позицию</x:v>
      </x:c>
    </x:row>
    <x:row r="30" ht="28" customHeight="1">
      <x:c r="A30" s="16" t="str">
        <x:v>Филиал БТСК</x:v>
      </x:c>
      <x:c r="B30" s="16" t="str">
        <x:v>2001030592-W121</x:v>
      </x:c>
      <x:c r="C30" s="16" t="str">
        <x:v>УПЛОТНЕНИЕ ТЕПЛООБМЕН 27-1001 ТИ 26/27</x:v>
      </x:c>
      <x:c r="D30" s="16" t="str">
        <x:v>ЗЧ турб-вспом оборуд</x:v>
      </x:c>
      <x:c r="E30" s="16" t="str">
        <x:v>ШТ</x:v>
      </x:c>
      <x:c r="F30" s="25" t="n">
        <x:v>4</x:v>
      </x:c>
      <x:c r="G30" s="17" t="n">
        <x:v>1080.8468</x:v>
      </x:c>
      <x:c r="H30" s="17" t="n">
        <x:f>G30*F30</x:f>
        <x:v>4323.3872</x:v>
      </x:c>
      <x:c r="I30" s="26" t="str">
        <x:f>HYPERLINK("https://etp-aktiv.ru/catalog/materialy/zapasnye-chasti-osnovnogo-ehnergeticheskogo-oborudovaniya/2001030592-W121/","Открыть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ca1f96bc750f46ac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Железнодорожное оборудование и материалы ВСП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ТЭЦ-3</x:v>
      </x:c>
      <x:c r="B5" s="16" t="str">
        <x:v>2000588139-W112</x:v>
      </x:c>
      <x:c r="C5" s="16" t="str">
        <x:v>ФЛАНЕЦ Э/Т ТП-5568</x:v>
      </x:c>
      <x:c r="D5" s="16" t="str">
        <x:v>ЗЧ к локомотивам</x:v>
      </x:c>
      <x:c r="E5" s="16" t="str">
        <x:v>ШТ</x:v>
      </x:c>
      <x:c r="F5" s="25" t="n">
        <x:v>2</x:v>
      </x:c>
      <x:c r="G5" s="17" t="n">
        <x:v>9721.875</x:v>
      </x:c>
      <x:c r="H5" s="17" t="n">
        <x:f>G5*F5</x:f>
        <x:v>19443.75</x:v>
      </x:c>
      <x:c r="I5" s="26" t="str">
        <x:f>HYPERLINK("https://etp-aktiv.ru/catalog/materialy/zapasnye-chasti-k-zhd-oborudovaniyu-i-podvizhnomu-sostavu/2000588139-W112/","Открыть позицию")</x:f>
        <x:v>Открыть позицию</x:v>
      </x:c>
    </x:row>
    <x:row r="6" ht="28" customHeight="1">
      <x:c r="A6" s="16" t="str">
        <x:v>Бийскэнерго</x:v>
      </x:c>
      <x:c r="B6" s="16" t="str">
        <x:v>2000556069-W113</x:v>
      </x:c>
      <x:c r="C6" s="16" t="str">
        <x:v>РЕЛЬС Р65-В-Э76Ф-12,5-3/2 ГОСТР51685-13</x:v>
      </x:c>
      <x:c r="D6" s="16" t="str">
        <x:v>Материалы ВСП</x:v>
      </x:c>
      <x:c r="E6" s="16" t="str">
        <x:v>Т</x:v>
      </x:c>
      <x:c r="F6" s="24" t="n">
        <x:v>14.419</x:v>
      </x:c>
      <x:c r="G6" s="17" t="n">
        <x:v>28335.4882</x:v>
      </x:c>
      <x:c r="H6" s="17" t="n">
        <x:f>G6*F6</x:f>
        <x:v>408569.4043558</x:v>
      </x:c>
      <x:c r="I6" s="26" t="str">
        <x:f>HYPERLINK("https://etp-aktiv.ru/catalog/materialy/metalloprodukciya/2000556069-W113/","Открыть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7f02c56986734464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Промышленная безопасность, пожарное оборудование и медицина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2000524176-W111</x:v>
      </x:c>
      <x:c r="C5" s="16" t="str">
        <x:v>ИЗВЕЩАТЕЛЬ ОХРАННЫЙ ФОТОН-9 ИО409-8</x:v>
      </x:c>
      <x:c r="D5" s="16" t="str">
        <x:v>ЗЧ противопож оборуд</x:v>
      </x:c>
      <x:c r="E5" s="16" t="str">
        <x:v>ШТ</x:v>
      </x:c>
      <x:c r="F5" s="25" t="n">
        <x:v>1</x:v>
      </x:c>
      <x:c r="G5" s="17" t="n">
        <x:v>446.0686</x:v>
      </x:c>
      <x:c r="H5" s="17" t="n">
        <x:f>G5*F5</x:f>
        <x:v>446.0686</x:v>
      </x:c>
      <x:c r="I5" s="26" t="str">
        <x:f>HYPERLINK("https://etp-aktiv.ru/catalog/materialy/protivopozharnye-materialy/2000524176-W111/","Открыть позицию")</x:f>
        <x:v>Открыть позицию</x:v>
      </x:c>
    </x:row>
    <x:row r="6" ht="28" customHeight="1">
      <x:c r="A6" s="16" t="str">
        <x:v>Барнаульская ТЭЦ-2</x:v>
      </x:c>
      <x:c r="B6" s="16" t="str">
        <x:v>2000524201-W111</x:v>
      </x:c>
      <x:c r="C6" s="16" t="str">
        <x:v>ИЗВЕЩАТЕЛЬ ПОЖАРНЫЙ ТЕПЛОВОЙ ИП 103-5/1</x:v>
      </x:c>
      <x:c r="D6" s="16" t="str">
        <x:v>ЗЧ противопож оборуд</x:v>
      </x:c>
      <x:c r="E6" s="16" t="str">
        <x:v>ШТ</x:v>
      </x:c>
      <x:c r="F6" s="25" t="n">
        <x:v>4</x:v>
      </x:c>
      <x:c r="G6" s="17" t="n">
        <x:v>228.75</x:v>
      </x:c>
      <x:c r="H6" s="17" t="n">
        <x:f>G6*F6</x:f>
        <x:v>915</x:v>
      </x:c>
      <x:c r="I6" s="26" t="str">
        <x:f>HYPERLINK("https://etp-aktiv.ru/catalog/materialy/protivopozharnye-materialy/2000524201-W111/","Открыть позицию")</x:f>
        <x:v>Открыть позицию</x:v>
      </x:c>
    </x:row>
    <x:row r="7" ht="28" customHeight="1">
      <x:c r="A7" s="16" t="str">
        <x:v>Барнаульская ТЭЦ-3</x:v>
      </x:c>
      <x:c r="B7" s="16" t="str">
        <x:v>2000472889-W112</x:v>
      </x:c>
      <x:c r="C7" s="16" t="str">
        <x:v>КРОНШТЕЙН ТРАНСПОРТНЫЙ Д/ОП-8 ТВ-8</x:v>
      </x:c>
      <x:c r="D7" s="16" t="str">
        <x:v>ЗЧ противопож оборуд</x:v>
      </x:c>
      <x:c r="E7" s="16" t="str">
        <x:v>ШТ</x:v>
      </x:c>
      <x:c r="F7" s="25" t="n">
        <x:v>20</x:v>
      </x:c>
      <x:c r="G7" s="17" t="n">
        <x:v>142.4838</x:v>
      </x:c>
      <x:c r="H7" s="17" t="n">
        <x:f>G7*F7</x:f>
        <x:v>2849.676</x:v>
      </x:c>
      <x:c r="I7" s="26" t="str">
        <x:f>HYPERLINK("https://etp-aktiv.ru/catalog/materialy/protivopozharnye-materialy/2000472889-W112/","Открыть позицию")</x:f>
        <x:v>Открыть позицию</x:v>
      </x:c>
    </x:row>
    <x:row r="8" ht="28" customHeight="1">
      <x:c r="A8" s="16" t="str">
        <x:v>Бийскэнерго</x:v>
      </x:c>
      <x:c r="B8" s="16" t="str">
        <x:v>2000561821-W113</x:v>
      </x:c>
      <x:c r="C8" s="16" t="str">
        <x:v>ГИДРАНТ ПОЖАРНЫЙ ГП-Н-2,75</x:v>
      </x:c>
      <x:c r="D8" s="16" t="str">
        <x:v>ЗЧ противопож оборуд</x:v>
      </x:c>
      <x:c r="E8" s="16" t="str">
        <x:v>ШТ</x:v>
      </x:c>
      <x:c r="F8" s="25" t="n">
        <x:v>4</x:v>
      </x:c>
      <x:c r="G8" s="17" t="n">
        <x:v>1226.893</x:v>
      </x:c>
      <x:c r="H8" s="17" t="n">
        <x:f>G8*F8</x:f>
        <x:v>4907.572</x:v>
      </x:c>
      <x:c r="I8" s="26" t="str">
        <x:f>HYPERLINK("https://etp-aktiv.ru/catalog/materialy/protivopozharnye-materialy/2000561821-W113/","Открыть позицию")</x:f>
        <x:v>Открыть позицию</x:v>
      </x:c>
    </x:row>
    <x:row r="9" ht="28" customHeight="1">
      <x:c r="A9" s="16" t="str">
        <x:v>Бийскэнерго</x:v>
      </x:c>
      <x:c r="B9" s="16" t="str">
        <x:v>2000524172-W113</x:v>
      </x:c>
      <x:c r="C9" s="16" t="str">
        <x:v>ИЗВЕЩАТЕЛЬ ОХРАННЫЙ ЗЕБРА-60</x:v>
      </x:c>
      <x:c r="D9" s="16" t="str">
        <x:v>ЗЧ противопож оборуд</x:v>
      </x:c>
      <x:c r="E9" s="16" t="str">
        <x:v>ШТ</x:v>
      </x:c>
      <x:c r="F9" s="25" t="n">
        <x:v>3</x:v>
      </x:c>
      <x:c r="G9" s="17" t="n">
        <x:v>5013.4436</x:v>
      </x:c>
      <x:c r="H9" s="17" t="n">
        <x:f>G9*F9</x:f>
        <x:v>15040.3308</x:v>
      </x:c>
      <x:c r="I9" s="26" t="str">
        <x:f>HYPERLINK("https://etp-aktiv.ru/catalog/materialy/protivopozharnye-materialy/2000524172-W113/","Открыть позицию")</x:f>
        <x:v>Открыть позицию</x:v>
      </x:c>
    </x:row>
    <x:row r="10" ht="28" customHeight="1">
      <x:c r="A10" s="16" t="str">
        <x:v>Бийскэнерго</x:v>
      </x:c>
      <x:c r="B10" s="16" t="str">
        <x:v>2000030222-W113</x:v>
      </x:c>
      <x:c r="C10" s="16" t="str">
        <x:v>МАРЛЯ</x:v>
      </x:c>
      <x:c r="D10" s="16" t="str">
        <x:v>Медикаменты</x:v>
      </x:c>
      <x:c r="E10" s="16" t="str">
        <x:v>М</x:v>
      </x:c>
      <x:c r="F10" s="25" t="n">
        <x:v>200</x:v>
      </x:c>
      <x:c r="G10" s="17" t="n">
        <x:v>4.636</x:v>
      </x:c>
      <x:c r="H10" s="17" t="n">
        <x:f>G10*F10</x:f>
        <x:v>927.2</x:v>
      </x:c>
      <x:c r="I10" s="26" t="str">
        <x:f>HYPERLINK("https://etp-aktiv.ru/catalog/materialy/medikamenty-i-produkciya-medicinskogo-naznacheniya/2000030222-W113/","Открыть позицию")</x:f>
        <x:v>Открыть позицию</x:v>
      </x:c>
    </x:row>
    <x:row r="11" ht="28" customHeight="1">
      <x:c r="A11" s="16" t="str">
        <x:v>Бийскэнерго</x:v>
      </x:c>
      <x:c r="B11" s="16" t="str">
        <x:v>2000218842-W113</x:v>
      </x:c>
      <x:c r="C11" s="16" t="str">
        <x:v>ОГНЕТУШИТЕЛЬ ОУ-3</x:v>
      </x:c>
      <x:c r="D11" s="16" t="str">
        <x:v>Противопожар матер-ы</x:v>
      </x:c>
      <x:c r="E11" s="16" t="str">
        <x:v>ШТ</x:v>
      </x:c>
      <x:c r="F11" s="25" t="n">
        <x:v>2</x:v>
      </x:c>
      <x:c r="G11" s="17" t="n">
        <x:v>743.4436</x:v>
      </x:c>
      <x:c r="H11" s="17" t="n">
        <x:f>G11*F11</x:f>
        <x:v>1486.8872</x:v>
      </x:c>
      <x:c r="I11" s="26" t="str">
        <x:f>HYPERLINK("https://etp-aktiv.ru/catalog/materialy/protivopozharnye-materialy/2000218842-W113/","Открыть позицию")</x:f>
        <x:v>Открыть позицию</x:v>
      </x:c>
    </x:row>
    <x:row r="12" ht="28" customHeight="1">
      <x:c r="A12" s="16" t="str">
        <x:v>БийскэнергоТеплоТранзит</x:v>
      </x:c>
      <x:c r="B12" s="16" t="str">
        <x:v>2000651637-W123</x:v>
      </x:c>
      <x:c r="C12" s="16" t="str">
        <x:v>АНТИСЕПТИК СРЕДСТВО ДЕЗЕНФИЦИР TERRA 5Л</x:v>
      </x:c>
      <x:c r="D12" s="16" t="str">
        <x:v>Медикаменты</x:v>
      </x:c>
      <x:c r="E12" s="16" t="str">
        <x:v>ШТ</x:v>
      </x:c>
      <x:c r="F12" s="25" t="n">
        <x:v>8</x:v>
      </x:c>
      <x:c r="G12" s="17" t="n">
        <x:v>243.0484</x:v>
      </x:c>
      <x:c r="H12" s="17" t="n">
        <x:f>G12*F12</x:f>
        <x:v>1944.3872</x:v>
      </x:c>
      <x:c r="I12" s="26" t="str">
        <x:f>HYPERLINK("https://etp-aktiv.ru/catalog/materialy/medikamenty-i-produkciya-medicinskogo-naznacheniya/2000651637-W123/","Открыть позицию")</x:f>
        <x:v>Открыть позицию</x:v>
      </x:c>
    </x:row>
    <x:row r="13" ht="28" customHeight="1">
      <x:c r="A13" s="16" t="str">
        <x:v>Рубцовский ТЭК</x:v>
      </x:c>
      <x:c r="B13" s="16" t="str">
        <x:v>5000059250-W122</x:v>
      </x:c>
      <x:c r="C13" s="16" t="str">
        <x:v>ГЕНЕРАТОР ПЕНЫ ГПСС-2000 СРЕДНЕЙ КРАТН</x:v>
      </x:c>
      <x:c r="D13" s="16" t="str">
        <x:v>Противопожар оборуд</x:v>
      </x:c>
      <x:c r="E13" s="16" t="str">
        <x:v>ШТ</x:v>
      </x:c>
      <x:c r="F13" s="25" t="n">
        <x:v>2</x:v>
      </x:c>
      <x:c r="G13" s="17" t="n">
        <x:v>3267.9651999999996</x:v>
      </x:c>
      <x:c r="H13" s="17" t="n">
        <x:f>G13*F13</x:f>
        <x:v>6535.930399999999</x:v>
      </x:c>
      <x:c r="I13" s="26" t="str">
        <x:f>HYPERLINK("https://etp-aktiv.ru/catalog/materialy/protivopozharnye-materialy/5000059250-W122/","Открыть позицию")</x:f>
        <x:v>Открыть позицию</x:v>
      </x:c>
    </x:row>
    <x:row r="14" ht="28" customHeight="1">
      <x:c r="A14" s="16" t="str">
        <x:v>Рубцовский ТЭК</x:v>
      </x:c>
      <x:c r="B14" s="16" t="str">
        <x:v>2000032327-W122</x:v>
      </x:c>
      <x:c r="C14" s="16" t="str">
        <x:v>НОСИЛКИ САНИТАРНЫЕ</x:v>
      </x:c>
      <x:c r="D14" s="16" t="str">
        <x:v>Медикаменты</x:v>
      </x:c>
      <x:c r="E14" s="16" t="str">
        <x:v>ШТ</x:v>
      </x:c>
      <x:c r="F14" s="25" t="n">
        <x:v>4</x:v>
      </x:c>
      <x:c r="G14" s="17" t="n">
        <x:v>2379</x:v>
      </x:c>
      <x:c r="H14" s="17" t="n">
        <x:f>G14*F14</x:f>
        <x:v>9516</x:v>
      </x:c>
      <x:c r="I14" s="26" t="str">
        <x:f>HYPERLINK("https://etp-aktiv.ru/catalog/materialy/medikamenty-i-produkciya-medicinskogo-naznacheniya/2000032327-W122/","Открыть позицию")</x:f>
        <x:v>Открыть позицию</x:v>
      </x:c>
    </x:row>
    <x:row r="15" ht="28" customHeight="1">
      <x:c r="A15" s="16" t="str">
        <x:v>Рубцовский ТЭК</x:v>
      </x:c>
      <x:c r="B15" s="16" t="str">
        <x:v>2000772696-W122</x:v>
      </x:c>
      <x:c r="C15" s="16" t="str">
        <x:v>ОГНЕТУШИТЕЛЬ ОП-8(З)-АВCE ЗПУ ЛАТУНЬ</x:v>
      </x:c>
      <x:c r="D15" s="16" t="str">
        <x:v>Противопожар матер-ы</x:v>
      </x:c>
      <x:c r="E15" s="16" t="str">
        <x:v>ШТ</x:v>
      </x:c>
      <x:c r="F15" s="25" t="n">
        <x:v>2</x:v>
      </x:c>
      <x:c r="G15" s="17" t="n">
        <x:v>608.78</x:v>
      </x:c>
      <x:c r="H15" s="17" t="n">
        <x:f>G15*F15</x:f>
        <x:v>1217.56</x:v>
      </x:c>
      <x:c r="I15" s="26" t="str">
        <x:f>HYPERLINK("https://etp-aktiv.ru/catalog/materialy/protivopozharnye-materialy/2000772696-W122/","Открыть позицию")</x:f>
        <x:v>Открыть позицию</x:v>
      </x:c>
    </x:row>
    <x:row r="16" ht="28" customHeight="1">
      <x:c r="A16" s="16" t="str">
        <x:v>Рубцовский ТЭК</x:v>
      </x:c>
      <x:c r="B16" s="16" t="str">
        <x:v>2000561858-W122</x:v>
      </x:c>
      <x:c r="C16" s="16" t="str">
        <x:v>РЕМКМП УУ-Д100 ЭП И ГП</x:v>
      </x:c>
      <x:c r="D16" s="16" t="str">
        <x:v>ЗЧ проивопож об спец</x:v>
      </x:c>
      <x:c r="E16" s="16" t="str">
        <x:v>ШТ</x:v>
      </x:c>
      <x:c r="F16" s="25" t="n">
        <x:v>2</x:v>
      </x:c>
      <x:c r="G16" s="17" t="n">
        <x:v>2258.9031999999997</x:v>
      </x:c>
      <x:c r="H16" s="17" t="n">
        <x:f>G16*F16</x:f>
        <x:v>4517.8063999999995</x:v>
      </x:c>
      <x:c r="I16" s="26" t="str">
        <x:f>HYPERLINK("https://etp-aktiv.ru/catalog/materialy/protivopozharnye-materialy/2000561858-W122/","Открыть позицию")</x:f>
        <x:v>Открыть позицию</x:v>
      </x:c>
    </x:row>
    <x:row r="17" ht="28" customHeight="1">
      <x:c r="A17" s="16" t="str">
        <x:v>Рубцовский ТЭК</x:v>
      </x:c>
      <x:c r="B17" s="16" t="str">
        <x:v>2000286110-W122</x:v>
      </x:c>
      <x:c r="C17" s="16" t="str">
        <x:v>ШКАФ ПОЖАРНЫЙ ШПО-102 НЗК ПРАВЫЙ</x:v>
      </x:c>
      <x:c r="D17" s="16" t="str">
        <x:v>ЗЧ противопож оборуд</x:v>
      </x:c>
      <x:c r="E17" s="16" t="str">
        <x:v>ШТ</x:v>
      </x:c>
      <x:c r="F17" s="25" t="n">
        <x:v>5</x:v>
      </x:c>
      <x:c r="G17" s="17" t="n">
        <x:v>511.7778</x:v>
      </x:c>
      <x:c r="H17" s="17" t="n">
        <x:f>G17*F17</x:f>
        <x:v>2558.889</x:v>
      </x:c>
      <x:c r="I17" s="26" t="str">
        <x:f>HYPERLINK("https://etp-aktiv.ru/catalog/materialy/protivopozharnye-materialy/2000286110-W122/","Открыть позицию")</x:f>
        <x:v>Открыть позицию</x:v>
      </x:c>
    </x:row>
    <x:row r="18" ht="28" customHeight="1">
      <x:c r="A18" s="16" t="str">
        <x:v>Филиал БТСК</x:v>
      </x:c>
      <x:c r="B18" s="16" t="str">
        <x:v>2000523439-W121</x:v>
      </x:c>
      <x:c r="C18" s="16" t="str">
        <x:v>ГИДРАНТ ПОЖАРНЫЙ ГП-Н 1,5</x:v>
      </x:c>
      <x:c r="D18" s="16" t="str">
        <x:v>ЗЧ противопож оборуд</x:v>
      </x:c>
      <x:c r="E18" s="16" t="str">
        <x:v>ШТ</x:v>
      </x:c>
      <x:c r="F18" s="25" t="n">
        <x:v>1</x:v>
      </x:c>
      <x:c r="G18" s="17" t="n">
        <x:v>686.25</x:v>
      </x:c>
      <x:c r="H18" s="17" t="n">
        <x:f>G18*F18</x:f>
        <x:v>686.25</x:v>
      </x:c>
      <x:c r="I18" s="26" t="str">
        <x:f>HYPERLINK("https://etp-aktiv.ru/catalog/materialy/protivopozharnye-materialy/2000523439-W121/","Открыть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30194909b99c46ce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Строительные материалы и ЖБИ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2000551392-W111</x:v>
      </x:c>
      <x:c r="C5" s="16" t="str">
        <x:v>БОЛТ БСР УЗ.1 24*300</x:v>
      </x:c>
      <x:c r="D5" s="16" t="str">
        <x:v>Проч строит матер-ы</x:v>
      </x:c>
      <x:c r="E5" s="16" t="str">
        <x:v>ШТ</x:v>
      </x:c>
      <x:c r="F5" s="25" t="n">
        <x:v>12</x:v>
      </x:c>
      <x:c r="G5" s="17" t="n">
        <x:v>47.738600000000005</x:v>
      </x:c>
      <x:c r="H5" s="17" t="n">
        <x:f>G5*F5</x:f>
        <x:v>572.8632</x:v>
      </x:c>
      <x:c r="I5" s="26" t="str">
        <x:f>HYPERLINK("https://etp-aktiv.ru/catalog/materialy/stroitelnye-materialy/2000551392-W111/","Открыть позицию")</x:f>
        <x:v>Открыть позицию</x:v>
      </x:c>
    </x:row>
    <x:row r="6" ht="28" customHeight="1">
      <x:c r="A6" s="16" t="str">
        <x:v>Барнаульская ТЭЦ-2</x:v>
      </x:c>
      <x:c r="B6" s="16" t="str">
        <x:v>2000312509-W111</x:v>
      </x:c>
      <x:c r="C6" s="16" t="str">
        <x:v>ДЮБЕЛЬ НЕЙЛОНОВЫЙ PND 6</x:v>
      </x:c>
      <x:c r="D6" s="16" t="str">
        <x:v>Проч строит матер-ы</x:v>
      </x:c>
      <x:c r="E6" s="16" t="str">
        <x:v>ШТ</x:v>
      </x:c>
      <x:c r="F6" s="25" t="n">
        <x:v>100</x:v>
      </x:c>
      <x:c r="G6" s="17" t="n">
        <x:v>0.061</x:v>
      </x:c>
      <x:c r="H6" s="17" t="n">
        <x:f>G6*F6</x:f>
        <x:v>6.1</x:v>
      </x:c>
      <x:c r="I6" s="26" t="str">
        <x:f>HYPERLINK("https://etp-aktiv.ru/catalog/materialy/stroitelnye-materialy/2000312509-W111/","Открыть позицию")</x:f>
        <x:v>Открыть позицию</x:v>
      </x:c>
    </x:row>
    <x:row r="7" ht="28" customHeight="1">
      <x:c r="A7" s="16" t="str">
        <x:v>Барнаульская ТЭЦ-2</x:v>
      </x:c>
      <x:c r="B7" s="16" t="str">
        <x:v>2000228901-W111</x:v>
      </x:c>
      <x:c r="C7" s="16" t="str">
        <x:v>МЕЛ ПРИРОДНЫЙ ММС1 ГОСТ12085-88</x:v>
      </x:c>
      <x:c r="D7" s="16" t="str">
        <x:v>Проч строит матер-ы</x:v>
      </x:c>
      <x:c r="E7" s="16" t="str">
        <x:v>КГ</x:v>
      </x:c>
      <x:c r="F7" s="25" t="n">
        <x:v>20</x:v>
      </x:c>
      <x:c r="G7" s="17" t="n">
        <x:v>77.3724</x:v>
      </x:c>
      <x:c r="H7" s="17" t="n">
        <x:f>G7*F7</x:f>
        <x:v>1547.4479999999999</x:v>
      </x:c>
      <x:c r="I7" s="26" t="str">
        <x:f>HYPERLINK("https://etp-aktiv.ru/catalog/materialy/stroitelnye-materialy/2000228901-W111/","Открыть позицию")</x:f>
        <x:v>Открыть позицию</x:v>
      </x:c>
    </x:row>
    <x:row r="8" ht="28" customHeight="1">
      <x:c r="A8" s="16" t="str">
        <x:v>Барнаульская ТЭЦ-2</x:v>
      </x:c>
      <x:c r="B8" s="16" t="str">
        <x:v>2000606799-W111</x:v>
      </x:c>
      <x:c r="C8" s="16" t="str">
        <x:v>ОРГСТЕКЛО ТОСП 6*1500*1700ММ</x:v>
      </x:c>
      <x:c r="D8" s="16" t="str">
        <x:v>Проч строит матер-ы</x:v>
      </x:c>
      <x:c r="E8" s="16" t="str">
        <x:v>КГ</x:v>
      </x:c>
      <x:c r="F8" s="25" t="n">
        <x:v>2</x:v>
      </x:c>
      <x:c r="G8" s="17" t="n">
        <x:v>279.99</x:v>
      </x:c>
      <x:c r="H8" s="17" t="n">
        <x:f>G8*F8</x:f>
        <x:v>559.98</x:v>
      </x:c>
      <x:c r="I8" s="26" t="str">
        <x:f>HYPERLINK("https://etp-aktiv.ru/catalog/materialy/stroitelnye-materialy/2000606799-W111/","Открыть позицию")</x:f>
        <x:v>Открыть позицию</x:v>
      </x:c>
    </x:row>
    <x:row r="9" ht="28" customHeight="1">
      <x:c r="A9" s="16" t="str">
        <x:v>Барнаульская ТЭЦ-3</x:v>
      </x:c>
      <x:c r="B9" s="16" t="str">
        <x:v>2001006987-W112</x:v>
      </x:c>
      <x:c r="C9" s="16" t="str">
        <x:v>АНКЕР ЛАТУН ЗАБИВН IEK CLP1M-AL-8 М8*31</x:v>
      </x:c>
      <x:c r="D9" s="16" t="str">
        <x:v>Проч строит матер-ы</x:v>
      </x:c>
      <x:c r="E9" s="16" t="str">
        <x:v>ШТ</x:v>
      </x:c>
      <x:c r="F9" s="25" t="n">
        <x:v>2</x:v>
      </x:c>
      <x:c r="G9" s="17" t="n">
        <x:v>14.1154</x:v>
      </x:c>
      <x:c r="H9" s="17" t="n">
        <x:f>G9*F9</x:f>
        <x:v>28.2308</x:v>
      </x:c>
      <x:c r="I9" s="26" t="str">
        <x:f>HYPERLINK("https://etp-aktiv.ru/catalog/materialy/stroitelnye-materialy/2001006987-W112/","Открыть позицию")</x:f>
        <x:v>Открыть позицию</x:v>
      </x:c>
    </x:row>
    <x:row r="10" ht="28" customHeight="1">
      <x:c r="A10" s="16" t="str">
        <x:v>Барнаульская ТЭЦ-3</x:v>
      </x:c>
      <x:c r="B10" s="16" t="str">
        <x:v>2000312509-W112</x:v>
      </x:c>
      <x:c r="C10" s="16" t="str">
        <x:v>ДЮБЕЛЬ НЕЙЛОНОВЫЙ PND 6</x:v>
      </x:c>
      <x:c r="D10" s="16" t="str">
        <x:v>Проч строит матер-ы</x:v>
      </x:c>
      <x:c r="E10" s="16" t="str">
        <x:v>ШТ</x:v>
      </x:c>
      <x:c r="F10" s="25" t="n">
        <x:v>29</x:v>
      </x:c>
      <x:c r="G10" s="17" t="n">
        <x:v>0.122</x:v>
      </x:c>
      <x:c r="H10" s="17" t="n">
        <x:f>G10*F10</x:f>
        <x:v>3.538</x:v>
      </x:c>
      <x:c r="I10" s="26" t="str">
        <x:f>HYPERLINK("https://etp-aktiv.ru/catalog/materialy/stroitelnye-materialy/2000312509-W112/","Открыть позицию")</x:f>
        <x:v>Открыть позицию</x:v>
      </x:c>
    </x:row>
    <x:row r="11" ht="28" customHeight="1">
      <x:c r="A11" s="16" t="str">
        <x:v>Барнаульская ТЭЦ-3</x:v>
      </x:c>
      <x:c r="B11" s="16" t="str">
        <x:v>2000278450-W112</x:v>
      </x:c>
      <x:c r="C11" s="16" t="str">
        <x:v>КАМЕНЬ БОРДЮРНЫЙ БР100-20-8 ГОСТ6665-91</x:v>
      </x:c>
      <x:c r="D11" s="16" t="str">
        <x:v>Железобетонные издел</x:v>
      </x:c>
      <x:c r="E11" s="16" t="str">
        <x:v>ШТ</x:v>
      </x:c>
      <x:c r="F11" s="25" t="n">
        <x:v>80</x:v>
      </x:c>
      <x:c r="G11" s="17" t="n">
        <x:v>122.9638</x:v>
      </x:c>
      <x:c r="H11" s="17" t="n">
        <x:f>G11*F11</x:f>
        <x:v>9837.104000000001</x:v>
      </x:c>
      <x:c r="I11" s="26" t="str">
        <x:f>HYPERLINK("https://etp-aktiv.ru/catalog/materialy/stroitelnye-materialy/2000278450-W112/","Открыть позицию")</x:f>
        <x:v>Открыть позицию</x:v>
      </x:c>
    </x:row>
    <x:row r="12" ht="28" customHeight="1">
      <x:c r="A12" s="16" t="str">
        <x:v>Барнаульская ТЭЦ-3</x:v>
      </x:c>
      <x:c r="B12" s="16" t="str">
        <x:v>2000236142-W112</x:v>
      </x:c>
      <x:c r="C12" s="16" t="str">
        <x:v>ПРЕОБРАЗОВАТЕЛЬ РЖАВЧИНЫ HOTEX-K</x:v>
      </x:c>
      <x:c r="D12" s="16" t="str">
        <x:v>Проч строит матер-ы</x:v>
      </x:c>
      <x:c r="E12" s="16" t="str">
        <x:v>КГ</x:v>
      </x:c>
      <x:c r="F12" s="25" t="n">
        <x:v>320</x:v>
      </x:c>
      <x:c r="G12" s="17" t="n">
        <x:v>170.79999999999998</x:v>
      </x:c>
      <x:c r="H12" s="17" t="n">
        <x:f>G12*F12</x:f>
        <x:v>54655.99999999999</x:v>
      </x:c>
      <x:c r="I12" s="26" t="str">
        <x:f>HYPERLINK("https://etp-aktiv.ru/catalog/materialy/stroitelnye-materialy/2000236142-W112/","Открыть позицию")</x:f>
        <x:v>Открыть позицию</x:v>
      </x:c>
    </x:row>
    <x:row r="13" ht="28" customHeight="1">
      <x:c r="A13" s="16" t="str">
        <x:v>Барнаульская ТЭЦ-3</x:v>
      </x:c>
      <x:c r="B13" s="16" t="str">
        <x:v>2000036174-W112</x:v>
      </x:c>
      <x:c r="C13" s="16" t="str">
        <x:v>ПРОФИЛЬ СТОЕЧНЫЙ ПС 75*50 3М</x:v>
      </x:c>
      <x:c r="D13" s="16" t="str">
        <x:v>Проч строит матер-ы</x:v>
      </x:c>
      <x:c r="E13" s="16" t="str">
        <x:v>ШТ</x:v>
      </x:c>
      <x:c r="F13" s="25" t="n">
        <x:v>40</x:v>
      </x:c>
      <x:c r="G13" s="17" t="n">
        <x:v>139.3118</x:v>
      </x:c>
      <x:c r="H13" s="17" t="n">
        <x:f>G13*F13</x:f>
        <x:v>5572.472</x:v>
      </x:c>
      <x:c r="I13" s="26" t="str">
        <x:f>HYPERLINK("https://etp-aktiv.ru/catalog/materialy/stroitelnye-materialy/2000036174-W112/","Открыть позицию")</x:f>
        <x:v>Открыть позицию</x:v>
      </x:c>
    </x:row>
    <x:row r="14" ht="28" customHeight="1">
      <x:c r="A14" s="16" t="str">
        <x:v>Барнаульская ТЭЦ-3</x:v>
      </x:c>
      <x:c r="B14" s="16" t="str">
        <x:v>2000694770-W112</x:v>
      </x:c>
      <x:c r="C14" s="16" t="str">
        <x:v>ШУРУП СММ ПР.Ш.ОСТРЫЙ 200ШТ 4,2*16ММ</x:v>
      </x:c>
      <x:c r="D14" s="16" t="str">
        <x:v>Проч строит матер-ы</x:v>
      </x:c>
      <x:c r="E14" s="16" t="str">
        <x:v>УПК</x:v>
      </x:c>
      <x:c r="F14" s="24" t="n">
        <x:v>11.89</x:v>
      </x:c>
      <x:c r="G14" s="17" t="n">
        <x:v>88.90140000000001</x:v>
      </x:c>
      <x:c r="H14" s="17" t="n">
        <x:f>G14*F14</x:f>
        <x:v>1057.0376460000002</x:v>
      </x:c>
      <x:c r="I14" s="26" t="str">
        <x:f>HYPERLINK("https://etp-aktiv.ru/catalog/materialy/stroitelnye-materialy/2000694770-W112/","Открыть позицию")</x:f>
        <x:v>Открыть позицию</x:v>
      </x:c>
    </x:row>
    <x:row r="15" ht="28" customHeight="1">
      <x:c r="A15" s="16" t="str">
        <x:v>Бийскэнерго</x:v>
      </x:c>
      <x:c r="B15" s="16" t="str">
        <x:v>2000551452-W113</x:v>
      </x:c>
      <x:c r="C15" s="16" t="str">
        <x:v>ВИНТ САМОНАРЕЗАЮЩИЙ CBL Z 5,5*16</x:v>
      </x:c>
      <x:c r="D15" s="16" t="str">
        <x:v>Проч строит матер-ы</x:v>
      </x:c>
      <x:c r="E15" s="16" t="str">
        <x:v>ШТ</x:v>
      </x:c>
      <x:c r="F15" s="25" t="n">
        <x:v>100</x:v>
      </x:c>
      <x:c r="G15" s="17" t="n">
        <x:v>0.5612</x:v>
      </x:c>
      <x:c r="H15" s="17" t="n">
        <x:f>G15*F15</x:f>
        <x:v>56.120000000000005</x:v>
      </x:c>
      <x:c r="I15" s="26" t="str">
        <x:f>HYPERLINK("https://etp-aktiv.ru/catalog/materialy/stroitelnye-materialy/2000551452-W113/","Открыть позицию")</x:f>
        <x:v>Открыть позицию</x:v>
      </x:c>
    </x:row>
    <x:row r="16" ht="28" customHeight="1">
      <x:c r="A16" s="16" t="str">
        <x:v>Бийскэнерго</x:v>
      </x:c>
      <x:c r="B16" s="16" t="str">
        <x:v>2000551456-W113</x:v>
      </x:c>
      <x:c r="C16" s="16" t="str">
        <x:v>ВИНТ САМОНАРЕЗАЮЩИЙ ШСГД 3,5*45</x:v>
      </x:c>
      <x:c r="D16" s="16" t="str">
        <x:v>Проч строит матер-ы</x:v>
      </x:c>
      <x:c r="E16" s="16" t="str">
        <x:v>ШТ</x:v>
      </x:c>
      <x:c r="F16" s="25" t="n">
        <x:v>50</x:v>
      </x:c>
      <x:c r="G16" s="17" t="n">
        <x:v>0.5733999999999999</x:v>
      </x:c>
      <x:c r="H16" s="17" t="n">
        <x:f>G16*F16</x:f>
        <x:v>28.669999999999995</x:v>
      </x:c>
      <x:c r="I16" s="26" t="str">
        <x:f>HYPERLINK("https://etp-aktiv.ru/catalog/materialy/stroitelnye-materialy/2000551456-W113/","Открыть позицию")</x:f>
        <x:v>Открыть позицию</x:v>
      </x:c>
    </x:row>
    <x:row r="17" ht="28" customHeight="1">
      <x:c r="A17" s="16" t="str">
        <x:v>Бийскэнерго</x:v>
      </x:c>
      <x:c r="B17" s="16" t="str">
        <x:v>2000551474-W113</x:v>
      </x:c>
      <x:c r="C17" s="16" t="str">
        <x:v>ВИНТ САМОНАРЕЗАЮЩИЙ ШСММ 4,2*25</x:v>
      </x:c>
      <x:c r="D17" s="16" t="str">
        <x:v>Проч строит матер-ы</x:v>
      </x:c>
      <x:c r="E17" s="16" t="str">
        <x:v>ШТ</x:v>
      </x:c>
      <x:c r="F17" s="25" t="n">
        <x:v>199</x:v>
      </x:c>
      <x:c r="G17" s="17" t="n">
        <x:v>1.0126</x:v>
      </x:c>
      <x:c r="H17" s="17" t="n">
        <x:f>G17*F17</x:f>
        <x:v>201.5074</x:v>
      </x:c>
      <x:c r="I17" s="26" t="str">
        <x:f>HYPERLINK("https://etp-aktiv.ru/catalog/materialy/stroitelnye-materialy/2000551474-W113/","Открыть позицию")</x:f>
        <x:v>Открыть позицию</x:v>
      </x:c>
    </x:row>
    <x:row r="18" ht="28" customHeight="1">
      <x:c r="A18" s="16" t="str">
        <x:v>Бийскэнерго</x:v>
      </x:c>
      <x:c r="B18" s="16" t="str">
        <x:v>2000551475-W113</x:v>
      </x:c>
      <x:c r="C18" s="16" t="str">
        <x:v>ВИНТ САМОНАРЕЗАЮЩИЙ ШСММ 4,2*32</x:v>
      </x:c>
      <x:c r="D18" s="16" t="str">
        <x:v>Проч строит матер-ы</x:v>
      </x:c>
      <x:c r="E18" s="16" t="str">
        <x:v>ШТ</x:v>
      </x:c>
      <x:c r="F18" s="25" t="n">
        <x:v>300</x:v>
      </x:c>
      <x:c r="G18" s="17" t="n">
        <x:v>0.1952</x:v>
      </x:c>
      <x:c r="H18" s="17" t="n">
        <x:f>G18*F18</x:f>
        <x:v>58.56</x:v>
      </x:c>
      <x:c r="I18" s="26" t="str">
        <x:f>HYPERLINK("https://etp-aktiv.ru/catalog/materialy/stroitelnye-materialy/2000551475-W113/","Открыть позицию")</x:f>
        <x:v>Открыть позицию</x:v>
      </x:c>
    </x:row>
    <x:row r="19" ht="28" customHeight="1">
      <x:c r="A19" s="16" t="str">
        <x:v>Бийскэнерго</x:v>
      </x:c>
      <x:c r="B19" s="16" t="str">
        <x:v>2000550609-W113</x:v>
      </x:c>
      <x:c r="C19" s="16" t="str">
        <x:v>ГЕРМЕТИК MAKROFLEX SX101 290МЛ БЕСЦВЕТН</x:v>
      </x:c>
      <x:c r="D19" s="16" t="str">
        <x:v>Проч строит матер-ы</x:v>
      </x:c>
      <x:c r="E19" s="16" t="str">
        <x:v>ШТ</x:v>
      </x:c>
      <x:c r="F19" s="25" t="n">
        <x:v>10</x:v>
      </x:c>
      <x:c r="G19" s="17" t="n">
        <x:v>358.4604</x:v>
      </x:c>
      <x:c r="H19" s="17" t="n">
        <x:f>G19*F19</x:f>
        <x:v>3584.604</x:v>
      </x:c>
      <x:c r="I19" s="26" t="str">
        <x:f>HYPERLINK("https://etp-aktiv.ru/catalog/materialy/stroitelnye-materialy/2000550609-W113/","Открыть позицию")</x:f>
        <x:v>Открыть позицию</x:v>
      </x:c>
    </x:row>
    <x:row r="20" ht="28" customHeight="1">
      <x:c r="A20" s="16" t="str">
        <x:v>Бийскэнерго</x:v>
      </x:c>
      <x:c r="B20" s="16" t="str">
        <x:v>2000551397-W113</x:v>
      </x:c>
      <x:c r="C20" s="16" t="str">
        <x:v>ДЮБЕЛЬ DRIVA 15*32</x:v>
      </x:c>
      <x:c r="D20" s="16" t="str">
        <x:v>Проч строит матер-ы</x:v>
      </x:c>
      <x:c r="E20" s="16" t="str">
        <x:v>ШТ</x:v>
      </x:c>
      <x:c r="F20" s="25" t="n">
        <x:v>80</x:v>
      </x:c>
      <x:c r="G20" s="17" t="n">
        <x:v>0.8052</x:v>
      </x:c>
      <x:c r="H20" s="17" t="n">
        <x:f>G20*F20</x:f>
        <x:v>64.416</x:v>
      </x:c>
      <x:c r="I20" s="26" t="str">
        <x:f>HYPERLINK("https://etp-aktiv.ru/catalog/materialy/stroitelnye-materialy/2000551397-W113/","Открыть позицию")</x:f>
        <x:v>Открыть позицию</x:v>
      </x:c>
    </x:row>
    <x:row r="21" ht="28" customHeight="1">
      <x:c r="A21" s="16" t="str">
        <x:v>Бийскэнерго</x:v>
      </x:c>
      <x:c r="B21" s="16" t="str">
        <x:v>2000551429-W113</x:v>
      </x:c>
      <x:c r="C21" s="16" t="str">
        <x:v>ДЮБЕЛЬ КРОВЕЛЬНЫЙ РОКС 120</x:v>
      </x:c>
      <x:c r="D21" s="16" t="str">
        <x:v>Проч строит матер-ы</x:v>
      </x:c>
      <x:c r="E21" s="16" t="str">
        <x:v>ШТ</x:v>
      </x:c>
      <x:c r="F21" s="25" t="n">
        <x:v>3400</x:v>
      </x:c>
      <x:c r="G21" s="17" t="n">
        <x:v>0.4758</x:v>
      </x:c>
      <x:c r="H21" s="17" t="n">
        <x:f>G21*F21</x:f>
        <x:v>1617.72</x:v>
      </x:c>
      <x:c r="I21" s="26" t="str">
        <x:f>HYPERLINK("https://etp-aktiv.ru/catalog/materialy/stroitelnye-materialy/2000551429-W113/","Открыть позицию")</x:f>
        <x:v>Открыть позицию</x:v>
      </x:c>
    </x:row>
    <x:row r="22" ht="28" customHeight="1">
      <x:c r="A22" s="16" t="str">
        <x:v>Бийскэнерго</x:v>
      </x:c>
      <x:c r="B22" s="16" t="str">
        <x:v>2000931429-W113</x:v>
      </x:c>
      <x:c r="C22" s="16" t="str">
        <x:v>ДЮБЕЛЬ РАСП ZUM С БОРТ 6*37ММ TECH-KREP</x:v>
      </x:c>
      <x:c r="D22" s="16" t="str">
        <x:v>Проч строит матер-ы</x:v>
      </x:c>
      <x:c r="E22" s="16" t="str">
        <x:v>ШТ</x:v>
      </x:c>
      <x:c r="F22" s="25" t="n">
        <x:v>590</x:v>
      </x:c>
      <x:c r="G22" s="17" t="n">
        <x:v>1.098</x:v>
      </x:c>
      <x:c r="H22" s="17" t="n">
        <x:f>G22*F22</x:f>
        <x:v>647.82</x:v>
      </x:c>
      <x:c r="I22" s="26" t="str">
        <x:f>HYPERLINK("https://etp-aktiv.ru/catalog/materialy/stroitelnye-materialy/2000931429-W113/","Открыть позицию")</x:f>
        <x:v>Открыть позицию</x:v>
      </x:c>
    </x:row>
    <x:row r="23" ht="28" customHeight="1">
      <x:c r="A23" s="16" t="str">
        <x:v>Бийскэнерго</x:v>
      </x:c>
      <x:c r="B23" s="16" t="str">
        <x:v>2000551405-W113</x:v>
      </x:c>
      <x:c r="C23" s="16" t="str">
        <x:v>ДЮБЕЛЬ РАСПОРНЫЙ TCHAPPAI 40246 6,0*60</x:v>
      </x:c>
      <x:c r="D23" s="16" t="str">
        <x:v>Проч строит матер-ы</x:v>
      </x:c>
      <x:c r="E23" s="16" t="str">
        <x:v>ШТ</x:v>
      </x:c>
      <x:c r="F23" s="25" t="n">
        <x:v>40</x:v>
      </x:c>
      <x:c r="G23" s="17" t="n">
        <x:v>0.244</x:v>
      </x:c>
      <x:c r="H23" s="17" t="n">
        <x:f>G23*F23</x:f>
        <x:v>9.76</x:v>
      </x:c>
      <x:c r="I23" s="26" t="str">
        <x:f>HYPERLINK("https://etp-aktiv.ru/catalog/materialy/stroitelnye-materialy/2000551405-W113/","Открыть позицию")</x:f>
        <x:v>Открыть позицию</x:v>
      </x:c>
    </x:row>
    <x:row r="24" ht="28" customHeight="1">
      <x:c r="A24" s="16" t="str">
        <x:v>Бийскэнерго</x:v>
      </x:c>
      <x:c r="B24" s="16" t="str">
        <x:v>2000551419-W113</x:v>
      </x:c>
      <x:c r="C24" s="16" t="str">
        <x:v>ДЮБЕЛЬ-ГВОЗДЬ OMAX 8*100</x:v>
      </x:c>
      <x:c r="D24" s="16" t="str">
        <x:v>Проч строит матер-ы</x:v>
      </x:c>
      <x:c r="E24" s="16" t="str">
        <x:v>ШТ</x:v>
      </x:c>
      <x:c r="F24" s="25" t="n">
        <x:v>100</x:v>
      </x:c>
      <x:c r="G24" s="17" t="n">
        <x:v>0.427</x:v>
      </x:c>
      <x:c r="H24" s="17" t="n">
        <x:f>G24*F24</x:f>
        <x:v>42.699999999999996</x:v>
      </x:c>
      <x:c r="I24" s="26" t="str">
        <x:f>HYPERLINK("https://etp-aktiv.ru/catalog/materialy/stroitelnye-materialy/2000551419-W113/","Открыть позицию")</x:f>
        <x:v>Открыть позицию</x:v>
      </x:c>
    </x:row>
    <x:row r="25" ht="28" customHeight="1">
      <x:c r="A25" s="16" t="str">
        <x:v>Бийскэнерго</x:v>
      </x:c>
      <x:c r="B25" s="16" t="str">
        <x:v>2000697342-W113</x:v>
      </x:c>
      <x:c r="C25" s="16" t="str">
        <x:v>ДЮБЕЛЬ-ГВОЗДЬ SM-L 6*60ММ</x:v>
      </x:c>
      <x:c r="D25" s="16" t="str">
        <x:v>Проч строит матер-ы</x:v>
      </x:c>
      <x:c r="E25" s="16" t="str">
        <x:v>ШТ</x:v>
      </x:c>
      <x:c r="F25" s="25" t="n">
        <x:v>100</x:v>
      </x:c>
      <x:c r="G25" s="17" t="n">
        <x:v>2.4766</x:v>
      </x:c>
      <x:c r="H25" s="17" t="n">
        <x:f>G25*F25</x:f>
        <x:v>247.66</x:v>
      </x:c>
      <x:c r="I25" s="26" t="str">
        <x:f>HYPERLINK("https://etp-aktiv.ru/catalog/materialy/stroitelnye-materialy/2000697342-W113/","Открыть позицию")</x:f>
        <x:v>Открыть позицию</x:v>
      </x:c>
    </x:row>
    <x:row r="26" ht="28" customHeight="1">
      <x:c r="A26" s="16" t="str">
        <x:v>Бийскэнерго</x:v>
      </x:c>
      <x:c r="B26" s="16" t="str">
        <x:v>2000025553-W113</x:v>
      </x:c>
      <x:c r="C26" s="16" t="str">
        <x:v>КИРПИЧ ОГНЕУП КЛИН РЕБР ШБ-44 ГОСТ390-96</x:v>
      </x:c>
      <x:c r="D26" s="16" t="str">
        <x:v>Огнеупорные мат-лы</x:v>
      </x:c>
      <x:c r="E26" s="16" t="str">
        <x:v>Т</x:v>
      </x:c>
      <x:c r="F26" s="30" t="n">
        <x:v>0.3</x:v>
      </x:c>
      <x:c r="G26" s="17" t="n">
        <x:v>6011.8916</x:v>
      </x:c>
      <x:c r="H26" s="17" t="n">
        <x:f>G26*F26</x:f>
        <x:v>1803.56748</x:v>
      </x:c>
      <x:c r="I26" s="26" t="str">
        <x:f>HYPERLINK("https://etp-aktiv.ru/catalog/materialy/ogneupornye-materialy/2000025553-W113/","Открыть позицию")</x:f>
        <x:v>Открыть позицию</x:v>
      </x:c>
    </x:row>
    <x:row r="27" ht="28" customHeight="1">
      <x:c r="A27" s="16" t="str">
        <x:v>Бийскэнерго</x:v>
      </x:c>
      <x:c r="B27" s="16" t="str">
        <x:v>2000551716-W113</x:v>
      </x:c>
      <x:c r="C27" s="16" t="str">
        <x:v>КИРПИЧ ШАМ 232990</x:v>
      </x:c>
      <x:c r="D27" s="16" t="str">
        <x:v>Огнеупорные мат-лы</x:v>
      </x:c>
      <x:c r="E27" s="16" t="str">
        <x:v>Т</x:v>
      </x:c>
      <x:c r="F27" s="30" t="n">
        <x:v>0.796</x:v>
      </x:c>
      <x:c r="G27" s="17" t="n">
        <x:v>2955.3889999999997</x:v>
      </x:c>
      <x:c r="H27" s="17" t="n">
        <x:f>G27*F27</x:f>
        <x:v>2352.4896439999998</x:v>
      </x:c>
      <x:c r="I27" s="26" t="str">
        <x:f>HYPERLINK("https://etp-aktiv.ru/catalog/materialy/ogneupornye-materialy/2000551716-W113/","Открыть позицию")</x:f>
        <x:v>Открыть позицию</x:v>
      </x:c>
    </x:row>
    <x:row r="28" ht="28" customHeight="1">
      <x:c r="A28" s="16" t="str">
        <x:v>Бийскэнерго</x:v>
      </x:c>
      <x:c r="B28" s="16" t="str">
        <x:v>2000243413-W113</x:v>
      </x:c>
      <x:c r="C28" s="16" t="str">
        <x:v>КИРПИЧ ШАМОТНЫЙ ФАСОН К-295 ГОСТ8691-73</x:v>
      </x:c>
      <x:c r="D28" s="16" t="str">
        <x:v>Огнеупорные мат-лы</x:v>
      </x:c>
      <x:c r="E28" s="16" t="str">
        <x:v>Т</x:v>
      </x:c>
      <x:c r="F28" s="24" t="n">
        <x:v>2.7</x:v>
      </x:c>
      <x:c r="G28" s="17" t="n">
        <x:v>9671.2816</x:v>
      </x:c>
      <x:c r="H28" s="17" t="n">
        <x:f>G28*F28</x:f>
        <x:v>26112.460320000002</x:v>
      </x:c>
      <x:c r="I28" s="26" t="str">
        <x:f>HYPERLINK("https://etp-aktiv.ru/catalog/materialy/ogneupornye-materialy/2000243413-W113/","Открыть позицию")</x:f>
        <x:v>Открыть позицию</x:v>
      </x:c>
    </x:row>
    <x:row r="29" ht="28" customHeight="1">
      <x:c r="A29" s="16" t="str">
        <x:v>Бийскэнерго</x:v>
      </x:c>
      <x:c r="B29" s="16" t="str">
        <x:v>2000500089-W113</x:v>
      </x:c>
      <x:c r="C29" s="16" t="str">
        <x:v>СМЕСЬ КТТРОН-3 Т500</x:v>
      </x:c>
      <x:c r="D29" s="16" t="str">
        <x:v>Проч строит матер-ы</x:v>
      </x:c>
      <x:c r="E29" s="16" t="str">
        <x:v>КГ</x:v>
      </x:c>
      <x:c r="F29" s="25" t="n">
        <x:v>9</x:v>
      </x:c>
      <x:c r="G29" s="17" t="n">
        <x:v>57.339999999999996</x:v>
      </x:c>
      <x:c r="H29" s="17" t="n">
        <x:f>G29*F29</x:f>
        <x:v>516.06</x:v>
      </x:c>
      <x:c r="I29" s="26" t="str">
        <x:f>HYPERLINK("https://etp-aktiv.ru/catalog/materialy/stroitelnye-materialy/2000500089-W113/","Открыть позицию")</x:f>
        <x:v>Открыть позицию</x:v>
      </x:c>
    </x:row>
    <x:row r="30" ht="28" customHeight="1">
      <x:c r="A30" s="16" t="str">
        <x:v>БийскэнергоТеплоТранзит</x:v>
      </x:c>
      <x:c r="B30" s="16" t="str">
        <x:v>2000557007-W123</x:v>
      </x:c>
      <x:c r="C30" s="16" t="str">
        <x:v>БАЛКА Б-2 С.3.006.1-2.87 В.6</x:v>
      </x:c>
      <x:c r="D30" s="16" t="str">
        <x:v>Железобетонные издел</x:v>
      </x:c>
      <x:c r="E30" s="16" t="str">
        <x:v>ШТ</x:v>
      </x:c>
      <x:c r="F30" s="25" t="n">
        <x:v>1</x:v>
      </x:c>
      <x:c r="G30" s="17" t="n">
        <x:v>496.7596</x:v>
      </x:c>
      <x:c r="H30" s="17" t="n">
        <x:f>G30*F30</x:f>
        <x:v>496.7596</x:v>
      </x:c>
      <x:c r="I30" s="26" t="str">
        <x:f>HYPERLINK("https://etp-aktiv.ru/catalog/materialy/stroitelnye-materialy/2000557007-W123/","Открыть позицию")</x:f>
        <x:v>Открыть позицию</x:v>
      </x:c>
    </x:row>
    <x:row r="31" ht="28" customHeight="1">
      <x:c r="A31" s="16" t="str">
        <x:v>БийскэнергоТеплоТранзит</x:v>
      </x:c>
      <x:c r="B31" s="16" t="str">
        <x:v>2000557002-W123</x:v>
      </x:c>
      <x:c r="C31" s="16" t="str">
        <x:v>БАЛКА Б8 С.3.006.1-8 В.1-2</x:v>
      </x:c>
      <x:c r="D31" s="16" t="str">
        <x:v>Железобетонные издел</x:v>
      </x:c>
      <x:c r="E31" s="16" t="str">
        <x:v>ШТ</x:v>
      </x:c>
      <x:c r="F31" s="25" t="n">
        <x:v>4</x:v>
      </x:c>
      <x:c r="G31" s="17" t="n">
        <x:v>615.5631999999999</x:v>
      </x:c>
      <x:c r="H31" s="17" t="n">
        <x:f>G31*F31</x:f>
        <x:v>2462.2527999999998</x:v>
      </x:c>
      <x:c r="I31" s="26" t="str">
        <x:f>HYPERLINK("https://etp-aktiv.ru/catalog/materialy/stroitelnye-materialy/2000557002-W123/","Открыть позицию")</x:f>
        <x:v>Открыть позицию</x:v>
      </x:c>
    </x:row>
    <x:row r="32" ht="28" customHeight="1">
      <x:c r="A32" s="16" t="str">
        <x:v>БийскэнергоТеплоТранзит</x:v>
      </x:c>
      <x:c r="B32" s="16" t="str">
        <x:v>2000557004-W123</x:v>
      </x:c>
      <x:c r="C32" s="16" t="str">
        <x:v>БАЛКА Б9 С.3.006.1-8 В.1-2</x:v>
      </x:c>
      <x:c r="D32" s="16" t="str">
        <x:v>Железобетонные издел</x:v>
      </x:c>
      <x:c r="E32" s="16" t="str">
        <x:v>ШТ</x:v>
      </x:c>
      <x:c r="F32" s="25" t="n">
        <x:v>1</x:v>
      </x:c>
      <x:c r="G32" s="17" t="n">
        <x:v>1029.375</x:v>
      </x:c>
      <x:c r="H32" s="17" t="n">
        <x:f>G32*F32</x:f>
        <x:v>1029.375</x:v>
      </x:c>
      <x:c r="I32" s="26" t="str">
        <x:f>HYPERLINK("https://etp-aktiv.ru/catalog/materialy/stroitelnye-materialy/2000557004-W123/","Открыть позицию")</x:f>
        <x:v>Открыть позицию</x:v>
      </x:c>
    </x:row>
    <x:row r="33" ht="28" customHeight="1">
      <x:c r="A33" s="16" t="str">
        <x:v>БийскэнергоТеплоТранзит</x:v>
      </x:c>
      <x:c r="B33" s="16" t="str">
        <x:v>2000158788-W123</x:v>
      </x:c>
      <x:c r="C33" s="16" t="str">
        <x:v>БАЛКА Ж/Б Б-1 С.3.006.1-2/87</x:v>
      </x:c>
      <x:c r="D33" s="16" t="str">
        <x:v>Железобетонные издел</x:v>
      </x:c>
      <x:c r="E33" s="16" t="str">
        <x:v>ШТ</x:v>
      </x:c>
      <x:c r="F33" s="25" t="n">
        <x:v>3</x:v>
      </x:c>
      <x:c r="G33" s="17" t="n">
        <x:v>324.825</x:v>
      </x:c>
      <x:c r="H33" s="17" t="n">
        <x:f>G33*F33</x:f>
        <x:v>974.4749999999999</x:v>
      </x:c>
      <x:c r="I33" s="26" t="str">
        <x:f>HYPERLINK("https://etp-aktiv.ru/catalog/materialy/stroitelnye-materialy/2000158788-W123/","Открыть позицию")</x:f>
        <x:v>Открыть позицию</x:v>
      </x:c>
    </x:row>
    <x:row r="34" ht="28" customHeight="1">
      <x:c r="A34" s="16" t="str">
        <x:v>БийскэнергоТеплоТранзит</x:v>
      </x:c>
      <x:c r="B34" s="16" t="str">
        <x:v>2000570405-W123</x:v>
      </x:c>
      <x:c r="C34" s="16" t="str">
        <x:v>БЛОК ФБС 18.4.6-Т ГОСТ13579-2018</x:v>
      </x:c>
      <x:c r="D34" s="16" t="str">
        <x:v>Железобетонные издел</x:v>
      </x:c>
      <x:c r="E34" s="16" t="str">
        <x:v>ШТ</x:v>
      </x:c>
      <x:c r="F34" s="25" t="n">
        <x:v>40</x:v>
      </x:c>
      <x:c r="G34" s="17" t="n">
        <x:v>2829.9608</x:v>
      </x:c>
      <x:c r="H34" s="17" t="n">
        <x:f>G34*F34</x:f>
        <x:v>113198.432</x:v>
      </x:c>
      <x:c r="I34" s="26" t="str">
        <x:f>HYPERLINK("https://etp-aktiv.ru/catalog/materialy/stroitelnye-materialy/2000570405-W123/","Открыть позицию")</x:f>
        <x:v>Открыть позицию</x:v>
      </x:c>
    </x:row>
    <x:row r="35" ht="28" customHeight="1">
      <x:c r="A35" s="16" t="str">
        <x:v>БийскэнергоТеплоТранзит</x:v>
      </x:c>
      <x:c r="B35" s="16" t="str">
        <x:v>2000551454-W123</x:v>
      </x:c>
      <x:c r="C35" s="16" t="str">
        <x:v>ВИНТ САМОНАРЕЗАЮЩИЙ ШСГД 3,5*32</x:v>
      </x:c>
      <x:c r="D35" s="16" t="str">
        <x:v>Проч строит матер-ы</x:v>
      </x:c>
      <x:c r="E35" s="16" t="str">
        <x:v>ШТ</x:v>
      </x:c>
      <x:c r="F35" s="25" t="n">
        <x:v>22100</x:v>
      </x:c>
      <x:c r="G35" s="17" t="n">
        <x:v>0.0244</x:v>
      </x:c>
      <x:c r="H35" s="17" t="n">
        <x:f>G35*F35</x:f>
        <x:v>539.24</x:v>
      </x:c>
      <x:c r="I35" s="26" t="str">
        <x:f>HYPERLINK("https://etp-aktiv.ru/catalog/materialy/stroitelnye-materialy/2000551454-W123/","Открыть позицию")</x:f>
        <x:v>Открыть позицию</x:v>
      </x:c>
    </x:row>
    <x:row r="36" ht="28" customHeight="1">
      <x:c r="A36" s="16" t="str">
        <x:v>БийскэнергоТеплоТранзит</x:v>
      </x:c>
      <x:c r="B36" s="16" t="str">
        <x:v>2000551455-W123</x:v>
      </x:c>
      <x:c r="C36" s="16" t="str">
        <x:v>ВИНТ САМОНАРЕЗАЮЩИЙ ШСГД 3,5*41</x:v>
      </x:c>
      <x:c r="D36" s="16" t="str">
        <x:v>Проч строит матер-ы</x:v>
      </x:c>
      <x:c r="E36" s="16" t="str">
        <x:v>ШТ</x:v>
      </x:c>
      <x:c r="F36" s="25" t="n">
        <x:v>9878</x:v>
      </x:c>
      <x:c r="G36" s="17" t="n">
        <x:v>0.0732</x:v>
      </x:c>
      <x:c r="H36" s="17" t="n">
        <x:f>G36*F36</x:f>
        <x:v>723.0696</x:v>
      </x:c>
      <x:c r="I36" s="26" t="str">
        <x:f>HYPERLINK("https://etp-aktiv.ru/catalog/materialy/stroitelnye-materialy/2000551455-W123/","Открыть позицию")</x:f>
        <x:v>Открыть позицию</x:v>
      </x:c>
    </x:row>
    <x:row r="37" ht="28" customHeight="1">
      <x:c r="A37" s="16" t="str">
        <x:v>БийскэнергоТеплоТранзит</x:v>
      </x:c>
      <x:c r="B37" s="16" t="str">
        <x:v>2000551457-W123</x:v>
      </x:c>
      <x:c r="C37" s="16" t="str">
        <x:v>ВИНТ САМОНАРЕЗАЮЩИЙ ШСГД 3,5*51</x:v>
      </x:c>
      <x:c r="D37" s="16" t="str">
        <x:v>Проч строит матер-ы</x:v>
      </x:c>
      <x:c r="E37" s="16" t="str">
        <x:v>ШТ</x:v>
      </x:c>
      <x:c r="F37" s="25" t="n">
        <x:v>890</x:v>
      </x:c>
      <x:c r="G37" s="17" t="n">
        <x:v>0.0976</x:v>
      </x:c>
      <x:c r="H37" s="17" t="n">
        <x:f>G37*F37</x:f>
        <x:v>86.864</x:v>
      </x:c>
      <x:c r="I37" s="26" t="str">
        <x:f>HYPERLINK("https://etp-aktiv.ru/catalog/materialy/stroitelnye-materialy/2000551457-W123/","Открыть позицию")</x:f>
        <x:v>Открыть позицию</x:v>
      </x:c>
    </x:row>
    <x:row r="38" ht="28" customHeight="1">
      <x:c r="A38" s="16" t="str">
        <x:v>БийскэнергоТеплоТранзит</x:v>
      </x:c>
      <x:c r="B38" s="16" t="str">
        <x:v>2000438647-W123</x:v>
      </x:c>
      <x:c r="C38" s="16" t="str">
        <x:v>ДНИЩЕ ПД15 ГОСТ8020-90</x:v>
      </x:c>
      <x:c r="D38" s="16" t="str">
        <x:v>Железобетонные издел</x:v>
      </x:c>
      <x:c r="E38" s="16" t="str">
        <x:v>ШТ</x:v>
      </x:c>
      <x:c r="F38" s="25" t="n">
        <x:v>1</x:v>
      </x:c>
      <x:c r="G38" s="17" t="n">
        <x:v>964.2392</x:v>
      </x:c>
      <x:c r="H38" s="17" t="n">
        <x:f>G38*F38</x:f>
        <x:v>964.2392</x:v>
      </x:c>
      <x:c r="I38" s="26" t="str">
        <x:f>HYPERLINK("https://etp-aktiv.ru/catalog/materialy/stroitelnye-materialy/2000438647-W123/","Открыть позицию")</x:f>
        <x:v>Открыть позицию</x:v>
      </x:c>
    </x:row>
    <x:row r="39" ht="28" customHeight="1">
      <x:c r="A39" s="16" t="str">
        <x:v>БийскэнергоТеплоТранзит</x:v>
      </x:c>
      <x:c r="B39" s="16" t="str">
        <x:v>2000557284-W123</x:v>
      </x:c>
      <x:c r="C39" s="16" t="str">
        <x:v>ЛОТОК 1/2 Л23-12 2970*2460*740 3.006.1-2</x:v>
      </x:c>
      <x:c r="D39" s="16" t="str">
        <x:v>Железобетонные издел</x:v>
      </x:c>
      <x:c r="E39" s="16" t="str">
        <x:v>ШТ</x:v>
      </x:c>
      <x:c r="F39" s="25" t="n">
        <x:v>1</x:v>
      </x:c>
      <x:c r="G39" s="17" t="n">
        <x:v>35939.979999999996</x:v>
      </x:c>
      <x:c r="H39" s="17" t="n">
        <x:f>G39*F39</x:f>
        <x:v>35939.979999999996</x:v>
      </x:c>
      <x:c r="I39" s="26" t="str">
        <x:f>HYPERLINK("https://etp-aktiv.ru/catalog/materialy/stroitelnye-materialy/2000557284-W123/","Открыть позицию")</x:f>
        <x:v>Открыть позицию</x:v>
      </x:c>
    </x:row>
    <x:row r="40" ht="28" customHeight="1">
      <x:c r="A40" s="16" t="str">
        <x:v>БийскэнергоТеплоТранзит</x:v>
      </x:c>
      <x:c r="B40" s="16" t="str">
        <x:v>2000557287-W123</x:v>
      </x:c>
      <x:c r="C40" s="16" t="str">
        <x:v>ЛОТОК 1/2Л16-11 2970*1840*1030 3.006.1-2</x:v>
      </x:c>
      <x:c r="D40" s="16" t="str">
        <x:v>Железобетонные издел</x:v>
      </x:c>
      <x:c r="E40" s="16" t="str">
        <x:v>ШТ</x:v>
      </x:c>
      <x:c r="F40" s="25" t="n">
        <x:v>12</x:v>
      </x:c>
      <x:c r="G40" s="17" t="n">
        <x:v>41300.354999999996</x:v>
      </x:c>
      <x:c r="H40" s="17" t="n">
        <x:f>G40*F40</x:f>
        <x:v>495604.25999999995</x:v>
      </x:c>
      <x:c r="I40" s="26" t="str">
        <x:f>HYPERLINK("https://etp-aktiv.ru/catalog/materialy/stroitelnye-materialy/2000557287-W123/","Открыть позицию")</x:f>
        <x:v>Открыть позицию</x:v>
      </x:c>
    </x:row>
    <x:row r="41" ht="28" customHeight="1">
      <x:c r="A41" s="16" t="str">
        <x:v>БийскэнергоТеплоТранзит</x:v>
      </x:c>
      <x:c r="B41" s="16" t="str">
        <x:v>2000249074-W123</x:v>
      </x:c>
      <x:c r="C41" s="16" t="str">
        <x:v>ЛОТОК Ж/Б Л12-8 С.3.006.1-2.87</x:v>
      </x:c>
      <x:c r="D41" s="16" t="str">
        <x:v>Железобетонные издел</x:v>
      </x:c>
      <x:c r="E41" s="16" t="str">
        <x:v>ШТ</x:v>
      </x:c>
      <x:c r="F41" s="25" t="n">
        <x:v>2</x:v>
      </x:c>
      <x:c r="G41" s="17" t="n">
        <x:v>51951.6626</x:v>
      </x:c>
      <x:c r="H41" s="17" t="n">
        <x:f>G41*F41</x:f>
        <x:v>103903.3252</x:v>
      </x:c>
      <x:c r="I41" s="26" t="str">
        <x:f>HYPERLINK("https://etp-aktiv.ru/catalog/materialy/stroitelnye-materialy/2000249074-W123/","Открыть позицию")</x:f>
        <x:v>Открыть позицию</x:v>
      </x:c>
    </x:row>
    <x:row r="42" ht="28" customHeight="1">
      <x:c r="A42" s="16" t="str">
        <x:v>БийскэнергоТеплоТранзит</x:v>
      </x:c>
      <x:c r="B42" s="16" t="str">
        <x:v>2000957859-W123</x:v>
      </x:c>
      <x:c r="C42" s="16" t="str">
        <x:v>ЛОТОК Л15-8 С.3.006.1-2.87.1-29</x:v>
      </x:c>
      <x:c r="D42" s="16" t="str">
        <x:v>Железобетонные издел</x:v>
      </x:c>
      <x:c r="E42" s="16" t="str">
        <x:v>ШТ</x:v>
      </x:c>
      <x:c r="F42" s="25" t="n">
        <x:v>3</x:v>
      </x:c>
      <x:c r="G42" s="17" t="n">
        <x:v>48993.17479999999</x:v>
      </x:c>
      <x:c r="H42" s="17" t="n">
        <x:f>G42*F42</x:f>
        <x:v>146979.5244</x:v>
      </x:c>
      <x:c r="I42" s="26" t="str">
        <x:f>HYPERLINK("https://etp-aktiv.ru/catalog/materialy/stroitelnye-materialy/2000957859-W123/","Открыть позицию")</x:f>
        <x:v>Открыть позицию</x:v>
      </x:c>
    </x:row>
    <x:row r="43" ht="28" customHeight="1">
      <x:c r="A43" s="16" t="str">
        <x:v>БийскэнергоТеплоТранзит</x:v>
      </x:c>
      <x:c r="B43" s="16" t="str">
        <x:v>2000630255-W123</x:v>
      </x:c>
      <x:c r="C43" s="16" t="str">
        <x:v>ЛОТОК Л15Д-8 720*1840*720</x:v>
      </x:c>
      <x:c r="D43" s="16" t="str">
        <x:v>Железобетонные издел</x:v>
      </x:c>
      <x:c r="E43" s="16" t="str">
        <x:v>ШТ</x:v>
      </x:c>
      <x:c r="F43" s="25" t="n">
        <x:v>8</x:v>
      </x:c>
      <x:c r="G43" s="17" t="n">
        <x:v>4937.95</x:v>
      </x:c>
      <x:c r="H43" s="17" t="n">
        <x:f>G43*F43</x:f>
        <x:v>39503.6</x:v>
      </x:c>
      <x:c r="I43" s="26" t="str">
        <x:f>HYPERLINK("https://etp-aktiv.ru/catalog/materialy/stroitelnye-materialy/2000630255-W123/","Открыть позицию")</x:f>
        <x:v>Открыть позицию</x:v>
      </x:c>
    </x:row>
    <x:row r="44" ht="28" customHeight="1">
      <x:c r="A44" s="16" t="str">
        <x:v>БийскэнергоТеплоТранзит</x:v>
      </x:c>
      <x:c r="B44" s="16" t="str">
        <x:v>2000853699-W123</x:v>
      </x:c>
      <x:c r="C44" s="16" t="str">
        <x:v>ЛОТОК Л34-15 С3.006.1-2.87</x:v>
      </x:c>
      <x:c r="D44" s="16" t="str">
        <x:v>Железобетонные издел</x:v>
      </x:c>
      <x:c r="E44" s="16" t="str">
        <x:v>ШТ</x:v>
      </x:c>
      <x:c r="F44" s="25" t="n">
        <x:v>28</x:v>
      </x:c>
      <x:c r="G44" s="17" t="n">
        <x:v>137579.4</x:v>
      </x:c>
      <x:c r="H44" s="17" t="n">
        <x:f>G44*F44</x:f>
        <x:v>3852223.1999999997</x:v>
      </x:c>
      <x:c r="I44" s="26" t="str">
        <x:f>HYPERLINK("https://etp-aktiv.ru/catalog/materialy/stroitelnye-materialy/2000853699-W123/","Открыть позицию")</x:f>
        <x:v>Открыть позицию</x:v>
      </x:c>
    </x:row>
    <x:row r="45" ht="28" customHeight="1">
      <x:c r="A45" s="16" t="str">
        <x:v>БийскэнергоТеплоТранзит</x:v>
      </x:c>
      <x:c r="B45" s="16" t="str">
        <x:v>2000557352-W123</x:v>
      </x:c>
      <x:c r="C45" s="16" t="str">
        <x:v>ЛОТОК ЛК 300.240.120-2 С3.006.1-8 В.1-1</x:v>
      </x:c>
      <x:c r="D45" s="16" t="str">
        <x:v>Железобетонные издел</x:v>
      </x:c>
      <x:c r="E45" s="16" t="str">
        <x:v>ШТ</x:v>
      </x:c>
      <x:c r="F45" s="25" t="n">
        <x:v>1</x:v>
      </x:c>
      <x:c r="G45" s="17" t="n">
        <x:v>5422.5217999999995</x:v>
      </x:c>
      <x:c r="H45" s="17" t="n">
        <x:f>G45*F45</x:f>
        <x:v>5422.5217999999995</x:v>
      </x:c>
      <x:c r="I45" s="26" t="str">
        <x:f>HYPERLINK("https://etp-aktiv.ru/catalog/materialy/stroitelnye-materialy/2000557352-W123/","Открыть позицию")</x:f>
        <x:v>Открыть позицию</x:v>
      </x:c>
    </x:row>
    <x:row r="46" ht="28" customHeight="1">
      <x:c r="A46" s="16" t="str">
        <x:v>БийскэнергоТеплоТранзит</x:v>
      </x:c>
      <x:c r="B46" s="16" t="str">
        <x:v>2000557356-W123</x:v>
      </x:c>
      <x:c r="C46" s="16" t="str">
        <x:v>ЛОТОК ЛК 300.90.45-2 2990*880*430</x:v>
      </x:c>
      <x:c r="D46" s="16" t="str">
        <x:v>Железобетонные издел</x:v>
      </x:c>
      <x:c r="E46" s="16" t="str">
        <x:v>ШТ</x:v>
      </x:c>
      <x:c r="F46" s="25" t="n">
        <x:v>3</x:v>
      </x:c>
      <x:c r="G46" s="17" t="n">
        <x:v>1433.1096</x:v>
      </x:c>
      <x:c r="H46" s="17" t="n">
        <x:f>G46*F46</x:f>
        <x:v>4299.3288</x:v>
      </x:c>
      <x:c r="I46" s="26" t="str">
        <x:f>HYPERLINK("https://etp-aktiv.ru/catalog/materialy/stroitelnye-materialy/2000557356-W123/","Открыть позицию")</x:f>
        <x:v>Открыть позицию</x:v>
      </x:c>
    </x:row>
    <x:row r="47" ht="28" customHeight="1">
      <x:c r="A47" s="16" t="str">
        <x:v>БийскэнергоТеплоТранзит</x:v>
      </x:c>
      <x:c r="B47" s="16" t="str">
        <x:v>2000557359-W123</x:v>
      </x:c>
      <x:c r="C47" s="16" t="str">
        <x:v>ЛОТОК ЛК 75.120.60-2 740*1180*580</x:v>
      </x:c>
      <x:c r="D47" s="16" t="str">
        <x:v>Железобетонные издел</x:v>
      </x:c>
      <x:c r="E47" s="16" t="str">
        <x:v>ШТ</x:v>
      </x:c>
      <x:c r="F47" s="25" t="n">
        <x:v>5</x:v>
      </x:c>
      <x:c r="G47" s="17" t="n">
        <x:v>477.1054</x:v>
      </x:c>
      <x:c r="H47" s="17" t="n">
        <x:f>G47*F47</x:f>
        <x:v>2385.527</x:v>
      </x:c>
      <x:c r="I47" s="26" t="str">
        <x:f>HYPERLINK("https://etp-aktiv.ru/catalog/materialy/stroitelnye-materialy/2000557359-W123/","Открыть позицию")</x:f>
        <x:v>Открыть позицию</x:v>
      </x:c>
    </x:row>
    <x:row r="48" ht="28" customHeight="1">
      <x:c r="A48" s="16" t="str">
        <x:v>БийскэнергоТеплоТранзит</x:v>
      </x:c>
      <x:c r="B48" s="16" t="str">
        <x:v>2000557370-W123</x:v>
      </x:c>
      <x:c r="C48" s="16" t="str">
        <x:v>ЛОТОК ЛК 75.90.45-2 74*88*43 3.006.1-8</x:v>
      </x:c>
      <x:c r="D48" s="16" t="str">
        <x:v>Железобетонные издел</x:v>
      </x:c>
      <x:c r="E48" s="16" t="str">
        <x:v>ШТ</x:v>
      </x:c>
      <x:c r="F48" s="25" t="n">
        <x:v>1</x:v>
      </x:c>
      <x:c r="G48" s="17" t="n">
        <x:v>4027.5372</x:v>
      </x:c>
      <x:c r="H48" s="17" t="n">
        <x:f>G48*F48</x:f>
        <x:v>4027.5372</x:v>
      </x:c>
      <x:c r="I48" s="26" t="str">
        <x:f>HYPERLINK("https://etp-aktiv.ru/catalog/materialy/stroitelnye-materialy/2000557370-W123/","Открыть позицию")</x:f>
        <x:v>Открыть позицию</x:v>
      </x:c>
    </x:row>
    <x:row r="49" ht="28" customHeight="1">
      <x:c r="A49" s="16" t="str">
        <x:v>БийскэнергоТеплоТранзит</x:v>
      </x:c>
      <x:c r="B49" s="16" t="str">
        <x:v>2000174901-W123</x:v>
      </x:c>
      <x:c r="C49" s="16" t="str">
        <x:v>ПЕРЕМЫЧКА 3ПБ 16-37П 1.038-1-1 ВЫП1</x:v>
      </x:c>
      <x:c r="D49" s="16" t="str">
        <x:v>Железобетонные издел</x:v>
      </x:c>
      <x:c r="E49" s="16" t="str">
        <x:v>ШТ</x:v>
      </x:c>
      <x:c r="F49" s="25" t="n">
        <x:v>21</x:v>
      </x:c>
      <x:c r="G49" s="17" t="n">
        <x:v>173.6182</x:v>
      </x:c>
      <x:c r="H49" s="17" t="n">
        <x:f>G49*F49</x:f>
        <x:v>3645.9822</x:v>
      </x:c>
      <x:c r="I49" s="26" t="str">
        <x:f>HYPERLINK("https://etp-aktiv.ru/catalog/materialy/stroitelnye-materialy/2000174901-W123/","Открыть позицию")</x:f>
        <x:v>Открыть позицию</x:v>
      </x:c>
    </x:row>
    <x:row r="50" ht="28" customHeight="1">
      <x:c r="A50" s="16" t="str">
        <x:v>БийскэнергоТеплоТранзит</x:v>
      </x:c>
      <x:c r="B50" s="16" t="str">
        <x:v>2000033359-W123</x:v>
      </x:c>
      <x:c r="C50" s="16" t="str">
        <x:v>ПЕРЕМЫЧКА 5ПБ 21-27П</x:v>
      </x:c>
      <x:c r="D50" s="16" t="str">
        <x:v>Железобетонные издел</x:v>
      </x:c>
      <x:c r="E50" s="16" t="str">
        <x:v>ШТ</x:v>
      </x:c>
      <x:c r="F50" s="25" t="n">
        <x:v>10</x:v>
      </x:c>
      <x:c r="G50" s="17" t="n">
        <x:v>410.3836</x:v>
      </x:c>
      <x:c r="H50" s="17" t="n">
        <x:f>G50*F50</x:f>
        <x:v>4103.836</x:v>
      </x:c>
      <x:c r="I50" s="26" t="str">
        <x:f>HYPERLINK("https://etp-aktiv.ru/catalog/materialy/stroitelnye-materialy/2000033359-W123/","Открыть позицию")</x:f>
        <x:v>Открыть позицию</x:v>
      </x:c>
    </x:row>
    <x:row r="51" ht="28" customHeight="1">
      <x:c r="A51" s="16" t="str">
        <x:v>БийскэнергоТеплоТранзит</x:v>
      </x:c>
      <x:c r="B51" s="16" t="str">
        <x:v>2000033375-W123</x:v>
      </x:c>
      <x:c r="C51" s="16" t="str">
        <x:v>ПЕРЕМЫЧКИ 3ПБ 13-37П АПСУ</x:v>
      </x:c>
      <x:c r="D51" s="16" t="str">
        <x:v>Железобетонные издел</x:v>
      </x:c>
      <x:c r="E51" s="16" t="str">
        <x:v>ШТ</x:v>
      </x:c>
      <x:c r="F51" s="25" t="n">
        <x:v>4</x:v>
      </x:c>
      <x:c r="G51" s="17" t="n">
        <x:v>115.4242</x:v>
      </x:c>
      <x:c r="H51" s="17" t="n">
        <x:f>G51*F51</x:f>
        <x:v>461.6968</x:v>
      </x:c>
      <x:c r="I51" s="26" t="str">
        <x:f>HYPERLINK("https://etp-aktiv.ru/catalog/materialy/stroitelnye-materialy/2000033375-W123/","Открыть позицию")</x:f>
        <x:v>Открыть позицию</x:v>
      </x:c>
    </x:row>
    <x:row r="52" ht="28" customHeight="1">
      <x:c r="A52" s="16" t="str">
        <x:v>БийскэнергоТеплоТранзит</x:v>
      </x:c>
      <x:c r="B52" s="16" t="str">
        <x:v>2001019744-W123</x:v>
      </x:c>
      <x:c r="C52" s="16" t="str">
        <x:v>ПЛИТА L2800ММ П21-5 С.3.006.1-2.87.2</x:v>
      </x:c>
      <x:c r="D52" s="16" t="str">
        <x:v>Железобетонные издел</x:v>
      </x:c>
      <x:c r="E52" s="16" t="str">
        <x:v>ШТ</x:v>
      </x:c>
      <x:c r="F52" s="25" t="n">
        <x:v>5</x:v>
      </x:c>
      <x:c r="G52" s="17" t="n">
        <x:v>32195.8</x:v>
      </x:c>
      <x:c r="H52" s="17" t="n">
        <x:f>G52*F52</x:f>
        <x:v>160979</x:v>
      </x:c>
      <x:c r="I52" s="26" t="str">
        <x:f>HYPERLINK("https://etp-aktiv.ru/catalog/materialy/stroitelnye-materialy/2001019744-W123/","Открыть позицию")</x:f>
        <x:v>Открыть позицию</x:v>
      </x:c>
    </x:row>
    <x:row r="53" ht="28" customHeight="1">
      <x:c r="A53" s="16" t="str">
        <x:v>БийскэнергоТеплоТранзит</x:v>
      </x:c>
      <x:c r="B53" s="16" t="str">
        <x:v>2000150622-W123</x:v>
      </x:c>
      <x:c r="C53" s="16" t="str">
        <x:v>ПЛИТА П18-8</x:v>
      </x:c>
      <x:c r="D53" s="16" t="str">
        <x:v>Железобетонные издел</x:v>
      </x:c>
      <x:c r="E53" s="16" t="str">
        <x:v>ШТ</x:v>
      </x:c>
      <x:c r="F53" s="25" t="n">
        <x:v>1</x:v>
      </x:c>
      <x:c r="G53" s="17" t="n">
        <x:v>42219.1492</x:v>
      </x:c>
      <x:c r="H53" s="17" t="n">
        <x:f>G53*F53</x:f>
        <x:v>42219.1492</x:v>
      </x:c>
      <x:c r="I53" s="26" t="str">
        <x:f>HYPERLINK("https://etp-aktiv.ru/catalog/materialy/stroitelnye-materialy/2000150622-W123/","Открыть позицию")</x:f>
        <x:v>Открыть позицию</x:v>
      </x:c>
    </x:row>
    <x:row r="54" ht="28" customHeight="1">
      <x:c r="A54" s="16" t="str">
        <x:v>БийскэнергоТеплоТранзит</x:v>
      </x:c>
      <x:c r="B54" s="16" t="str">
        <x:v>2000279082-W123</x:v>
      </x:c>
      <x:c r="C54" s="16" t="str">
        <x:v>ПЛИТА П28-15 С.3.006.1-2.87.2-52</x:v>
      </x:c>
      <x:c r="D54" s="16" t="str">
        <x:v>Железобетонные издел</x:v>
      </x:c>
      <x:c r="E54" s="16" t="str">
        <x:v>ШТ</x:v>
      </x:c>
      <x:c r="F54" s="25" t="n">
        <x:v>11</x:v>
      </x:c>
      <x:c r="G54" s="17" t="n">
        <x:v>88910.184</x:v>
      </x:c>
      <x:c r="H54" s="17" t="n">
        <x:f>G54*F54</x:f>
        <x:v>978012.024</x:v>
      </x:c>
      <x:c r="I54" s="26" t="str">
        <x:f>HYPERLINK("https://etp-aktiv.ru/catalog/materialy/stroitelnye-materialy/2000279082-W123/","Открыть позицию")</x:f>
        <x:v>Открыть позицию</x:v>
      </x:c>
    </x:row>
    <x:row r="55" ht="28" customHeight="1">
      <x:c r="A55" s="16" t="str">
        <x:v>БийскэнергоТеплоТранзит</x:v>
      </x:c>
      <x:c r="B55" s="16" t="str">
        <x:v>2000557168-W123</x:v>
      </x:c>
      <x:c r="C55" s="16" t="str">
        <x:v>ПЛИТА ПЕРЕКР П28-12 С.3.006.1-2.87 В.2</x:v>
      </x:c>
      <x:c r="D55" s="16" t="str">
        <x:v>Железобетонные издел</x:v>
      </x:c>
      <x:c r="E55" s="16" t="str">
        <x:v>ШТ</x:v>
      </x:c>
      <x:c r="F55" s="25" t="n">
        <x:v>10</x:v>
      </x:c>
      <x:c r="G55" s="17" t="n">
        <x:v>86800.56</x:v>
      </x:c>
      <x:c r="H55" s="17" t="n">
        <x:f>G55*F55</x:f>
        <x:v>868005.6</x:v>
      </x:c>
      <x:c r="I55" s="26" t="str">
        <x:f>HYPERLINK("https://etp-aktiv.ru/catalog/materialy/stroitelnye-materialy/2000557168-W123/","Открыть позицию")</x:f>
        <x:v>Открыть позицию</x:v>
      </x:c>
    </x:row>
    <x:row r="56" ht="28" customHeight="1">
      <x:c r="A56" s="16" t="str">
        <x:v>БийскэнергоТеплоТранзит</x:v>
      </x:c>
      <x:c r="B56" s="16" t="str">
        <x:v>2000119307-W123</x:v>
      </x:c>
      <x:c r="C56" s="16" t="str">
        <x:v>ПЛИТА ПЕРЕКРЫТИЯ 1ПП 15-1</x:v>
      </x:c>
      <x:c r="D56" s="16" t="str">
        <x:v>Железобетонные издел</x:v>
      </x:c>
      <x:c r="E56" s="16" t="str">
        <x:v>ШТ</x:v>
      </x:c>
      <x:c r="F56" s="25" t="n">
        <x:v>1</x:v>
      </x:c>
      <x:c r="G56" s="17" t="n">
        <x:v>3831.5686</x:v>
      </x:c>
      <x:c r="H56" s="17" t="n">
        <x:f>G56*F56</x:f>
        <x:v>3831.5686</x:v>
      </x:c>
      <x:c r="I56" s="26" t="str">
        <x:f>HYPERLINK("https://etp-aktiv.ru/catalog/materialy/stroitelnye-materialy/2000119307-W123/","Открыть позицию")</x:f>
        <x:v>Открыть позицию</x:v>
      </x:c>
    </x:row>
    <x:row r="57" ht="28" customHeight="1">
      <x:c r="A57" s="16" t="str">
        <x:v>БийскэнергоТеплоТранзит</x:v>
      </x:c>
      <x:c r="B57" s="16" t="str">
        <x:v>2000557204-W123</x:v>
      </x:c>
      <x:c r="C57" s="16" t="str">
        <x:v>ПЛИТА ПТ 300.240.20-9 С.3.006.1-8 В.3-1</x:v>
      </x:c>
      <x:c r="D57" s="16" t="str">
        <x:v>Железобетонные издел</x:v>
      </x:c>
      <x:c r="E57" s="16" t="str">
        <x:v>ШТ</x:v>
      </x:c>
      <x:c r="F57" s="25" t="n">
        <x:v>8</x:v>
      </x:c>
      <x:c r="G57" s="17" t="n">
        <x:v>39650</x:v>
      </x:c>
      <x:c r="H57" s="17" t="n">
        <x:f>G57*F57</x:f>
        <x:v>317200</x:v>
      </x:c>
      <x:c r="I57" s="26" t="str">
        <x:f>HYPERLINK("https://etp-aktiv.ru/catalog/materialy/stroitelnye-materialy/2000557204-W123/","Открыть позицию")</x:f>
        <x:v>Открыть позицию</x:v>
      </x:c>
    </x:row>
    <x:row r="58" ht="28" customHeight="1">
      <x:c r="A58" s="16" t="str">
        <x:v>Рубцовский ТЭК</x:v>
      </x:c>
      <x:c r="B58" s="16" t="str">
        <x:v>2000556994-W122</x:v>
      </x:c>
      <x:c r="C58" s="16" t="str">
        <x:v>БАЛКА Б3 С.3.006.1-2.87.6-20</x:v>
      </x:c>
      <x:c r="D58" s="16" t="str">
        <x:v>Железобетонные издел</x:v>
      </x:c>
      <x:c r="E58" s="16" t="str">
        <x:v>ШТ</x:v>
      </x:c>
      <x:c r="F58" s="25" t="n">
        <x:v>2</x:v>
      </x:c>
      <x:c r="G58" s="17" t="n">
        <x:v>678.5884</x:v>
      </x:c>
      <x:c r="H58" s="17" t="n">
        <x:f>G58*F58</x:f>
        <x:v>1357.1768</x:v>
      </x:c>
      <x:c r="I58" s="26" t="str">
        <x:f>HYPERLINK("https://etp-aktiv.ru/catalog/materialy/stroitelnye-materialy/2000556994-W122/","Открыть позицию")</x:f>
        <x:v>Открыть позицию</x:v>
      </x:c>
    </x:row>
    <x:row r="59" ht="28" customHeight="1">
      <x:c r="A59" s="16" t="str">
        <x:v>Рубцовский ТЭК</x:v>
      </x:c>
      <x:c r="B59" s="16" t="str">
        <x:v>2000228164-W122</x:v>
      </x:c>
      <x:c r="C59" s="16" t="str">
        <x:v>БЛОК ФБС 24.5.6-Т ГОСТ13579-2018</x:v>
      </x:c>
      <x:c r="D59" s="16" t="str">
        <x:v>Железобетонные издел</x:v>
      </x:c>
      <x:c r="E59" s="16" t="str">
        <x:v>ШТ</x:v>
      </x:c>
      <x:c r="F59" s="25" t="n">
        <x:v>4</x:v>
      </x:c>
      <x:c r="G59" s="17" t="n">
        <x:v>11141.039999999999</x:v>
      </x:c>
      <x:c r="H59" s="17" t="n">
        <x:f>G59*F59</x:f>
        <x:v>44564.159999999996</x:v>
      </x:c>
      <x:c r="I59" s="26" t="str">
        <x:f>HYPERLINK("https://etp-aktiv.ru/catalog/materialy/stroitelnye-materialy/2000228164-W122/","Открыть позицию")</x:f>
        <x:v>Открыть позицию</x:v>
      </x:c>
    </x:row>
    <x:row r="60" ht="28" customHeight="1">
      <x:c r="A60" s="16" t="str">
        <x:v>Рубцовский ТЭК</x:v>
      </x:c>
      <x:c r="B60" s="16" t="str">
        <x:v>2000020154-W122</x:v>
      </x:c>
      <x:c r="C60" s="16" t="str">
        <x:v>БЛОК ФБС 24.6.6-Т ГОСТ13579-2018</x:v>
      </x:c>
      <x:c r="D60" s="16" t="str">
        <x:v>Железобетонные издел</x:v>
      </x:c>
      <x:c r="E60" s="16" t="str">
        <x:v>ШТ</x:v>
      </x:c>
      <x:c r="F60" s="25" t="n">
        <x:v>9</x:v>
      </x:c>
      <x:c r="G60" s="17" t="n">
        <x:v>4139.094</x:v>
      </x:c>
      <x:c r="H60" s="17" t="n">
        <x:f>G60*F60</x:f>
        <x:v>37251.846</x:v>
      </x:c>
      <x:c r="I60" s="26" t="str">
        <x:f>HYPERLINK("https://etp-aktiv.ru/catalog/materialy/stroitelnye-materialy/2000020154-W122/","Открыть позицию")</x:f>
        <x:v>Открыть позицию</x:v>
      </x:c>
    </x:row>
    <x:row r="61" ht="28" customHeight="1">
      <x:c r="A61" s="16" t="str">
        <x:v>Рубцовский ТЭК</x:v>
      </x:c>
      <x:c r="B61" s="16" t="str">
        <x:v>2000228092-W122</x:v>
      </x:c>
      <x:c r="C61" s="16" t="str">
        <x:v>БЛОК ФБС 9.6.6-Т ГОСТ13579-2018</x:v>
      </x:c>
      <x:c r="D61" s="16" t="str">
        <x:v>Железобетонные издел</x:v>
      </x:c>
      <x:c r="E61" s="16" t="str">
        <x:v>ШТ</x:v>
      </x:c>
      <x:c r="F61" s="25" t="n">
        <x:v>1</x:v>
      </x:c>
      <x:c r="G61" s="17" t="n">
        <x:v>313.601</x:v>
      </x:c>
      <x:c r="H61" s="17" t="n">
        <x:f>G61*F61</x:f>
        <x:v>313.601</x:v>
      </x:c>
      <x:c r="I61" s="26" t="str">
        <x:f>HYPERLINK("https://etp-aktiv.ru/catalog/materialy/stroitelnye-materialy/2000228092-W122/","Открыть позицию")</x:f>
        <x:v>Открыть позицию</x:v>
      </x:c>
    </x:row>
    <x:row r="62" ht="28" customHeight="1">
      <x:c r="A62" s="16" t="str">
        <x:v>Рубцовский ТЭК</x:v>
      </x:c>
      <x:c r="B62" s="16" t="str">
        <x:v>2000143189-W122</x:v>
      </x:c>
      <x:c r="C62" s="16" t="str">
        <x:v>ГЕРМЕТИК ULTRA COOPER 85Г</x:v>
      </x:c>
      <x:c r="D62" s="16" t="str">
        <x:v>Проч строит матер-ы</x:v>
      </x:c>
      <x:c r="E62" s="16" t="str">
        <x:v>ШТ</x:v>
      </x:c>
      <x:c r="F62" s="25" t="n">
        <x:v>7</x:v>
      </x:c>
      <x:c r="G62" s="17" t="n">
        <x:v>452.3638</x:v>
      </x:c>
      <x:c r="H62" s="17" t="n">
        <x:f>G62*F62</x:f>
        <x:v>3166.5466</x:v>
      </x:c>
      <x:c r="I62" s="26" t="str">
        <x:f>HYPERLINK("https://etp-aktiv.ru/catalog/materialy/stroitelnye-materialy/2000143189-W122/","Открыть позицию")</x:f>
        <x:v>Открыть позицию</x:v>
      </x:c>
    </x:row>
    <x:row r="63" ht="28" customHeight="1">
      <x:c r="A63" s="16" t="str">
        <x:v>Рубцовский ТЭК</x:v>
      </x:c>
      <x:c r="B63" s="16" t="str">
        <x:v>2000183718-W122</x:v>
      </x:c>
      <x:c r="C63" s="16" t="str">
        <x:v>ГЕРМЕТИК ПЕНТЭЛАСТ-1105 310МЛ</x:v>
      </x:c>
      <x:c r="D63" s="16" t="str">
        <x:v>Проч строит матер-ы</x:v>
      </x:c>
      <x:c r="E63" s="16" t="str">
        <x:v>ШТ</x:v>
      </x:c>
      <x:c r="F63" s="25" t="n">
        <x:v>5</x:v>
      </x:c>
      <x:c r="G63" s="17" t="n">
        <x:v>1010.1966</x:v>
      </x:c>
      <x:c r="H63" s="17" t="n">
        <x:f>G63*F63</x:f>
        <x:v>5050.983</x:v>
      </x:c>
      <x:c r="I63" s="26" t="str">
        <x:f>HYPERLINK("https://etp-aktiv.ru/catalog/materialy/stroitelnye-materialy/2000183718-W122/","Открыть позицию")</x:f>
        <x:v>Открыть позицию</x:v>
      </x:c>
    </x:row>
    <x:row r="64" ht="28" customHeight="1">
      <x:c r="A64" s="16" t="str">
        <x:v>Рубцовский ТЭК</x:v>
      </x:c>
      <x:c r="B64" s="16" t="str">
        <x:v>2000550635-W122</x:v>
      </x:c>
      <x:c r="C64" s="16" t="str">
        <x:v>ГЕРМЕТИК-ПРОКЛАДКА RED RTV SILICONE 85Г</x:v>
      </x:c>
      <x:c r="D64" s="16" t="str">
        <x:v>Проч строит матер-ы</x:v>
      </x:c>
      <x:c r="E64" s="16" t="str">
        <x:v>ШТ</x:v>
      </x:c>
      <x:c r="F64" s="25" t="n">
        <x:v>31</x:v>
      </x:c>
      <x:c r="G64" s="17" t="n">
        <x:v>187.6482</x:v>
      </x:c>
      <x:c r="H64" s="17" t="n">
        <x:f>G64*F64</x:f>
        <x:v>5817.0942000000005</x:v>
      </x:c>
      <x:c r="I64" s="26" t="str">
        <x:f>HYPERLINK("https://etp-aktiv.ru/catalog/materialy/stroitelnye-materialy/2000550635-W122/","Открыть позицию")</x:f>
        <x:v>Открыть позицию</x:v>
      </x:c>
    </x:row>
    <x:row r="65" ht="28" customHeight="1">
      <x:c r="A65" s="16" t="str">
        <x:v>Рубцовский ТЭК</x:v>
      </x:c>
      <x:c r="B65" s="16" t="str">
        <x:v>2000278450-W122</x:v>
      </x:c>
      <x:c r="C65" s="16" t="str">
        <x:v>КАМЕНЬ БОРДЮРНЫЙ БР100-20-8 ГОСТ6665-91</x:v>
      </x:c>
      <x:c r="D65" s="16" t="str">
        <x:v>Железобетонные издел</x:v>
      </x:c>
      <x:c r="E65" s="16" t="str">
        <x:v>ШТ</x:v>
      </x:c>
      <x:c r="F65" s="25" t="n">
        <x:v>48</x:v>
      </x:c>
      <x:c r="G65" s="17" t="n">
        <x:v>209.9498</x:v>
      </x:c>
      <x:c r="H65" s="17" t="n">
        <x:f>G65*F65</x:f>
        <x:v>10077.590400000001</x:v>
      </x:c>
      <x:c r="I65" s="26" t="str">
        <x:f>HYPERLINK("https://etp-aktiv.ru/catalog/materialy/stroitelnye-materialy/2000278450-W122/","Открыть позицию")</x:f>
        <x:v>Открыть позицию</x:v>
      </x:c>
    </x:row>
    <x:row r="66" ht="28" customHeight="1">
      <x:c r="A66" s="16" t="str">
        <x:v>Рубцовский ТЭК</x:v>
      </x:c>
      <x:c r="B66" s="16" t="str">
        <x:v>2000557024-W122</x:v>
      </x:c>
      <x:c r="C66" s="16" t="str">
        <x:v>КОЛЬЦО КО-6 С.3.900.1-14.1-13</x:v>
      </x:c>
      <x:c r="D66" s="16" t="str">
        <x:v>Железобетонные издел</x:v>
      </x:c>
      <x:c r="E66" s="16" t="str">
        <x:v>ШТ</x:v>
      </x:c>
      <x:c r="F66" s="25" t="n">
        <x:v>29</x:v>
      </x:c>
      <x:c r="G66" s="17" t="n">
        <x:v>72.4558</x:v>
      </x:c>
      <x:c r="H66" s="17" t="n">
        <x:f>G66*F66</x:f>
        <x:v>2101.2182</x:v>
      </x:c>
      <x:c r="I66" s="26" t="str">
        <x:f>HYPERLINK("https://etp-aktiv.ru/catalog/materialy/stroitelnye-materialy/2000557024-W122/","Открыть позицию")</x:f>
        <x:v>Открыть позицию</x:v>
      </x:c>
    </x:row>
    <x:row r="67" ht="28" customHeight="1">
      <x:c r="A67" s="16" t="str">
        <x:v>Рубцовский ТЭК</x:v>
      </x:c>
      <x:c r="B67" s="16" t="str">
        <x:v>2000593371-W122</x:v>
      </x:c>
      <x:c r="C67" s="16" t="str">
        <x:v>КОЛЬЦО КОЛОДЕЗНОЕ КЦД-15-18 ГОСТ8020-90</x:v>
      </x:c>
      <x:c r="D67" s="16" t="str">
        <x:v>Железобетонные издел</x:v>
      </x:c>
      <x:c r="E67" s="16" t="str">
        <x:v>ШТ</x:v>
      </x:c>
      <x:c r="F67" s="25" t="n">
        <x:v>3</x:v>
      </x:c>
      <x:c r="G67" s="17" t="n">
        <x:v>29258.04</x:v>
      </x:c>
      <x:c r="H67" s="17" t="n">
        <x:f>G67*F67</x:f>
        <x:v>87774.12</x:v>
      </x:c>
      <x:c r="I67" s="26" t="str">
        <x:f>HYPERLINK("https://etp-aktiv.ru/catalog/materialy/stroitelnye-materialy/2000593371-W122/","Открыть позицию")</x:f>
        <x:v>Открыть позицию</x:v>
      </x:c>
    </x:row>
    <x:row r="68" ht="28" customHeight="1">
      <x:c r="A68" s="16" t="str">
        <x:v>Рубцовский ТЭК</x:v>
      </x:c>
      <x:c r="B68" s="16" t="str">
        <x:v>2000557030-W122</x:v>
      </x:c>
      <x:c r="C68" s="16" t="str">
        <x:v>КОЛЬЦО КС 7.3-1 С.3.900.1-14 В.1</x:v>
      </x:c>
      <x:c r="D68" s="16" t="str">
        <x:v>Железобетонные издел</x:v>
      </x:c>
      <x:c r="E68" s="16" t="str">
        <x:v>ШТ</x:v>
      </x:c>
      <x:c r="F68" s="25" t="n">
        <x:v>26</x:v>
      </x:c>
      <x:c r="G68" s="17" t="n">
        <x:v>153.598</x:v>
      </x:c>
      <x:c r="H68" s="17" t="n">
        <x:f>G68*F68</x:f>
        <x:v>3993.5480000000002</x:v>
      </x:c>
      <x:c r="I68" s="26" t="str">
        <x:f>HYPERLINK("https://etp-aktiv.ru/catalog/materialy/stroitelnye-materialy/2000557030-W122/","Открыть позицию")</x:f>
        <x:v>Открыть позицию</x:v>
      </x:c>
    </x:row>
    <x:row r="69" ht="28" customHeight="1">
      <x:c r="A69" s="16" t="str">
        <x:v>Рубцовский ТЭК</x:v>
      </x:c>
      <x:c r="B69" s="16" t="str">
        <x:v>2000557031-W122</x:v>
      </x:c>
      <x:c r="C69" s="16" t="str">
        <x:v>КОЛЬЦО КС 7.9 С.3.900.1-14.1-3</x:v>
      </x:c>
      <x:c r="D69" s="16" t="str">
        <x:v>Железобетонные издел</x:v>
      </x:c>
      <x:c r="E69" s="16" t="str">
        <x:v>ШТ</x:v>
      </x:c>
      <x:c r="F69" s="25" t="n">
        <x:v>13</x:v>
      </x:c>
      <x:c r="G69" s="17" t="n">
        <x:v>580.2686</x:v>
      </x:c>
      <x:c r="H69" s="17" t="n">
        <x:f>G69*F69</x:f>
        <x:v>7543.4918</x:v>
      </x:c>
      <x:c r="I69" s="26" t="str">
        <x:f>HYPERLINK("https://etp-aktiv.ru/catalog/materialy/stroitelnye-materialy/2000557031-W122/","Открыть позицию")</x:f>
        <x:v>Открыть позицию</x:v>
      </x:c>
    </x:row>
    <x:row r="70" ht="28" customHeight="1">
      <x:c r="A70" s="16" t="str">
        <x:v>Рубцовский ТЭК</x:v>
      </x:c>
      <x:c r="B70" s="16" t="str">
        <x:v>2001025840-W122</x:v>
      </x:c>
      <x:c r="C70" s="16" t="str">
        <x:v>КОЛЬЦО СТЕНОВОЕ КС25.6 C.3.900.1-14 В.1</x:v>
      </x:c>
      <x:c r="D70" s="16" t="str">
        <x:v>Железобетонные издел</x:v>
      </x:c>
      <x:c r="E70" s="16" t="str">
        <x:v>ШТ</x:v>
      </x:c>
      <x:c r="F70" s="25" t="n">
        <x:v>1</x:v>
      </x:c>
      <x:c r="G70" s="17" t="n">
        <x:v>9043.25</x:v>
      </x:c>
      <x:c r="H70" s="17" t="n">
        <x:f>G70*F70</x:f>
        <x:v>9043.25</x:v>
      </x:c>
      <x:c r="I70" s="26" t="str">
        <x:f>HYPERLINK("https://etp-aktiv.ru/catalog/materialy/stroitelnye-materialy/2001025840-W122/","Открыть позицию")</x:f>
        <x:v>Открыть позицию</x:v>
      </x:c>
    </x:row>
    <x:row r="71" ht="28" customHeight="1">
      <x:c r="A71" s="16" t="str">
        <x:v>Рубцовский ТЭК</x:v>
      </x:c>
      <x:c r="B71" s="16" t="str">
        <x:v>2000378385-W122</x:v>
      </x:c>
      <x:c r="C71" s="16" t="str">
        <x:v>ЛЕН САНТЕХНИЧЕСКИЙ 1000Г ГОСТ10330-76</x:v>
      </x:c>
      <x:c r="D71" s="16" t="str">
        <x:v>Проч строит матер-ы</x:v>
      </x:c>
      <x:c r="E71" s="16" t="str">
        <x:v>ШТ</x:v>
      </x:c>
      <x:c r="F71" s="25" t="n">
        <x:v>3</x:v>
      </x:c>
      <x:c r="G71" s="17" t="n">
        <x:v>251.2834</x:v>
      </x:c>
      <x:c r="H71" s="17" t="n">
        <x:f>G71*F71</x:f>
        <x:v>753.8502</x:v>
      </x:c>
      <x:c r="I71" s="26" t="str">
        <x:f>HYPERLINK("https://etp-aktiv.ru/catalog/materialy/stroitelnye-materialy/2000378385-W122/","Открыть позицию")</x:f>
        <x:v>Открыть позицию</x:v>
      </x:c>
    </x:row>
    <x:row r="72" ht="28" customHeight="1">
      <x:c r="A72" s="16" t="str">
        <x:v>Рубцовский ТЭК</x:v>
      </x:c>
      <x:c r="B72" s="16" t="str">
        <x:v>2000557289-W122</x:v>
      </x:c>
      <x:c r="C72" s="16" t="str">
        <x:v>ЛОТОК 1/2 Л15-8 С.3.006.1-2.87 В.1</x:v>
      </x:c>
      <x:c r="D72" s="16" t="str">
        <x:v>Железобетонные издел</x:v>
      </x:c>
      <x:c r="E72" s="16" t="str">
        <x:v>ШТ</x:v>
      </x:c>
      <x:c r="F72" s="25" t="n">
        <x:v>12</x:v>
      </x:c>
      <x:c r="G72" s="17" t="n">
        <x:v>33370.7454</x:v>
      </x:c>
      <x:c r="H72" s="17" t="n">
        <x:f>G72*F72</x:f>
        <x:v>400448.9448</x:v>
      </x:c>
      <x:c r="I72" s="26" t="str">
        <x:f>HYPERLINK("https://etp-aktiv.ru/catalog/materialy/stroitelnye-materialy/2000557289-W122/","Открыть позицию")</x:f>
        <x:v>Открыть позицию</x:v>
      </x:c>
    </x:row>
    <x:row r="73" ht="28" customHeight="1">
      <x:c r="A73" s="16" t="str">
        <x:v>Рубцовский ТЭК</x:v>
      </x:c>
      <x:c r="B73" s="16" t="str">
        <x:v>2000557282-W122</x:v>
      </x:c>
      <x:c r="C73" s="16" t="str">
        <x:v>ЛОТОК 1/2 Л19-11 2970*2160*740 3.006.1-2</x:v>
      </x:c>
      <x:c r="D73" s="16" t="str">
        <x:v>Железобетонные издел</x:v>
      </x:c>
      <x:c r="E73" s="16" t="str">
        <x:v>ШТ</x:v>
      </x:c>
      <x:c r="F73" s="25" t="n">
        <x:v>6</x:v>
      </x:c>
      <x:c r="G73" s="17" t="n">
        <x:v>6074.6972000000005</x:v>
      </x:c>
      <x:c r="H73" s="17" t="n">
        <x:f>G73*F73</x:f>
        <x:v>36448.1832</x:v>
      </x:c>
      <x:c r="I73" s="26" t="str">
        <x:f>HYPERLINK("https://etp-aktiv.ru/catalog/materialy/stroitelnye-materialy/2000557282-W122/","Открыть позицию")</x:f>
        <x:v>Открыть позицию</x:v>
      </x:c>
    </x:row>
    <x:row r="74" ht="28" customHeight="1">
      <x:c r="A74" s="16" t="str">
        <x:v>Рубцовский ТЭК</x:v>
      </x:c>
      <x:c r="B74" s="16" t="str">
        <x:v>2000557283-W122</x:v>
      </x:c>
      <x:c r="C74" s="16" t="str">
        <x:v>ЛОТОК 1/2 Л19-8 2985*2160*740 3.006.1-2</x:v>
      </x:c>
      <x:c r="D74" s="16" t="str">
        <x:v>Железобетонные издел</x:v>
      </x:c>
      <x:c r="E74" s="16" t="str">
        <x:v>ШТ</x:v>
      </x:c>
      <x:c r="F74" s="25" t="n">
        <x:v>6</x:v>
      </x:c>
      <x:c r="G74" s="17" t="n">
        <x:v>3564.8277999999996</x:v>
      </x:c>
      <x:c r="H74" s="17" t="n">
        <x:f>G74*F74</x:f>
        <x:v>21388.9668</x:v>
      </x:c>
      <x:c r="I74" s="26" t="str">
        <x:f>HYPERLINK("https://etp-aktiv.ru/catalog/materialy/stroitelnye-materialy/2000557283-W122/","Открыть позицию")</x:f>
        <x:v>Открыть позицию</x:v>
      </x:c>
    </x:row>
    <x:row r="75" ht="28" customHeight="1">
      <x:c r="A75" s="16" t="str">
        <x:v>Рубцовский ТЭК</x:v>
      </x:c>
      <x:c r="B75" s="16" t="str">
        <x:v>2001078629-W122</x:v>
      </x:c>
      <x:c r="C75" s="16" t="str">
        <x:v>ЛОТОК Л15Д-11 720*1840*720 3.006.1-2.87</x:v>
      </x:c>
      <x:c r="D75" s="16" t="str">
        <x:v>Железобетонные издел</x:v>
      </x:c>
      <x:c r="E75" s="16" t="str">
        <x:v>ШТ</x:v>
      </x:c>
      <x:c r="F75" s="25" t="n">
        <x:v>8</x:v>
      </x:c>
      <x:c r="G75" s="17" t="n">
        <x:v>8595.51</x:v>
      </x:c>
      <x:c r="H75" s="17" t="n">
        <x:f>G75*F75</x:f>
        <x:v>68764.08</x:v>
      </x:c>
      <x:c r="I75" s="26" t="str">
        <x:f>HYPERLINK("https://etp-aktiv.ru/catalog/materialy/stroitelnye-materialy/2001078629-W122/","Открыть позицию")</x:f>
        <x:v>Открыть позицию</x:v>
      </x:c>
    </x:row>
    <x:row r="76" ht="28" customHeight="1">
      <x:c r="A76" s="16" t="str">
        <x:v>Рубцовский ТЭК</x:v>
      </x:c>
      <x:c r="B76" s="16" t="str">
        <x:v>2001097511-W122</x:v>
      </x:c>
      <x:c r="C76" s="16" t="str">
        <x:v>ЛОТОК Л16-11/2 2970*1840*1030 3.006.1-2</x:v>
      </x:c>
      <x:c r="D76" s="16" t="str">
        <x:v>Железобетонные издел</x:v>
      </x:c>
      <x:c r="E76" s="16" t="str">
        <x:v>ШТ</x:v>
      </x:c>
      <x:c r="F76" s="25" t="n">
        <x:v>14</x:v>
      </x:c>
      <x:c r="G76" s="17" t="n">
        <x:v>44709.6084</x:v>
      </x:c>
      <x:c r="H76" s="17" t="n">
        <x:f>G76*F76</x:f>
        <x:v>625934.5175999999</x:v>
      </x:c>
      <x:c r="I76" s="26" t="str">
        <x:f>HYPERLINK("https://etp-aktiv.ru/catalog/materialy/stroitelnye-materialy/2001097511-W122/","Открыть позицию")</x:f>
        <x:v>Открыть позицию</x:v>
      </x:c>
    </x:row>
    <x:row r="77" ht="28" customHeight="1">
      <x:c r="A77" s="16" t="str">
        <x:v>Рубцовский ТЭК</x:v>
      </x:c>
      <x:c r="B77" s="16" t="str">
        <x:v>2000557295-W122</x:v>
      </x:c>
      <x:c r="C77" s="16" t="str">
        <x:v>ЛОТОК Л20Д-12 С.3.006.1-2.87.1-40</x:v>
      </x:c>
      <x:c r="D77" s="16" t="str">
        <x:v>Железобетонные издел</x:v>
      </x:c>
      <x:c r="E77" s="16" t="str">
        <x:v>ШТ</x:v>
      </x:c>
      <x:c r="F77" s="25" t="n">
        <x:v>2</x:v>
      </x:c>
      <x:c r="G77" s="17" t="n">
        <x:v>1371.9753999999998</x:v>
      </x:c>
      <x:c r="H77" s="17" t="n">
        <x:f>G77*F77</x:f>
        <x:v>2743.9507999999996</x:v>
      </x:c>
      <x:c r="I77" s="26" t="str">
        <x:f>HYPERLINK("https://etp-aktiv.ru/catalog/materialy/stroitelnye-materialy/2000557295-W122/","Открыть позицию")</x:f>
        <x:v>Открыть позицию</x:v>
      </x:c>
    </x:row>
    <x:row r="78" ht="28" customHeight="1">
      <x:c r="A78" s="16" t="str">
        <x:v>Рубцовский ТЭК</x:v>
      </x:c>
      <x:c r="B78" s="16" t="str">
        <x:v>2000557328-W122</x:v>
      </x:c>
      <x:c r="C78" s="16" t="str">
        <x:v>ЛОТОК Л7-5/2 2970*1160*680 3.006.1-2.87</x:v>
      </x:c>
      <x:c r="D78" s="16" t="str">
        <x:v>Железобетонные издел</x:v>
      </x:c>
      <x:c r="E78" s="16" t="str">
        <x:v>ШТ</x:v>
      </x:c>
      <x:c r="F78" s="25" t="n">
        <x:v>2</x:v>
      </x:c>
      <x:c r="G78" s="17" t="n">
        <x:v>1520.0712</x:v>
      </x:c>
      <x:c r="H78" s="17" t="n">
        <x:f>G78*F78</x:f>
        <x:v>3040.1424</x:v>
      </x:c>
      <x:c r="I78" s="26" t="str">
        <x:f>HYPERLINK("https://etp-aktiv.ru/catalog/materialy/stroitelnye-materialy/2000557328-W122/","Открыть позицию")</x:f>
        <x:v>Открыть позицию</x:v>
      </x:c>
    </x:row>
    <x:row r="79" ht="28" customHeight="1">
      <x:c r="A79" s="16" t="str">
        <x:v>Рубцовский ТЭК</x:v>
      </x:c>
      <x:c r="B79" s="16" t="str">
        <x:v>2000585658-W122</x:v>
      </x:c>
      <x:c r="C79" s="16" t="str">
        <x:v>ЛЮК ПОЛИМЕРНЫЙ ТИП Л 3Т С ЗЗУ</x:v>
      </x:c>
      <x:c r="D79" s="16" t="str">
        <x:v>Проч строит матер-ы</x:v>
      </x:c>
      <x:c r="E79" s="16" t="str">
        <x:v>ШТ</x:v>
      </x:c>
      <x:c r="F79" s="25" t="n">
        <x:v>11</x:v>
      </x:c>
      <x:c r="G79" s="17" t="n">
        <x:v>1682.075</x:v>
      </x:c>
      <x:c r="H79" s="17" t="n">
        <x:f>G79*F79</x:f>
        <x:v>18502.825</x:v>
      </x:c>
      <x:c r="I79" s="26" t="str">
        <x:f>HYPERLINK("https://etp-aktiv.ru/catalog/materialy/stroitelnye-materialy/2000585658-W122/","Открыть позицию")</x:f>
        <x:v>Открыть позицию</x:v>
      </x:c>
    </x:row>
    <x:row r="80" ht="28" customHeight="1">
      <x:c r="A80" s="16" t="str">
        <x:v>Рубцовский ТЭК</x:v>
      </x:c>
      <x:c r="B80" s="16" t="str">
        <x:v>2000085339-W122</x:v>
      </x:c>
      <x:c r="C80" s="16" t="str">
        <x:v>МАСТИКА ВЕКТОР-1214</x:v>
      </x:c>
      <x:c r="D80" s="16" t="str">
        <x:v>Проч строит матер-ы</x:v>
      </x:c>
      <x:c r="E80" s="16" t="str">
        <x:v>КГ</x:v>
      </x:c>
      <x:c r="F80" s="25" t="n">
        <x:v>10</x:v>
      </x:c>
      <x:c r="G80" s="17" t="n">
        <x:v>551.2936</x:v>
      </x:c>
      <x:c r="H80" s="17" t="n">
        <x:f>G80*F80</x:f>
        <x:v>5512.936</x:v>
      </x:c>
      <x:c r="I80" s="26" t="str">
        <x:f>HYPERLINK("https://etp-aktiv.ru/catalog/materialy/stroitelnye-materialy/2000085339-W122/","Открыть позицию")</x:f>
        <x:v>Открыть позицию</x:v>
      </x:c>
    </x:row>
    <x:row r="81" ht="28" customHeight="1">
      <x:c r="A81" s="16" t="str">
        <x:v>Рубцовский ТЭК</x:v>
      </x:c>
      <x:c r="B81" s="16" t="str">
        <x:v>2000560915-W122</x:v>
      </x:c>
      <x:c r="C81" s="16" t="str">
        <x:v>ПЕСОК ВС-050-1 ГОСТ22551-77</x:v>
      </x:c>
      <x:c r="D81" s="16" t="str">
        <x:v>Щебень, гравий</x:v>
      </x:c>
      <x:c r="E81" s="16" t="str">
        <x:v>Т</x:v>
      </x:c>
      <x:c r="F81" s="30" t="n">
        <x:v>0.23</x:v>
      </x:c>
      <x:c r="G81" s="17" t="n">
        <x:v>7625.0122</x:v>
      </x:c>
      <x:c r="H81" s="17" t="n">
        <x:f>G81*F81</x:f>
        <x:v>1753.7528060000002</x:v>
      </x:c>
      <x:c r="I81" s="26" t="str">
        <x:f>HYPERLINK("https://etp-aktiv.ru/catalog/materialy/stroitelnye-materialy/2000560915-W122/","Открыть позицию")</x:f>
        <x:v>Открыть позицию</x:v>
      </x:c>
    </x:row>
    <x:row r="82" ht="28" customHeight="1">
      <x:c r="A82" s="16" t="str">
        <x:v>Рубцовский ТЭК</x:v>
      </x:c>
      <x:c r="B82" s="16" t="str">
        <x:v>2000560916-W122</x:v>
      </x:c>
      <x:c r="C82" s="16" t="str">
        <x:v>ПЕСОК КВАРЦ ТУ5717-005-43548961 0,1-0,4</x:v>
      </x:c>
      <x:c r="D82" s="16" t="str">
        <x:v>Щебень, гравий</x:v>
      </x:c>
      <x:c r="E82" s="16" t="str">
        <x:v>КГ</x:v>
      </x:c>
      <x:c r="F82" s="25" t="n">
        <x:v>1018</x:v>
      </x:c>
      <x:c r="G82" s="17" t="n">
        <x:v>7.3078</x:v>
      </x:c>
      <x:c r="H82" s="17" t="n">
        <x:f>G82*F82</x:f>
        <x:v>7439.3404</x:v>
      </x:c>
      <x:c r="I82" s="26" t="str">
        <x:f>HYPERLINK("https://etp-aktiv.ru/catalog/materialy/stroitelnye-materialy/2000560916-W122/","Открыть позицию")</x:f>
        <x:v>Открыть позицию</x:v>
      </x:c>
    </x:row>
    <x:row r="83" ht="28" customHeight="1">
      <x:c r="A83" s="16" t="str">
        <x:v>Рубцовский ТЭК</x:v>
      </x:c>
      <x:c r="B83" s="16" t="str">
        <x:v>2000557081-W122</x:v>
      </x:c>
      <x:c r="C83" s="16" t="str">
        <x:v>ПЛИТА 1/2 П24-8 С.3.006.1-2.87.2-48</x:v>
      </x:c>
      <x:c r="D83" s="16" t="str">
        <x:v>Железобетонные издел</x:v>
      </x:c>
      <x:c r="E83" s="16" t="str">
        <x:v>ШТ</x:v>
      </x:c>
      <x:c r="F83" s="25" t="n">
        <x:v>3</x:v>
      </x:c>
      <x:c r="G83" s="17" t="n">
        <x:v>14983.051800000001</x:v>
      </x:c>
      <x:c r="H83" s="17" t="n">
        <x:f>G83*F83</x:f>
        <x:v>44949.1554</x:v>
      </x:c>
      <x:c r="I83" s="26" t="str">
        <x:f>HYPERLINK("https://etp-aktiv.ru/catalog/materialy/stroitelnye-materialy/2000557081-W122/","Открыть позицию")</x:f>
        <x:v>Открыть позицию</x:v>
      </x:c>
    </x:row>
    <x:row r="84" ht="28" customHeight="1">
      <x:c r="A84" s="16" t="str">
        <x:v>Рубцовский ТЭК</x:v>
      </x:c>
      <x:c r="B84" s="16" t="str">
        <x:v>2000879618-W122</x:v>
      </x:c>
      <x:c r="C84" s="16" t="str">
        <x:v>ПЛИТА 700 ВП-31-18 3130*1800*260 РК2303</x:v>
      </x:c>
      <x:c r="D84" s="16" t="str">
        <x:v>Железобетонные издел</x:v>
      </x:c>
      <x:c r="E84" s="16" t="str">
        <x:v>ШТ</x:v>
      </x:c>
      <x:c r="F84" s="25" t="n">
        <x:v>3</x:v>
      </x:c>
      <x:c r="G84" s="17" t="n">
        <x:v>74455.7826</x:v>
      </x:c>
      <x:c r="H84" s="17" t="n">
        <x:f>G84*F84</x:f>
        <x:v>223367.34780000002</x:v>
      </x:c>
      <x:c r="I84" s="26" t="str">
        <x:f>HYPERLINK("https://etp-aktiv.ru/catalog/materialy/stroitelnye-materialy/2000879618-W122/","Открыть позицию")</x:f>
        <x:v>Открыть позицию</x:v>
      </x:c>
    </x:row>
    <x:row r="85" ht="28" customHeight="1">
      <x:c r="A85" s="16" t="str">
        <x:v>Рубцовский ТЭК</x:v>
      </x:c>
      <x:c r="B85" s="16" t="str">
        <x:v>2000570399-W122</x:v>
      </x:c>
      <x:c r="C85" s="16" t="str">
        <x:v>ПЛИТА ВП 31-12 С ОТВ 700ММ 3130*1200*260</x:v>
      </x:c>
      <x:c r="D85" s="16" t="str">
        <x:v>Железобетонные издел</x:v>
      </x:c>
      <x:c r="E85" s="16" t="str">
        <x:v>ШТ</x:v>
      </x:c>
      <x:c r="F85" s="25" t="n">
        <x:v>1</x:v>
      </x:c>
      <x:c r="G85" s="17" t="n">
        <x:v>30711.3528</x:v>
      </x:c>
      <x:c r="H85" s="17" t="n">
        <x:f>G85*F85</x:f>
        <x:v>30711.3528</x:v>
      </x:c>
      <x:c r="I85" s="26" t="str">
        <x:f>HYPERLINK("https://etp-aktiv.ru/catalog/materialy/stroitelnye-materialy/2000570399-W122/","Открыть позицию")</x:f>
        <x:v>Открыть позицию</x:v>
      </x:c>
    </x:row>
    <x:row r="86" ht="28" customHeight="1">
      <x:c r="A86" s="16" t="str">
        <x:v>Рубцовский ТЭК</x:v>
      </x:c>
      <x:c r="B86" s="16" t="str">
        <x:v>2000558490-W122</x:v>
      </x:c>
      <x:c r="C86" s="16" t="str">
        <x:v>ПЛИТА ВП 37-18 С ОТВЕРСТИЕМ ТУ400-1-250</x:v>
      </x:c>
      <x:c r="D86" s="16" t="str">
        <x:v>Железобетонные издел</x:v>
      </x:c>
      <x:c r="E86" s="16" t="str">
        <x:v>ШТ</x:v>
      </x:c>
      <x:c r="F86" s="25" t="n">
        <x:v>14</x:v>
      </x:c>
      <x:c r="G86" s="17" t="n">
        <x:v>62990.271400000005</x:v>
      </x:c>
      <x:c r="H86" s="17" t="n">
        <x:f>G86*F86</x:f>
        <x:v>881863.7996</x:v>
      </x:c>
      <x:c r="I86" s="26" t="str">
        <x:f>HYPERLINK("https://etp-aktiv.ru/catalog/materialy/stroitelnye-materialy/2000558490-W122/","Открыть позицию")</x:f>
        <x:v>Открыть позицию</x:v>
      </x:c>
    </x:row>
    <x:row r="87" ht="28" customHeight="1">
      <x:c r="A87" s="16" t="str">
        <x:v>Рубцовский ТЭК</x:v>
      </x:c>
      <x:c r="B87" s="16" t="str">
        <x:v>2000557093-W122</x:v>
      </x:c>
      <x:c r="C87" s="16" t="str">
        <x:v>ПЛИТА ВП-25-18 РК 2303-86</x:v>
      </x:c>
      <x:c r="D87" s="16" t="str">
        <x:v>Железобетонные издел</x:v>
      </x:c>
      <x:c r="E87" s="16" t="str">
        <x:v>ШТ</x:v>
      </x:c>
      <x:c r="F87" s="25" t="n">
        <x:v>2</x:v>
      </x:c>
      <x:c r="G87" s="17" t="n">
        <x:v>44892.34</x:v>
      </x:c>
      <x:c r="H87" s="17" t="n">
        <x:f>G87*F87</x:f>
        <x:v>89784.68</x:v>
      </x:c>
      <x:c r="I87" s="26" t="str">
        <x:f>HYPERLINK("https://etp-aktiv.ru/catalog/materialy/stroitelnye-materialy/2000557093-W122/","Открыть позицию")</x:f>
        <x:v>Открыть позицию</x:v>
      </x:c>
    </x:row>
    <x:row r="88" ht="28" customHeight="1">
      <x:c r="A88" s="16" t="str">
        <x:v>Рубцовский ТЭК</x:v>
      </x:c>
      <x:c r="B88" s="16" t="str">
        <x:v>2000604067-W122</x:v>
      </x:c>
      <x:c r="C88" s="16" t="str">
        <x:v>ПЛИТА ВП-46-12 4600*1200*360 РК 2303-86</x:v>
      </x:c>
      <x:c r="D88" s="16" t="str">
        <x:v>Железобетонные издел</x:v>
      </x:c>
      <x:c r="E88" s="16" t="str">
        <x:v>ШТ</x:v>
      </x:c>
      <x:c r="F88" s="25" t="n">
        <x:v>8</x:v>
      </x:c>
      <x:c r="G88" s="17" t="n">
        <x:v>9734.197</x:v>
      </x:c>
      <x:c r="H88" s="17" t="n">
        <x:f>G88*F88</x:f>
        <x:v>77873.576</x:v>
      </x:c>
      <x:c r="I88" s="26" t="str">
        <x:f>HYPERLINK("https://etp-aktiv.ru/catalog/materialy/stroitelnye-materialy/2000604067-W122/","Открыть позицию")</x:f>
        <x:v>Открыть позицию</x:v>
      </x:c>
    </x:row>
    <x:row r="89" ht="28" customHeight="1">
      <x:c r="A89" s="16" t="str">
        <x:v>Рубцовский ТЭК</x:v>
      </x:c>
      <x:c r="B89" s="16" t="str">
        <x:v>2000159584-W122</x:v>
      </x:c>
      <x:c r="C89" s="16" t="str">
        <x:v>ПЛИТА Ж/Б П24-8 3.006.1-2.87</x:v>
      </x:c>
      <x:c r="D89" s="16" t="str">
        <x:v>Железобетонные издел</x:v>
      </x:c>
      <x:c r="E89" s="16" t="str">
        <x:v>ШТ</x:v>
      </x:c>
      <x:c r="F89" s="25" t="n">
        <x:v>5</x:v>
      </x:c>
      <x:c r="G89" s="17" t="n">
        <x:v>4832.908</x:v>
      </x:c>
      <x:c r="H89" s="17" t="n">
        <x:f>G89*F89</x:f>
        <x:v>24164.54</x:v>
      </x:c>
      <x:c r="I89" s="26" t="str">
        <x:f>HYPERLINK("https://etp-aktiv.ru/catalog/materialy/stroitelnye-materialy/2000159584-W122/","Открыть позицию")</x:f>
        <x:v>Открыть позицию</x:v>
      </x:c>
    </x:row>
    <x:row r="90" ht="28" customHeight="1">
      <x:c r="A90" s="16" t="str">
        <x:v>Рубцовский ТЭК</x:v>
      </x:c>
      <x:c r="B90" s="16" t="str">
        <x:v>2000605190-W122</x:v>
      </x:c>
      <x:c r="C90" s="16" t="str">
        <x:v>ПЛИТА ЖБ П27-8 С.3.006.1-2.87</x:v>
      </x:c>
      <x:c r="D90" s="16" t="str">
        <x:v>Железобетонные издел</x:v>
      </x:c>
      <x:c r="E90" s="16" t="str">
        <x:v>ШТ</x:v>
      </x:c>
      <x:c r="F90" s="25" t="n">
        <x:v>3</x:v>
      </x:c>
      <x:c r="G90" s="17" t="n">
        <x:v>66541.24</x:v>
      </x:c>
      <x:c r="H90" s="17" t="n">
        <x:f>G90*F90</x:f>
        <x:v>199623.72000000003</x:v>
      </x:c>
      <x:c r="I90" s="26" t="str">
        <x:f>HYPERLINK("https://etp-aktiv.ru/catalog/materialy/stroitelnye-materialy/2000605190-W122/","Открыть позицию")</x:f>
        <x:v>Открыть позицию</x:v>
      </x:c>
    </x:row>
    <x:row r="91" ht="28" customHeight="1">
      <x:c r="A91" s="16" t="str">
        <x:v>Рубцовский ТЭК</x:v>
      </x:c>
      <x:c r="B91" s="16" t="str">
        <x:v>2000557102-W122</x:v>
      </x:c>
      <x:c r="C91" s="16" t="str">
        <x:v>ПЛИТА П2-15 С.3.006.1-2.87 В.1</x:v>
      </x:c>
      <x:c r="D91" s="16" t="str">
        <x:v>Железобетонные издел</x:v>
      </x:c>
      <x:c r="E91" s="16" t="str">
        <x:v>ШТ</x:v>
      </x:c>
      <x:c r="F91" s="25" t="n">
        <x:v>4</x:v>
      </x:c>
      <x:c r="G91" s="17" t="n">
        <x:v>84.87539999999998</x:v>
      </x:c>
      <x:c r="H91" s="17" t="n">
        <x:f>G91*F91</x:f>
        <x:v>339.50159999999994</x:v>
      </x:c>
      <x:c r="I91" s="26" t="str">
        <x:f>HYPERLINK("https://etp-aktiv.ru/catalog/materialy/stroitelnye-materialy/2000557102-W122/","Открыть позицию")</x:f>
        <x:v>Открыть позицию</x:v>
      </x:c>
    </x:row>
    <x:row r="92" ht="28" customHeight="1">
      <x:c r="A92" s="16" t="str">
        <x:v>Рубцовский ТЭК</x:v>
      </x:c>
      <x:c r="B92" s="16" t="str">
        <x:v>2000595356-W122</x:v>
      </x:c>
      <x:c r="C92" s="16" t="str">
        <x:v>ПЛИТА ПЕРЕК ВП 34-12 БЕЗ ОТВ РК 2303-86</x:v>
      </x:c>
      <x:c r="D92" s="16" t="str">
        <x:v>Железобетонные издел</x:v>
      </x:c>
      <x:c r="E92" s="16" t="str">
        <x:v>ШТ</x:v>
      </x:c>
      <x:c r="F92" s="25" t="n">
        <x:v>2</x:v>
      </x:c>
      <x:c r="G92" s="17" t="n">
        <x:v>28938.399999999998</x:v>
      </x:c>
      <x:c r="H92" s="17" t="n">
        <x:f>G92*F92</x:f>
        <x:v>57876.799999999996</x:v>
      </x:c>
      <x:c r="I92" s="26" t="str">
        <x:f>HYPERLINK("https://etp-aktiv.ru/catalog/materialy/stroitelnye-materialy/2000595356-W122/","Открыть позицию")</x:f>
        <x:v>Открыть позицию</x:v>
      </x:c>
    </x:row>
    <x:row r="93" ht="28" customHeight="1">
      <x:c r="A93" s="16" t="str">
        <x:v>Рубцовский ТЭК</x:v>
      </x:c>
      <x:c r="B93" s="16" t="str">
        <x:v>2000557131-W122</x:v>
      </x:c>
      <x:c r="C93" s="16" t="str">
        <x:v>ПЛИТА ПЕРЕКР П24-8 С.3.006.1-2.87.2-51</x:v>
      </x:c>
      <x:c r="D93" s="16" t="str">
        <x:v>Железобетонные издел</x:v>
      </x:c>
      <x:c r="E93" s="16" t="str">
        <x:v>ШТ</x:v>
      </x:c>
      <x:c r="F93" s="25" t="n">
        <x:v>1</x:v>
      </x:c>
      <x:c r="G93" s="17" t="n">
        <x:v>4643.015</x:v>
      </x:c>
      <x:c r="H93" s="17" t="n">
        <x:f>G93*F93</x:f>
        <x:v>4643.015</x:v>
      </x:c>
      <x:c r="I93" s="26" t="str">
        <x:f>HYPERLINK("https://etp-aktiv.ru/catalog/materialy/stroitelnye-materialy/2000557131-W122/","Открыть позицию")</x:f>
        <x:v>Открыть позицию</x:v>
      </x:c>
    </x:row>
    <x:row r="94" ht="28" customHeight="1">
      <x:c r="A94" s="16" t="str">
        <x:v>Рубцовский ТЭК</x:v>
      </x:c>
      <x:c r="B94" s="16" t="str">
        <x:v>2000119307-W122</x:v>
      </x:c>
      <x:c r="C94" s="16" t="str">
        <x:v>ПЛИТА ПЕРЕКРЫТИЯ 1ПП 15-1</x:v>
      </x:c>
      <x:c r="D94" s="16" t="str">
        <x:v>Железобетонные издел</x:v>
      </x:c>
      <x:c r="E94" s="16" t="str">
        <x:v>ШТ</x:v>
      </x:c>
      <x:c r="F94" s="25" t="n">
        <x:v>1</x:v>
      </x:c>
      <x:c r="G94" s="17" t="n">
        <x:v>5387.0686</x:v>
      </x:c>
      <x:c r="H94" s="17" t="n">
        <x:f>G94*F94</x:f>
        <x:v>5387.0686</x:v>
      </x:c>
      <x:c r="I94" s="26" t="str">
        <x:f>HYPERLINK("https://etp-aktiv.ru/catalog/materialy/stroitelnye-materialy/2000119307-W122/","Открыть позицию")</x:f>
        <x:v>Открыть позицию</x:v>
      </x:c>
    </x:row>
    <x:row r="95" ht="28" customHeight="1">
      <x:c r="A95" s="16" t="str">
        <x:v>Рубцовский ТЭК</x:v>
      </x:c>
      <x:c r="B95" s="16" t="str">
        <x:v>2000292535-W122</x:v>
      </x:c>
      <x:c r="C95" s="16" t="str">
        <x:v>ПЛИТА ПП15-1 ГОСТ8020-90</x:v>
      </x:c>
      <x:c r="D95" s="16" t="str">
        <x:v>Железобетонные издел</x:v>
      </x:c>
      <x:c r="E95" s="16" t="str">
        <x:v>ШТ</x:v>
      </x:c>
      <x:c r="F95" s="25" t="n">
        <x:v>3</x:v>
      </x:c>
      <x:c r="G95" s="17" t="n">
        <x:v>5887.11</x:v>
      </x:c>
      <x:c r="H95" s="17" t="n">
        <x:f>G95*F95</x:f>
        <x:v>17661.329999999998</x:v>
      </x:c>
      <x:c r="I95" s="26" t="str">
        <x:f>HYPERLINK("https://etp-aktiv.ru/catalog/materialy/stroitelnye-materialy/2000292535-W122/","Открыть позицию")</x:f>
        <x:v>Открыть позицию</x:v>
      </x:c>
    </x:row>
    <x:row r="96" ht="28" customHeight="1">
      <x:c r="A96" s="16" t="str">
        <x:v>Рубцовский ТЭК</x:v>
      </x:c>
      <x:c r="B96" s="16" t="str">
        <x:v>2000557261-W122</x:v>
      </x:c>
      <x:c r="C96" s="16" t="str">
        <x:v>ПОДУШКА ОПОРНАЯ ОП-1 4006-АС.И-ОП1</x:v>
      </x:c>
      <x:c r="D96" s="16" t="str">
        <x:v>Железобетонные издел</x:v>
      </x:c>
      <x:c r="E96" s="16" t="str">
        <x:v>ШТ</x:v>
      </x:c>
      <x:c r="F96" s="25" t="n">
        <x:v>6</x:v>
      </x:c>
      <x:c r="G96" s="17" t="n">
        <x:v>65.575</x:v>
      </x:c>
      <x:c r="H96" s="17" t="n">
        <x:f>G96*F96</x:f>
        <x:v>393.45000000000005</x:v>
      </x:c>
      <x:c r="I96" s="26" t="str">
        <x:f>HYPERLINK("https://etp-aktiv.ru/catalog/materialy/stroitelnye-materialy/2000557261-W122/","Открыть позицию")</x:f>
        <x:v>Открыть позицию</x:v>
      </x:c>
    </x:row>
    <x:row r="97" ht="28" customHeight="1">
      <x:c r="A97" s="16" t="str">
        <x:v>Рубцовский ТЭК</x:v>
      </x:c>
      <x:c r="B97" s="16" t="str">
        <x:v>2000557266-W122</x:v>
      </x:c>
      <x:c r="C97" s="16" t="str">
        <x:v>ПОДУШКА ОПОРНАЯ ОП-2 4006-АС.И-ОП2</x:v>
      </x:c>
      <x:c r="D97" s="16" t="str">
        <x:v>Железобетонные издел</x:v>
      </x:c>
      <x:c r="E97" s="16" t="str">
        <x:v>ШТ</x:v>
      </x:c>
      <x:c r="F97" s="25" t="n">
        <x:v>3</x:v>
      </x:c>
      <x:c r="G97" s="17" t="n">
        <x:v>79.70259999999999</x:v>
      </x:c>
      <x:c r="H97" s="17" t="n">
        <x:f>G97*F97</x:f>
        <x:v>239.10779999999997</x:v>
      </x:c>
      <x:c r="I97" s="26" t="str">
        <x:f>HYPERLINK("https://etp-aktiv.ru/catalog/materialy/stroitelnye-materialy/2000557266-W122/","Открыть позицию")</x:f>
        <x:v>Открыть позицию</x:v>
      </x:c>
    </x:row>
    <x:row r="98" ht="28" customHeight="1">
      <x:c r="A98" s="16" t="str">
        <x:v>Рубцовский ТЭК</x:v>
      </x:c>
      <x:c r="B98" s="16" t="str">
        <x:v>2000557255-W122</x:v>
      </x:c>
      <x:c r="C98" s="16" t="str">
        <x:v>ПОДУШКА ОПОРНАЯ ОП-4 С.3.006.1-2.87 В.2</x:v>
      </x:c>
      <x:c r="D98" s="16" t="str">
        <x:v>Железобетонные издел</x:v>
      </x:c>
      <x:c r="E98" s="16" t="str">
        <x:v>ШТ</x:v>
      </x:c>
      <x:c r="F98" s="25" t="n">
        <x:v>1</x:v>
      </x:c>
      <x:c r="G98" s="17" t="n">
        <x:v>164.3218</x:v>
      </x:c>
      <x:c r="H98" s="17" t="n">
        <x:f>G98*F98</x:f>
        <x:v>164.3218</x:v>
      </x:c>
      <x:c r="I98" s="26" t="str">
        <x:f>HYPERLINK("https://etp-aktiv.ru/catalog/materialy/stroitelnye-materialy/2000557255-W122/","Открыть позицию")</x:f>
        <x:v>Открыть позицию</x:v>
      </x:c>
    </x:row>
    <x:row r="99" ht="28" customHeight="1">
      <x:c r="A99" s="16" t="str">
        <x:v>Рубцовский ТЭК</x:v>
      </x:c>
      <x:c r="B99" s="16" t="str">
        <x:v>2000557271-W122</x:v>
      </x:c>
      <x:c r="C99" s="16" t="str">
        <x:v>ПОДУШКА ОПОРНАЯ ОП-6 С.3.006.1-2.87.2-60</x:v>
      </x:c>
      <x:c r="D99" s="16" t="str">
        <x:v>Железобетонные издел</x:v>
      </x:c>
      <x:c r="E99" s="16" t="str">
        <x:v>ШТ</x:v>
      </x:c>
      <x:c r="F99" s="25" t="n">
        <x:v>15</x:v>
      </x:c>
      <x:c r="G99" s="17" t="n">
        <x:v>302.0232</x:v>
      </x:c>
      <x:c r="H99" s="17" t="n">
        <x:f>G99*F99</x:f>
        <x:v>4530.348</x:v>
      </x:c>
      <x:c r="I99" s="26" t="str">
        <x:f>HYPERLINK("https://etp-aktiv.ru/catalog/materialy/stroitelnye-materialy/2000557271-W122/","Открыть позицию")</x:f>
        <x:v>Открыть позицию</x:v>
      </x:c>
    </x:row>
    <x:row r="100" ht="28" customHeight="1">
      <x:c r="A100" s="16" t="str">
        <x:v>Рубцовский ТЭК</x:v>
      </x:c>
      <x:c r="B100" s="16" t="str">
        <x:v>2000557258-W122</x:v>
      </x:c>
      <x:c r="C100" s="16" t="str">
        <x:v>ПОДУШКА ОПОРНАЯ ОП-8 4011-АС2.И-ОП8</x:v>
      </x:c>
      <x:c r="D100" s="16" t="str">
        <x:v>Железобетонные издел</x:v>
      </x:c>
      <x:c r="E100" s="16" t="str">
        <x:v>ШТ</x:v>
      </x:c>
      <x:c r="F100" s="25" t="n">
        <x:v>1</x:v>
      </x:c>
      <x:c r="G100" s="17" t="n">
        <x:v>600.4596</x:v>
      </x:c>
      <x:c r="H100" s="17" t="n">
        <x:f>G100*F100</x:f>
        <x:v>600.4596</x:v>
      </x:c>
      <x:c r="I100" s="26" t="str">
        <x:f>HYPERLINK("https://etp-aktiv.ru/catalog/materialy/stroitelnye-materialy/2000557258-W122/","Открыть позицию")</x:f>
        <x:v>Открыть позицию</x:v>
      </x:c>
    </x:row>
    <x:row r="101" ht="28" customHeight="1">
      <x:c r="A101" s="16" t="str">
        <x:v>Рубцовский ТЭК</x:v>
      </x:c>
      <x:c r="B101" s="16" t="str">
        <x:v>2000557274-W122</x:v>
      </x:c>
      <x:c r="C101" s="16" t="str">
        <x:v>ПРОГОН ПРГ 36.1.4-4АIII С.1.225-2 В.12</x:v>
      </x:c>
      <x:c r="D101" s="16" t="str">
        <x:v>Железобетонные издел</x:v>
      </x:c>
      <x:c r="E101" s="16" t="str">
        <x:v>ШТ</x:v>
      </x:c>
      <x:c r="F101" s="25" t="n">
        <x:v>6</x:v>
      </x:c>
      <x:c r="G101" s="17" t="n">
        <x:v>495.38100000000003</x:v>
      </x:c>
      <x:c r="H101" s="17" t="n">
        <x:f>G101*F101</x:f>
        <x:v>2972.286</x:v>
      </x:c>
      <x:c r="I101" s="26" t="str">
        <x:f>HYPERLINK("https://etp-aktiv.ru/catalog/materialy/stroitelnye-materialy/2000557274-W122/","Открыть позицию")</x:f>
        <x:v>Открыть позицию</x:v>
      </x:c>
    </x:row>
    <x:row r="102" ht="28" customHeight="1">
      <x:c r="A102" s="16" t="str">
        <x:v>Филиал БТСК</x:v>
      </x:c>
      <x:c r="B102" s="16" t="str">
        <x:v>2000652980-W121</x:v>
      </x:c>
      <x:c r="C102" s="16" t="str">
        <x:v>БАЛКА Б2 1480*300*200 С.3.006.1-2.87 В.6</x:v>
      </x:c>
      <x:c r="D102" s="16" t="str">
        <x:v>Железобетонные издел</x:v>
      </x:c>
      <x:c r="E102" s="16" t="str">
        <x:v>ШТ</x:v>
      </x:c>
      <x:c r="F102" s="25" t="n">
        <x:v>1</x:v>
      </x:c>
      <x:c r="G102" s="17" t="n">
        <x:v>2294.82</x:v>
      </x:c>
      <x:c r="H102" s="17" t="n">
        <x:f>G102*F102</x:f>
        <x:v>2294.82</x:v>
      </x:c>
      <x:c r="I102" s="26" t="str">
        <x:f>HYPERLINK("https://etp-aktiv.ru/catalog/materialy/stroitelnye-materialy/2000652980-W121/","Открыть позицию")</x:f>
        <x:v>Открыть позицию</x:v>
      </x:c>
    </x:row>
    <x:row r="103" ht="28" customHeight="1">
      <x:c r="A103" s="16" t="str">
        <x:v>Филиал БТСК</x:v>
      </x:c>
      <x:c r="B103" s="16" t="str">
        <x:v>2000158788-W121</x:v>
      </x:c>
      <x:c r="C103" s="16" t="str">
        <x:v>БАЛКА Ж/Б Б-1 С.3.006.1-2/87</x:v>
      </x:c>
      <x:c r="D103" s="16" t="str">
        <x:v>Железобетонные издел</x:v>
      </x:c>
      <x:c r="E103" s="16" t="str">
        <x:v>ШТ</x:v>
      </x:c>
      <x:c r="F103" s="25" t="n">
        <x:v>1</x:v>
      </x:c>
      <x:c r="G103" s="17" t="n">
        <x:v>208.01</x:v>
      </x:c>
      <x:c r="H103" s="17" t="n">
        <x:f>G103*F103</x:f>
        <x:v>208.01</x:v>
      </x:c>
      <x:c r="I103" s="26" t="str">
        <x:f>HYPERLINK("https://etp-aktiv.ru/catalog/materialy/stroitelnye-materialy/2000158788-W121/","Открыть позицию")</x:f>
        <x:v>Открыть позицию</x:v>
      </x:c>
    </x:row>
    <x:row r="104" ht="28" customHeight="1">
      <x:c r="A104" s="16" t="str">
        <x:v>Филиал БТСК</x:v>
      </x:c>
      <x:c r="B104" s="16" t="str">
        <x:v>2000020154-W121</x:v>
      </x:c>
      <x:c r="C104" s="16" t="str">
        <x:v>БЛОК ФБС 24.6.6-Т ГОСТ13579-2018</x:v>
      </x:c>
      <x:c r="D104" s="16" t="str">
        <x:v>Железобетонные издел</x:v>
      </x:c>
      <x:c r="E104" s="16" t="str">
        <x:v>ШТ</x:v>
      </x:c>
      <x:c r="F104" s="25" t="n">
        <x:v>21</x:v>
      </x:c>
      <x:c r="G104" s="17" t="n">
        <x:v>10102.8322</x:v>
      </x:c>
      <x:c r="H104" s="17" t="n">
        <x:f>G104*F104</x:f>
        <x:v>212159.4762</x:v>
      </x:c>
      <x:c r="I104" s="26" t="str">
        <x:f>HYPERLINK("https://etp-aktiv.ru/catalog/materialy/stroitelnye-materialy/2000020154-W121/","Открыть позицию")</x:f>
        <x:v>Открыть позицию</x:v>
      </x:c>
    </x:row>
    <x:row r="105" ht="28" customHeight="1">
      <x:c r="A105" s="16" t="str">
        <x:v>Филиал БТСК</x:v>
      </x:c>
      <x:c r="B105" s="16" t="str">
        <x:v>2000228092-W121</x:v>
      </x:c>
      <x:c r="C105" s="16" t="str">
        <x:v>БЛОК ФБС 9.6.6-Т ГОСТ13579-2018</x:v>
      </x:c>
      <x:c r="D105" s="16" t="str">
        <x:v>Железобетонные издел</x:v>
      </x:c>
      <x:c r="E105" s="16" t="str">
        <x:v>ШТ</x:v>
      </x:c>
      <x:c r="F105" s="25" t="n">
        <x:v>2</x:v>
      </x:c>
      <x:c r="G105" s="17" t="n">
        <x:v>3011.0088</x:v>
      </x:c>
      <x:c r="H105" s="17" t="n">
        <x:f>G105*F105</x:f>
        <x:v>6022.0176</x:v>
      </x:c>
      <x:c r="I105" s="26" t="str">
        <x:f>HYPERLINK("https://etp-aktiv.ru/catalog/materialy/stroitelnye-materialy/2000228092-W121/","Открыть позицию")</x:f>
        <x:v>Открыть позицию</x:v>
      </x:c>
    </x:row>
    <x:row r="106" ht="28" customHeight="1">
      <x:c r="A106" s="16" t="str">
        <x:v>Филиал БТСК</x:v>
      </x:c>
      <x:c r="B106" s="16" t="str">
        <x:v>2000174378-W121</x:v>
      </x:c>
      <x:c r="C106" s="16" t="str">
        <x:v>КОЛЬЦО Ж/Б КС 7.3 ГОСТ8020</x:v>
      </x:c>
      <x:c r="D106" s="16" t="str">
        <x:v>Железобетонные издел</x:v>
      </x:c>
      <x:c r="E106" s="16" t="str">
        <x:v>ШТ</x:v>
      </x:c>
      <x:c r="F106" s="25" t="n">
        <x:v>1</x:v>
      </x:c>
      <x:c r="G106" s="17" t="n">
        <x:v>298.5828</x:v>
      </x:c>
      <x:c r="H106" s="17" t="n">
        <x:f>G106*F106</x:f>
        <x:v>298.5828</x:v>
      </x:c>
      <x:c r="I106" s="26" t="str">
        <x:f>HYPERLINK("https://etp-aktiv.ru/catalog/materialy/stroitelnye-materialy/2000174378-W121/","Открыть позицию")</x:f>
        <x:v>Открыть позицию</x:v>
      </x:c>
    </x:row>
    <x:row r="107" ht="28" customHeight="1">
      <x:c r="A107" s="16" t="str">
        <x:v>Филиал БТСК</x:v>
      </x:c>
      <x:c r="B107" s="16" t="str">
        <x:v>2000557037-W121</x:v>
      </x:c>
      <x:c r="C107" s="16" t="str">
        <x:v>КОЛЬЦО КЦ 7-9 С.3.900-3 В.7</x:v>
      </x:c>
      <x:c r="D107" s="16" t="str">
        <x:v>Железобетонные издел</x:v>
      </x:c>
      <x:c r="E107" s="16" t="str">
        <x:v>ШТ</x:v>
      </x:c>
      <x:c r="F107" s="25" t="n">
        <x:v>20</x:v>
      </x:c>
      <x:c r="G107" s="17" t="n">
        <x:v>2826.3008</x:v>
      </x:c>
      <x:c r="H107" s="17" t="n">
        <x:f>G107*F107</x:f>
        <x:v>56526.016</x:v>
      </x:c>
      <x:c r="I107" s="26" t="str">
        <x:f>HYPERLINK("https://etp-aktiv.ru/catalog/materialy/stroitelnye-materialy/2000557037-W121/","Открыть позицию")</x:f>
        <x:v>Открыть позицию</x:v>
      </x:c>
    </x:row>
    <x:row r="108" ht="28" customHeight="1">
      <x:c r="A108" s="16" t="str">
        <x:v>Филиал БТСК</x:v>
      </x:c>
      <x:c r="B108" s="16" t="str">
        <x:v>2000085256-W121</x:v>
      </x:c>
      <x:c r="C108" s="16" t="str">
        <x:v>КОЛЬЦО КЦ-20-9</x:v>
      </x:c>
      <x:c r="D108" s="16" t="str">
        <x:v>Железобетонные издел</x:v>
      </x:c>
      <x:c r="E108" s="16" t="str">
        <x:v>ШТ</x:v>
      </x:c>
      <x:c r="F108" s="25" t="n">
        <x:v>3</x:v>
      </x:c>
      <x:c r="G108" s="17" t="n">
        <x:v>8324.1088</x:v>
      </x:c>
      <x:c r="H108" s="17" t="n">
        <x:f>G108*F108</x:f>
        <x:v>24972.326399999998</x:v>
      </x:c>
      <x:c r="I108" s="26" t="str">
        <x:f>HYPERLINK("https://etp-aktiv.ru/catalog/materialy/stroitelnye-materialy/2000085256-W121/","Открыть позицию")</x:f>
        <x:v>Открыть позицию</x:v>
      </x:c>
    </x:row>
    <x:row r="109" ht="28" customHeight="1">
      <x:c r="A109" s="16" t="str">
        <x:v>Филиал БТСК</x:v>
      </x:c>
      <x:c r="B109" s="16" t="str">
        <x:v>2000638665-W121</x:v>
      </x:c>
      <x:c r="C109" s="16" t="str">
        <x:v>ЛОТОК 1/2 Л15-15 2970*1840*720</x:v>
      </x:c>
      <x:c r="D109" s="16" t="str">
        <x:v>Железобетонные издел</x:v>
      </x:c>
      <x:c r="E109" s="16" t="str">
        <x:v>ШТ</x:v>
      </x:c>
      <x:c r="F109" s="25" t="n">
        <x:v>3</x:v>
      </x:c>
      <x:c r="G109" s="17" t="n">
        <x:v>38796</x:v>
      </x:c>
      <x:c r="H109" s="17" t="n">
        <x:f>G109*F109</x:f>
        <x:v>116388</x:v>
      </x:c>
      <x:c r="I109" s="26" t="str">
        <x:f>HYPERLINK("https://etp-aktiv.ru/catalog/materialy/stroitelnye-materialy/2000638665-W121/","Открыть позицию")</x:f>
        <x:v>Открыть позицию</x:v>
      </x:c>
    </x:row>
    <x:row r="110" ht="28" customHeight="1">
      <x:c r="A110" s="16" t="str">
        <x:v>Филиал БТСК</x:v>
      </x:c>
      <x:c r="B110" s="16" t="str">
        <x:v>2000557289-W121</x:v>
      </x:c>
      <x:c r="C110" s="16" t="str">
        <x:v>ЛОТОК 1/2 Л15-8 С.3.006.1-2.87 В.1</x:v>
      </x:c>
      <x:c r="D110" s="16" t="str">
        <x:v>Железобетонные издел</x:v>
      </x:c>
      <x:c r="E110" s="16" t="str">
        <x:v>ШТ</x:v>
      </x:c>
      <x:c r="F110" s="25" t="n">
        <x:v>56</x:v>
      </x:c>
      <x:c r="G110" s="17" t="n">
        <x:v>32593.52</x:v>
      </x:c>
      <x:c r="H110" s="17" t="n">
        <x:f>G110*F110</x:f>
        <x:v>1825237.12</x:v>
      </x:c>
      <x:c r="I110" s="26" t="str">
        <x:f>HYPERLINK("https://etp-aktiv.ru/catalog/materialy/stroitelnye-materialy/2000557289-W121/","Открыть позицию")</x:f>
        <x:v>Открыть позицию</x:v>
      </x:c>
    </x:row>
    <x:row r="111" ht="28" customHeight="1">
      <x:c r="A111" s="16" t="str">
        <x:v>Филиал БТСК</x:v>
      </x:c>
      <x:c r="B111" s="16" t="str">
        <x:v>2000557293-W121</x:v>
      </x:c>
      <x:c r="C111" s="16" t="str">
        <x:v>ЛОТОК 1/2 Л16-8 С 3.006.1-2.87 В.1</x:v>
      </x:c>
      <x:c r="D111" s="16" t="str">
        <x:v>Железобетонные издел</x:v>
      </x:c>
      <x:c r="E111" s="16" t="str">
        <x:v>ШТ</x:v>
      </x:c>
      <x:c r="F111" s="25" t="n">
        <x:v>5</x:v>
      </x:c>
      <x:c r="G111" s="17" t="n">
        <x:v>50322.56</x:v>
      </x:c>
      <x:c r="H111" s="17" t="n">
        <x:f>G111*F111</x:f>
        <x:v>251612.8</x:v>
      </x:c>
      <x:c r="I111" s="26" t="str">
        <x:f>HYPERLINK("https://etp-aktiv.ru/catalog/materialy/stroitelnye-materialy/2000557293-W121/","Открыть позицию")</x:f>
        <x:v>Открыть позицию</x:v>
      </x:c>
    </x:row>
    <x:row r="112" ht="28" customHeight="1">
      <x:c r="A112" s="16" t="str">
        <x:v>Филиал БТСК</x:v>
      </x:c>
      <x:c r="B112" s="16" t="str">
        <x:v>2000557290-W121</x:v>
      </x:c>
      <x:c r="C112" s="16" t="str">
        <x:v>ЛОТОК 1/2 Л20-12 С.3.006.1-2.87.1-39</x:v>
      </x:c>
      <x:c r="D112" s="16" t="str">
        <x:v>Железобетонные издел</x:v>
      </x:c>
      <x:c r="E112" s="16" t="str">
        <x:v>ШТ</x:v>
      </x:c>
      <x:c r="F112" s="25" t="n">
        <x:v>1</x:v>
      </x:c>
      <x:c r="G112" s="17" t="n">
        <x:v>33202.946599999996</x:v>
      </x:c>
      <x:c r="H112" s="17" t="n">
        <x:f>G112*F112</x:f>
        <x:v>33202.946599999996</x:v>
      </x:c>
      <x:c r="I112" s="26" t="str">
        <x:f>HYPERLINK("https://etp-aktiv.ru/catalog/materialy/stroitelnye-materialy/2000557290-W121/","Открыть позицию")</x:f>
        <x:v>Открыть позицию</x:v>
      </x:c>
    </x:row>
    <x:row r="113" ht="28" customHeight="1">
      <x:c r="A113" s="16" t="str">
        <x:v>Филиал БТСК</x:v>
      </x:c>
      <x:c r="B113" s="16" t="str">
        <x:v>2000570417-W121</x:v>
      </x:c>
      <x:c r="C113" s="16" t="str">
        <x:v>ЛОТОК 1/2 Л24-8 2970*2460*1040 3.006.1-2</x:v>
      </x:c>
      <x:c r="D113" s="16" t="str">
        <x:v>Железобетонные издел</x:v>
      </x:c>
      <x:c r="E113" s="16" t="str">
        <x:v>ШТ</x:v>
      </x:c>
      <x:c r="F113" s="25" t="n">
        <x:v>15</x:v>
      </x:c>
      <x:c r="G113" s="17" t="n">
        <x:v>7163.705800000001</x:v>
      </x:c>
      <x:c r="H113" s="17" t="n">
        <x:f>G113*F113</x:f>
        <x:v>107455.58700000001</x:v>
      </x:c>
      <x:c r="I113" s="26" t="str">
        <x:f>HYPERLINK("https://etp-aktiv.ru/catalog/materialy/stroitelnye-materialy/2000570417-W121/","Открыть позицию")</x:f>
        <x:v>Открыть позицию</x:v>
      </x:c>
    </x:row>
    <x:row r="114" ht="28" customHeight="1">
      <x:c r="A114" s="16" t="str">
        <x:v>Филиал БТСК</x:v>
      </x:c>
      <x:c r="B114" s="16" t="str">
        <x:v>2000557287-W121</x:v>
      </x:c>
      <x:c r="C114" s="16" t="str">
        <x:v>ЛОТОК 1/2Л16-11 2970*1840*1030 3.006.1-2</x:v>
      </x:c>
      <x:c r="D114" s="16" t="str">
        <x:v>Железобетонные издел</x:v>
      </x:c>
      <x:c r="E114" s="16" t="str">
        <x:v>ШТ</x:v>
      </x:c>
      <x:c r="F114" s="25" t="n">
        <x:v>8</x:v>
      </x:c>
      <x:c r="G114" s="17" t="n">
        <x:v>36714.375</x:v>
      </x:c>
      <x:c r="H114" s="17" t="n">
        <x:f>G114*F114</x:f>
        <x:v>293715</x:v>
      </x:c>
      <x:c r="I114" s="26" t="str">
        <x:f>HYPERLINK("https://etp-aktiv.ru/catalog/materialy/stroitelnye-materialy/2000557287-W121/","Открыть позицию")</x:f>
        <x:v>Открыть позицию</x:v>
      </x:c>
    </x:row>
    <x:row r="115" ht="28" customHeight="1">
      <x:c r="A115" s="16" t="str">
        <x:v>Филиал БТСК</x:v>
      </x:c>
      <x:c r="B115" s="16" t="str">
        <x:v>2000380153-W121</x:v>
      </x:c>
      <x:c r="C115" s="16" t="str">
        <x:v>ЛОТОК Ж/Б Л6Д-8 720*1160*530 С.3.006.1-2</x:v>
      </x:c>
      <x:c r="D115" s="16" t="str">
        <x:v>Железобетонные издел</x:v>
      </x:c>
      <x:c r="E115" s="16" t="str">
        <x:v>ШТ</x:v>
      </x:c>
      <x:c r="F115" s="25" t="n">
        <x:v>2</x:v>
      </x:c>
      <x:c r="G115" s="17" t="n">
        <x:v>2273.775</x:v>
      </x:c>
      <x:c r="H115" s="17" t="n">
        <x:f>G115*F115</x:f>
        <x:v>4547.55</x:v>
      </x:c>
      <x:c r="I115" s="26" t="str">
        <x:f>HYPERLINK("https://etp-aktiv.ru/catalog/materialy/stroitelnye-materialy/2000380153-W121/","Открыть позицию")</x:f>
        <x:v>Открыть позицию</x:v>
      </x:c>
    </x:row>
    <x:row r="116" ht="28" customHeight="1">
      <x:c r="A116" s="16" t="str">
        <x:v>Филиал БТСК</x:v>
      </x:c>
      <x:c r="B116" s="16" t="str">
        <x:v>2000557303-W121</x:v>
      </x:c>
      <x:c r="C116" s="16" t="str">
        <x:v>ЛОТОК Л 25Д-8 С.3.006.1-2.87 В.1</x:v>
      </x:c>
      <x:c r="D116" s="16" t="str">
        <x:v>Железобетонные издел</x:v>
      </x:c>
      <x:c r="E116" s="16" t="str">
        <x:v>ШТ</x:v>
      </x:c>
      <x:c r="F116" s="25" t="n">
        <x:v>2</x:v>
      </x:c>
      <x:c r="G116" s="17" t="n">
        <x:v>1418.9332</x:v>
      </x:c>
      <x:c r="H116" s="17" t="n">
        <x:f>G116*F116</x:f>
        <x:v>2837.8664</x:v>
      </x:c>
      <x:c r="I116" s="26" t="str">
        <x:f>HYPERLINK("https://etp-aktiv.ru/catalog/materialy/stroitelnye-materialy/2000557303-W121/","Открыть позицию")</x:f>
        <x:v>Открыть позицию</x:v>
      </x:c>
    </x:row>
    <x:row r="117" ht="28" customHeight="1">
      <x:c r="A117" s="16" t="str">
        <x:v>Филиал БТСК</x:v>
      </x:c>
      <x:c r="B117" s="16" t="str">
        <x:v>2000557311-W121</x:v>
      </x:c>
      <x:c r="C117" s="16" t="str">
        <x:v>ЛОТОК Л11Д-11 720*1480*700 3.006.1-2.87</x:v>
      </x:c>
      <x:c r="D117" s="16" t="str">
        <x:v>Железобетонные издел</x:v>
      </x:c>
      <x:c r="E117" s="16" t="str">
        <x:v>ШТ</x:v>
      </x:c>
      <x:c r="F117" s="25" t="n">
        <x:v>5</x:v>
      </x:c>
      <x:c r="G117" s="17" t="n">
        <x:v>4318.1656</x:v>
      </x:c>
      <x:c r="H117" s="17" t="n">
        <x:f>G117*F117</x:f>
        <x:v>21590.828</x:v>
      </x:c>
      <x:c r="I117" s="26" t="str">
        <x:f>HYPERLINK("https://etp-aktiv.ru/catalog/materialy/stroitelnye-materialy/2000557311-W121/","Открыть позицию")</x:f>
        <x:v>Открыть позицию</x:v>
      </x:c>
    </x:row>
    <x:row r="118" ht="28" customHeight="1">
      <x:c r="A118" s="16" t="str">
        <x:v>Филиал БТСК</x:v>
      </x:c>
      <x:c r="B118" s="16" t="str">
        <x:v>2000249478-W121</x:v>
      </x:c>
      <x:c r="C118" s="16" t="str">
        <x:v>ЛОТОК Л14-8/2 С.3.006.1-2.87</x:v>
      </x:c>
      <x:c r="D118" s="16" t="str">
        <x:v>Железобетонные издел</x:v>
      </x:c>
      <x:c r="E118" s="16" t="str">
        <x:v>ШТ</x:v>
      </x:c>
      <x:c r="F118" s="25" t="n">
        <x:v>2</x:v>
      </x:c>
      <x:c r="G118" s="17" t="n">
        <x:v>24509.8</x:v>
      </x:c>
      <x:c r="H118" s="17" t="n">
        <x:f>G118*F118</x:f>
        <x:v>49019.6</x:v>
      </x:c>
      <x:c r="I118" s="26" t="str">
        <x:f>HYPERLINK("https://etp-aktiv.ru/catalog/materialy/stroitelnye-materialy/2000249478-W121/","Открыть позицию")</x:f>
        <x:v>Открыть позицию</x:v>
      </x:c>
    </x:row>
    <x:row r="119" ht="28" customHeight="1">
      <x:c r="A119" s="16" t="str">
        <x:v>Филиал БТСК</x:v>
      </x:c>
      <x:c r="B119" s="16" t="str">
        <x:v>2000183928-W121</x:v>
      </x:c>
      <x:c r="C119" s="16" t="str">
        <x:v>ЛОТОК Л14Д-8 С.3.006.1-2/82</x:v>
      </x:c>
      <x:c r="D119" s="16" t="str">
        <x:v>Железобетонные издел</x:v>
      </x:c>
      <x:c r="E119" s="16" t="str">
        <x:v>ШТ</x:v>
      </x:c>
      <x:c r="F119" s="25" t="n">
        <x:v>1</x:v>
      </x:c>
      <x:c r="G119" s="17" t="n">
        <x:v>4910.5</x:v>
      </x:c>
      <x:c r="H119" s="17" t="n">
        <x:f>G119*F119</x:f>
        <x:v>4910.5</x:v>
      </x:c>
      <x:c r="I119" s="26" t="str">
        <x:f>HYPERLINK("https://etp-aktiv.ru/catalog/materialy/stroitelnye-materialy/2000183928-W121/","Открыть позицию")</x:f>
        <x:v>Открыть позицию</x:v>
      </x:c>
    </x:row>
    <x:row r="120" ht="28" customHeight="1">
      <x:c r="A120" s="16" t="str">
        <x:v>Филиал БТСК</x:v>
      </x:c>
      <x:c r="B120" s="16" t="str">
        <x:v>2000566739-W121</x:v>
      </x:c>
      <x:c r="C120" s="16" t="str">
        <x:v>ЛОТОК Л15Д-12 720*1840*720 3.006.1-2.87</x:v>
      </x:c>
      <x:c r="D120" s="16" t="str">
        <x:v>Железобетонные издел</x:v>
      </x:c>
      <x:c r="E120" s="16" t="str">
        <x:v>ШТ</x:v>
      </x:c>
      <x:c r="F120" s="25" t="n">
        <x:v>3</x:v>
      </x:c>
      <x:c r="G120" s="17" t="n">
        <x:v>966.5084</x:v>
      </x:c>
      <x:c r="H120" s="17" t="n">
        <x:f>G120*F120</x:f>
        <x:v>2899.5252</x:v>
      </x:c>
      <x:c r="I120" s="26" t="str">
        <x:f>HYPERLINK("https://etp-aktiv.ru/catalog/materialy/stroitelnye-materialy/2000566739-W121/","Открыть позицию")</x:f>
        <x:v>Открыть позицию</x:v>
      </x:c>
    </x:row>
    <x:row r="121" ht="28" customHeight="1">
      <x:c r="A121" s="16" t="str">
        <x:v>Филиал БТСК</x:v>
      </x:c>
      <x:c r="B121" s="16" t="str">
        <x:v>2000638666-W121</x:v>
      </x:c>
      <x:c r="C121" s="16" t="str">
        <x:v>ЛОТОК Л15Д-15 720*1840*720</x:v>
      </x:c>
      <x:c r="D121" s="16" t="str">
        <x:v>Железобетонные издел</x:v>
      </x:c>
      <x:c r="E121" s="16" t="str">
        <x:v>ШТ</x:v>
      </x:c>
      <x:c r="F121" s="25" t="n">
        <x:v>5</x:v>
      </x:c>
      <x:c r="G121" s="17" t="n">
        <x:v>9272</x:v>
      </x:c>
      <x:c r="H121" s="17" t="n">
        <x:f>G121*F121</x:f>
        <x:v>46360</x:v>
      </x:c>
      <x:c r="I121" s="26" t="str">
        <x:f>HYPERLINK("https://etp-aktiv.ru/catalog/materialy/stroitelnye-materialy/2000638666-W121/","Открыть позицию")</x:f>
        <x:v>Открыть позицию</x:v>
      </x:c>
    </x:row>
    <x:row r="122" ht="28" customHeight="1">
      <x:c r="A122" s="16" t="str">
        <x:v>Филиал БТСК</x:v>
      </x:c>
      <x:c r="B122" s="16" t="str">
        <x:v>2000630255-W121</x:v>
      </x:c>
      <x:c r="C122" s="16" t="str">
        <x:v>ЛОТОК Л15Д-8 720*1840*720</x:v>
      </x:c>
      <x:c r="D122" s="16" t="str">
        <x:v>Железобетонные издел</x:v>
      </x:c>
      <x:c r="E122" s="16" t="str">
        <x:v>ШТ</x:v>
      </x:c>
      <x:c r="F122" s="25" t="n">
        <x:v>4</x:v>
      </x:c>
      <x:c r="G122" s="17" t="n">
        <x:v>4937.95</x:v>
      </x:c>
      <x:c r="H122" s="17" t="n">
        <x:f>G122*F122</x:f>
        <x:v>19751.8</x:v>
      </x:c>
      <x:c r="I122" s="26" t="str">
        <x:f>HYPERLINK("https://etp-aktiv.ru/catalog/materialy/stroitelnye-materialy/2000630255-W121/","Открыть позицию")</x:f>
        <x:v>Открыть позицию</x:v>
      </x:c>
    </x:row>
    <x:row r="123" ht="28" customHeight="1">
      <x:c r="A123" s="16" t="str">
        <x:v>Филиал БТСК</x:v>
      </x:c>
      <x:c r="B123" s="16" t="str">
        <x:v>2000557294-W121</x:v>
      </x:c>
      <x:c r="C123" s="16" t="str">
        <x:v>ЛОТОК Л16Д-11 С.3.006.1-2.87.1-32</x:v>
      </x:c>
      <x:c r="D123" s="16" t="str">
        <x:v>Железобетонные издел</x:v>
      </x:c>
      <x:c r="E123" s="16" t="str">
        <x:v>ШТ</x:v>
      </x:c>
      <x:c r="F123" s="25" t="n">
        <x:v>7</x:v>
      </x:c>
      <x:c r="G123" s="17" t="n">
        <x:v>11018.125</x:v>
      </x:c>
      <x:c r="H123" s="17" t="n">
        <x:f>G123*F123</x:f>
        <x:v>77126.875</x:v>
      </x:c>
      <x:c r="I123" s="26" t="str">
        <x:f>HYPERLINK("https://etp-aktiv.ru/catalog/materialy/stroitelnye-materialy/2000557294-W121/","Открыть позицию")</x:f>
        <x:v>Открыть позицию</x:v>
      </x:c>
    </x:row>
    <x:row r="124" ht="28" customHeight="1">
      <x:c r="A124" s="16" t="str">
        <x:v>Филиал БТСК</x:v>
      </x:c>
      <x:c r="B124" s="16" t="str">
        <x:v>2000557315-W121</x:v>
      </x:c>
      <x:c r="C124" s="16" t="str">
        <x:v>ЛОТОК Л16Д-15 С.3.006.1-2.87 В.1</x:v>
      </x:c>
      <x:c r="D124" s="16" t="str">
        <x:v>Железобетонные издел</x:v>
      </x:c>
      <x:c r="E124" s="16" t="str">
        <x:v>ШТ</x:v>
      </x:c>
      <x:c r="F124" s="25" t="n">
        <x:v>4</x:v>
      </x:c>
      <x:c r="G124" s="17" t="n">
        <x:v>11102</x:v>
      </x:c>
      <x:c r="H124" s="17" t="n">
        <x:f>G124*F124</x:f>
        <x:v>44408</x:v>
      </x:c>
      <x:c r="I124" s="26" t="str">
        <x:f>HYPERLINK("https://etp-aktiv.ru/catalog/materialy/stroitelnye-materialy/2000557315-W121/","Открыть позицию")</x:f>
        <x:v>Открыть позицию</x:v>
      </x:c>
    </x:row>
    <x:row r="125" ht="28" customHeight="1">
      <x:c r="A125" s="16" t="str">
        <x:v>Филиал БТСК</x:v>
      </x:c>
      <x:c r="B125" s="16" t="str">
        <x:v>2000622797-W121</x:v>
      </x:c>
      <x:c r="C125" s="16" t="str">
        <x:v>ЛОТОК Л16Д-8 720*1840*1030</x:v>
      </x:c>
      <x:c r="D125" s="16" t="str">
        <x:v>Железобетонные издел</x:v>
      </x:c>
      <x:c r="E125" s="16" t="str">
        <x:v>ШТ</x:v>
      </x:c>
      <x:c r="F125" s="25" t="n">
        <x:v>2</x:v>
      </x:c>
      <x:c r="G125" s="17" t="n">
        <x:v>11346</x:v>
      </x:c>
      <x:c r="H125" s="17" t="n">
        <x:f>G125*F125</x:f>
        <x:v>22692</x:v>
      </x:c>
      <x:c r="I125" s="26" t="str">
        <x:f>HYPERLINK("https://etp-aktiv.ru/catalog/materialy/stroitelnye-materialy/2000622797-W121/","Открыть позицию")</x:f>
        <x:v>Открыть позицию</x:v>
      </x:c>
    </x:row>
    <x:row r="126" ht="28" customHeight="1">
      <x:c r="A126" s="16" t="str">
        <x:v>Филиал БТСК</x:v>
      </x:c>
      <x:c r="B126" s="16" t="str">
        <x:v>2000557295-W121</x:v>
      </x:c>
      <x:c r="C126" s="16" t="str">
        <x:v>ЛОТОК Л20Д-12 С.3.006.1-2.87.1-40</x:v>
      </x:c>
      <x:c r="D126" s="16" t="str">
        <x:v>Железобетонные издел</x:v>
      </x:c>
      <x:c r="E126" s="16" t="str">
        <x:v>ШТ</x:v>
      </x:c>
      <x:c r="F126" s="25" t="n">
        <x:v>2</x:v>
      </x:c>
      <x:c r="G126" s="17" t="n">
        <x:v>6835.05</x:v>
      </x:c>
      <x:c r="H126" s="17" t="n">
        <x:f>G126*F126</x:f>
        <x:v>13670.1</x:v>
      </x:c>
      <x:c r="I126" s="26" t="str">
        <x:f>HYPERLINK("https://etp-aktiv.ru/catalog/materialy/stroitelnye-materialy/2000557295-W121/","Открыть позицию")</x:f>
        <x:v>Открыть позицию</x:v>
      </x:c>
    </x:row>
    <x:row r="127" ht="28" customHeight="1">
      <x:c r="A127" s="16" t="str">
        <x:v>Филиал БТСК</x:v>
      </x:c>
      <x:c r="B127" s="16" t="str">
        <x:v>2000566741-W121</x:v>
      </x:c>
      <x:c r="C127" s="16" t="str">
        <x:v>ЛОТОК Л23Д-12 720*2460*740 3.006.1-2.87</x:v>
      </x:c>
      <x:c r="D127" s="16" t="str">
        <x:v>Железобетонные издел</x:v>
      </x:c>
      <x:c r="E127" s="16" t="str">
        <x:v>ШТ</x:v>
      </x:c>
      <x:c r="F127" s="25" t="n">
        <x:v>3</x:v>
      </x:c>
      <x:c r="G127" s="17" t="n">
        <x:v>1509.2986</x:v>
      </x:c>
      <x:c r="H127" s="17" t="n">
        <x:f>G127*F127</x:f>
        <x:v>4527.8958</x:v>
      </x:c>
      <x:c r="I127" s="26" t="str">
        <x:f>HYPERLINK("https://etp-aktiv.ru/catalog/materialy/stroitelnye-materialy/2000566741-W121/","Открыть позицию")</x:f>
        <x:v>Открыть позицию</x:v>
      </x:c>
    </x:row>
    <x:row r="128" ht="28" customHeight="1">
      <x:c r="A128" s="16" t="str">
        <x:v>Филиал БТСК</x:v>
      </x:c>
      <x:c r="B128" s="16" t="str">
        <x:v>2000557317-W121</x:v>
      </x:c>
      <x:c r="C128" s="16" t="str">
        <x:v>ЛОТОК Л23Д-8 720*2460*740 3.006.1-2.87.1</x:v>
      </x:c>
      <x:c r="D128" s="16" t="str">
        <x:v>Железобетонные издел</x:v>
      </x:c>
      <x:c r="E128" s="16" t="str">
        <x:v>ШТ</x:v>
      </x:c>
      <x:c r="F128" s="25" t="n">
        <x:v>5</x:v>
      </x:c>
      <x:c r="G128" s="17" t="n">
        <x:v>1780.6022</x:v>
      </x:c>
      <x:c r="H128" s="17" t="n">
        <x:f>G128*F128</x:f>
        <x:v>8903.011</x:v>
      </x:c>
      <x:c r="I128" s="26" t="str">
        <x:f>HYPERLINK("https://etp-aktiv.ru/catalog/materialy/stroitelnye-materialy/2000557317-W121/","Открыть позицию")</x:f>
        <x:v>Открыть позицию</x:v>
      </x:c>
    </x:row>
    <x:row r="129" ht="28" customHeight="1">
      <x:c r="A129" s="16" t="str">
        <x:v>Филиал БТСК</x:v>
      </x:c>
      <x:c r="B129" s="16" t="str">
        <x:v>2000904179-W121</x:v>
      </x:c>
      <x:c r="C129" s="16" t="str">
        <x:v>ЛОТОК Л28-12/2 1485*2780*1060</x:v>
      </x:c>
      <x:c r="D129" s="16" t="str">
        <x:v>Железобетонные издел</x:v>
      </x:c>
      <x:c r="E129" s="16" t="str">
        <x:v>ШТ</x:v>
      </x:c>
      <x:c r="F129" s="25" t="n">
        <x:v>1</x:v>
      </x:c>
      <x:c r="G129" s="17" t="n">
        <x:v>70546.5</x:v>
      </x:c>
      <x:c r="H129" s="17" t="n">
        <x:f>G129*F129</x:f>
        <x:v>70546.5</x:v>
      </x:c>
      <x:c r="I129" s="26" t="str">
        <x:f>HYPERLINK("https://etp-aktiv.ru/catalog/materialy/stroitelnye-materialy/2000904179-W121/","Открыть позицию")</x:f>
        <x:v>Открыть позицию</x:v>
      </x:c>
    </x:row>
    <x:row r="130" ht="28" customHeight="1">
      <x:c r="A130" s="16" t="str">
        <x:v>Филиал БТСК</x:v>
      </x:c>
      <x:c r="B130" s="16" t="str">
        <x:v>2000557326-W121</x:v>
      </x:c>
      <x:c r="C130" s="16" t="str">
        <x:v>ЛОТОК Л7-11/2 С.3.006.1-2.87 В.1</x:v>
      </x:c>
      <x:c r="D130" s="16" t="str">
        <x:v>Железобетонные издел</x:v>
      </x:c>
      <x:c r="E130" s="16" t="str">
        <x:v>ШТ</x:v>
      </x:c>
      <x:c r="F130" s="25" t="n">
        <x:v>1</x:v>
      </x:c>
      <x:c r="G130" s="17" t="n">
        <x:v>3470.0948000000003</x:v>
      </x:c>
      <x:c r="H130" s="17" t="n">
        <x:f>G130*F130</x:f>
        <x:v>3470.0948000000003</x:v>
      </x:c>
      <x:c r="I130" s="26" t="str">
        <x:f>HYPERLINK("https://etp-aktiv.ru/catalog/materialy/stroitelnye-materialy/2000557326-W121/","Открыть позицию")</x:f>
        <x:v>Открыть позицию</x:v>
      </x:c>
    </x:row>
    <x:row r="131" ht="28" customHeight="1">
      <x:c r="A131" s="16" t="str">
        <x:v>Филиал БТСК</x:v>
      </x:c>
      <x:c r="B131" s="16" t="str">
        <x:v>2000566754-W121</x:v>
      </x:c>
      <x:c r="C131" s="16" t="str">
        <x:v>ЛОТОК ЛК75.240.120-3 С.3.006.1-8 В.1-1</x:v>
      </x:c>
      <x:c r="D131" s="16" t="str">
        <x:v>Железобетонные издел</x:v>
      </x:c>
      <x:c r="E131" s="16" t="str">
        <x:v>ШТ</x:v>
      </x:c>
      <x:c r="F131" s="25" t="n">
        <x:v>20</x:v>
      </x:c>
      <x:c r="G131" s="17" t="n">
        <x:v>1632.0916</x:v>
      </x:c>
      <x:c r="H131" s="17" t="n">
        <x:f>G131*F131</x:f>
        <x:v>32641.832</x:v>
      </x:c>
      <x:c r="I131" s="26" t="str">
        <x:f>HYPERLINK("https://etp-aktiv.ru/catalog/materialy/stroitelnye-materialy/2000566754-W121/","Открыть позицию")</x:f>
        <x:v>Открыть позицию</x:v>
      </x:c>
    </x:row>
    <x:row r="132" ht="28" customHeight="1">
      <x:c r="A132" s="16" t="str">
        <x:v>Филиал БТСК</x:v>
      </x:c>
      <x:c r="B132" s="16" t="str">
        <x:v>2000652085-W121</x:v>
      </x:c>
      <x:c r="C132" s="16" t="str">
        <x:v>ПЕРЕМЫЧКА 10ПБ 18-27 П С.1.038.1-1 В.4</x:v>
      </x:c>
      <x:c r="D132" s="16" t="str">
        <x:v>Железобетонные издел</x:v>
      </x:c>
      <x:c r="E132" s="16" t="str">
        <x:v>ШТ</x:v>
      </x:c>
      <x:c r="F132" s="25" t="n">
        <x:v>7</x:v>
      </x:c>
      <x:c r="G132" s="17" t="n">
        <x:v>2999.1625999999997</x:v>
      </x:c>
      <x:c r="H132" s="17" t="n">
        <x:f>G132*F132</x:f>
        <x:v>20994.138199999998</x:v>
      </x:c>
      <x:c r="I132" s="26" t="str">
        <x:f>HYPERLINK("https://etp-aktiv.ru/catalog/materialy/stroitelnye-materialy/2000652085-W121/","Открыть позицию")</x:f>
        <x:v>Открыть позицию</x:v>
      </x:c>
    </x:row>
    <x:row r="133" ht="28" customHeight="1">
      <x:c r="A133" s="16" t="str">
        <x:v>Филиал БТСК</x:v>
      </x:c>
      <x:c r="B133" s="16" t="str">
        <x:v>2000636093-W121</x:v>
      </x:c>
      <x:c r="C133" s="16" t="str">
        <x:v>ПЕРЕМЫЧКА 10ПБ 21-27 С.1.038.1-1 В.4</x:v>
      </x:c>
      <x:c r="D133" s="16" t="str">
        <x:v>Железобетонные издел</x:v>
      </x:c>
      <x:c r="E133" s="16" t="str">
        <x:v>ШТ</x:v>
      </x:c>
      <x:c r="F133" s="25" t="n">
        <x:v>1</x:v>
      </x:c>
      <x:c r="G133" s="17" t="n">
        <x:v>2747.745</x:v>
      </x:c>
      <x:c r="H133" s="17" t="n">
        <x:f>G133*F133</x:f>
        <x:v>2747.745</x:v>
      </x:c>
      <x:c r="I133" s="26" t="str">
        <x:f>HYPERLINK("https://etp-aktiv.ru/catalog/materialy/stroitelnye-materialy/2000636093-W121/","Открыть позицию")</x:f>
        <x:v>Открыть позицию</x:v>
      </x:c>
    </x:row>
    <x:row r="134" ht="28" customHeight="1">
      <x:c r="A134" s="16" t="str">
        <x:v>Филиал БТСК</x:v>
      </x:c>
      <x:c r="B134" s="16" t="str">
        <x:v>2000227167-W121</x:v>
      </x:c>
      <x:c r="C134" s="16" t="str">
        <x:v>ПЕРЕМЫЧКА 10ПБ 21-27-П С.1.038.1-1В.4</x:v>
      </x:c>
      <x:c r="D134" s="16" t="str">
        <x:v>Железобетонные издел</x:v>
      </x:c>
      <x:c r="E134" s="16" t="str">
        <x:v>ШТ</x:v>
      </x:c>
      <x:c r="F134" s="25" t="n">
        <x:v>4</x:v>
      </x:c>
      <x:c r="G134" s="17" t="n">
        <x:v>2820.0299999999997</x:v>
      </x:c>
      <x:c r="H134" s="17" t="n">
        <x:f>G134*F134</x:f>
        <x:v>11280.119999999999</x:v>
      </x:c>
      <x:c r="I134" s="26" t="str">
        <x:f>HYPERLINK("https://etp-aktiv.ru/catalog/materialy/stroitelnye-materialy/2000227167-W121/","Открыть позицию")</x:f>
        <x:v>Открыть позицию</x:v>
      </x:c>
    </x:row>
    <x:row r="135" ht="28" customHeight="1">
      <x:c r="A135" s="16" t="str">
        <x:v>Филиал БТСК</x:v>
      </x:c>
      <x:c r="B135" s="16" t="str">
        <x:v>2000557054-W121</x:v>
      </x:c>
      <x:c r="C135" s="16" t="str">
        <x:v>ПЕРЕМЫЧКА 2ПБ 13-1 С.1.038.1-1 В.1</x:v>
      </x:c>
      <x:c r="D135" s="16" t="str">
        <x:v>Железобетонные издел</x:v>
      </x:c>
      <x:c r="E135" s="16" t="str">
        <x:v>ШТ</x:v>
      </x:c>
      <x:c r="F135" s="25" t="n">
        <x:v>4</x:v>
      </x:c>
      <x:c r="G135" s="17" t="n">
        <x:v>265.9722</x:v>
      </x:c>
      <x:c r="H135" s="17" t="n">
        <x:f>G135*F135</x:f>
        <x:v>1063.8888</x:v>
      </x:c>
      <x:c r="I135" s="26" t="str">
        <x:f>HYPERLINK("https://etp-aktiv.ru/catalog/materialy/stroitelnye-materialy/2000557054-W121/","Открыть позицию")</x:f>
        <x:v>Открыть позицию</x:v>
      </x:c>
    </x:row>
    <x:row r="136" ht="28" customHeight="1">
      <x:c r="A136" s="16" t="str">
        <x:v>Филиал БТСК</x:v>
      </x:c>
      <x:c r="B136" s="16" t="str">
        <x:v>2000557055-W121</x:v>
      </x:c>
      <x:c r="C136" s="16" t="str">
        <x:v>ПЕРЕМЫЧКА 2ПБ 16-2 С.1.038.1-1 В.1</x:v>
      </x:c>
      <x:c r="D136" s="16" t="str">
        <x:v>Железобетонные издел</x:v>
      </x:c>
      <x:c r="E136" s="16" t="str">
        <x:v>ШТ</x:v>
      </x:c>
      <x:c r="F136" s="25" t="n">
        <x:v>1</x:v>
      </x:c>
      <x:c r="G136" s="17" t="n">
        <x:v>353.6536</x:v>
      </x:c>
      <x:c r="H136" s="17" t="n">
        <x:f>G136*F136</x:f>
        <x:v>353.6536</x:v>
      </x:c>
      <x:c r="I136" s="26" t="str">
        <x:f>HYPERLINK("https://etp-aktiv.ru/catalog/materialy/stroitelnye-materialy/2000557055-W121/","Открыть позицию")</x:f>
        <x:v>Открыть позицию</x:v>
      </x:c>
    </x:row>
    <x:row r="137" ht="28" customHeight="1">
      <x:c r="A137" s="16" t="str">
        <x:v>Филиал БТСК</x:v>
      </x:c>
      <x:c r="B137" s="16" t="str">
        <x:v>2000251091-W121</x:v>
      </x:c>
      <x:c r="C137" s="16" t="str">
        <x:v>ПЕРЕМЫЧКА 3ПБ 27-8П</x:v>
      </x:c>
      <x:c r="D137" s="16" t="str">
        <x:v>Железобетонные издел</x:v>
      </x:c>
      <x:c r="E137" s="16" t="str">
        <x:v>ШТ</x:v>
      </x:c>
      <x:c r="F137" s="25" t="n">
        <x:v>3</x:v>
      </x:c>
      <x:c r="G137" s="17" t="n">
        <x:v>224.5044</x:v>
      </x:c>
      <x:c r="H137" s="17" t="n">
        <x:f>G137*F137</x:f>
        <x:v>673.5132</x:v>
      </x:c>
      <x:c r="I137" s="26" t="str">
        <x:f>HYPERLINK("https://etp-aktiv.ru/catalog/materialy/stroitelnye-materialy/2000251091-W121/","Открыть позицию")</x:f>
        <x:v>Открыть позицию</x:v>
      </x:c>
    </x:row>
    <x:row r="138" ht="28" customHeight="1">
      <x:c r="A138" s="16" t="str">
        <x:v>Филиал БТСК</x:v>
      </x:c>
      <x:c r="B138" s="16" t="str">
        <x:v>2000566710-W121</x:v>
      </x:c>
      <x:c r="C138" s="16" t="str">
        <x:v>ПЕРЕМЫЧКА 5ПБ27-27 С.1.038.1-1 В.1</x:v>
      </x:c>
      <x:c r="D138" s="16" t="str">
        <x:v>Железобетонные издел</x:v>
      </x:c>
      <x:c r="E138" s="16" t="str">
        <x:v>ШТ</x:v>
      </x:c>
      <x:c r="F138" s="25" t="n">
        <x:v>1</x:v>
      </x:c>
      <x:c r="G138" s="17" t="n">
        <x:v>472.1888</x:v>
      </x:c>
      <x:c r="H138" s="17" t="n">
        <x:f>G138*F138</x:f>
        <x:v>472.1888</x:v>
      </x:c>
      <x:c r="I138" s="26" t="str">
        <x:f>HYPERLINK("https://etp-aktiv.ru/catalog/materialy/stroitelnye-materialy/2000566710-W121/","Открыть позицию")</x:f>
        <x:v>Открыть позицию</x:v>
      </x:c>
    </x:row>
    <x:row r="139" ht="28" customHeight="1">
      <x:c r="A139" s="16" t="str">
        <x:v>Филиал БТСК</x:v>
      </x:c>
      <x:c r="B139" s="16" t="str">
        <x:v>2000638036-W121</x:v>
      </x:c>
      <x:c r="C139" s="16" t="str">
        <x:v>ПЕРЕМЫЧКА 8ПБ17-2 1680*120*90</x:v>
      </x:c>
      <x:c r="D139" s="16" t="str">
        <x:v>Железобетонные издел</x:v>
      </x:c>
      <x:c r="E139" s="16" t="str">
        <x:v>ШТ</x:v>
      </x:c>
      <x:c r="F139" s="25" t="n">
        <x:v>2</x:v>
      </x:c>
      <x:c r="G139" s="17" t="n">
        <x:v>281.82</x:v>
      </x:c>
      <x:c r="H139" s="17" t="n">
        <x:f>G139*F139</x:f>
        <x:v>563.64</x:v>
      </x:c>
      <x:c r="I139" s="26" t="str">
        <x:f>HYPERLINK("https://etp-aktiv.ru/catalog/materialy/stroitelnye-materialy/2000638036-W121/","Открыть позицию")</x:f>
        <x:v>Открыть позицию</x:v>
      </x:c>
    </x:row>
    <x:row r="140" ht="28" customHeight="1">
      <x:c r="A140" s="16" t="str">
        <x:v>Филиал БТСК</x:v>
      </x:c>
      <x:c r="B140" s="16" t="str">
        <x:v>2000557079-W121</x:v>
      </x:c>
      <x:c r="C140" s="16" t="str">
        <x:v>ПЕРЕМЫЧКА 9ПБ 21-8 С.1.038.1-1 В.1</x:v>
      </x:c>
      <x:c r="D140" s="16" t="str">
        <x:v>Железобетонные издел</x:v>
      </x:c>
      <x:c r="E140" s="16" t="str">
        <x:v>ШТ</x:v>
      </x:c>
      <x:c r="F140" s="25" t="n">
        <x:v>1</x:v>
      </x:c>
      <x:c r="G140" s="17" t="n">
        <x:v>875.655</x:v>
      </x:c>
      <x:c r="H140" s="17" t="n">
        <x:f>G140*F140</x:f>
        <x:v>875.655</x:v>
      </x:c>
      <x:c r="I140" s="26" t="str">
        <x:f>HYPERLINK("https://etp-aktiv.ru/catalog/materialy/stroitelnye-materialy/2000557079-W121/","Открыть позицию")</x:f>
        <x:v>Открыть позицию</x:v>
      </x:c>
    </x:row>
    <x:row r="141" ht="28" customHeight="1">
      <x:c r="A141" s="16" t="str">
        <x:v>Филиал БТСК</x:v>
      </x:c>
      <x:c r="B141" s="16" t="str">
        <x:v>2000629102-W121</x:v>
      </x:c>
      <x:c r="C141" s="16" t="str">
        <x:v>ПЕРЕМЫЧКА БРУСКОВАЯ 10ПБ27-37-П</x:v>
      </x:c>
      <x:c r="D141" s="16" t="str">
        <x:v>Железобетонные издел</x:v>
      </x:c>
      <x:c r="E141" s="16" t="str">
        <x:v>ШТ</x:v>
      </x:c>
      <x:c r="F141" s="25" t="n">
        <x:v>2</x:v>
      </x:c>
      <x:c r="G141" s="17" t="n">
        <x:v>6084.75</x:v>
      </x:c>
      <x:c r="H141" s="17" t="n">
        <x:f>G141*F141</x:f>
        <x:v>12169.5</x:v>
      </x:c>
      <x:c r="I141" s="26" t="str">
        <x:f>HYPERLINK("https://etp-aktiv.ru/catalog/materialy/stroitelnye-materialy/2000629102-W121/","Открыть позицию")</x:f>
        <x:v>Открыть позицию</x:v>
      </x:c>
    </x:row>
    <x:row r="142" ht="28" customHeight="1">
      <x:c r="A142" s="16" t="str">
        <x:v>Филиал БТСК</x:v>
      </x:c>
      <x:c r="B142" s="16" t="str">
        <x:v>2000623778-W121</x:v>
      </x:c>
      <x:c r="C142" s="16" t="str">
        <x:v>ПЕРЕМЫЧКА ЗПБ-13-37-П С.1.038-1-1</x:v>
      </x:c>
      <x:c r="D142" s="16" t="str">
        <x:v>Железобетонные издел</x:v>
      </x:c>
      <x:c r="E142" s="16" t="str">
        <x:v>ШТ</x:v>
      </x:c>
      <x:c r="F142" s="25" t="n">
        <x:v>2</x:v>
      </x:c>
      <x:c r="G142" s="17" t="n">
        <x:v>663.0944</x:v>
      </x:c>
      <x:c r="H142" s="17" t="n">
        <x:f>G142*F142</x:f>
        <x:v>1326.1888</x:v>
      </x:c>
      <x:c r="I142" s="26" t="str">
        <x:f>HYPERLINK("https://etp-aktiv.ru/catalog/materialy/stroitelnye-materialy/2000623778-W121/","Открыть позицию")</x:f>
        <x:v>Открыть позицию</x:v>
      </x:c>
    </x:row>
    <x:row r="143" ht="28" customHeight="1">
      <x:c r="A143" s="16" t="str">
        <x:v>Филиал БТСК</x:v>
      </x:c>
      <x:c r="B143" s="16" t="str">
        <x:v>2000527040-W121</x:v>
      </x:c>
      <x:c r="C143" s="16" t="str">
        <x:v>ПИКА НАСАДКА П-11-600</x:v>
      </x:c>
      <x:c r="D143" s="16" t="str">
        <x:v>ЗЧ строит-отдел обор</x:v>
      </x:c>
      <x:c r="E143" s="16" t="str">
        <x:v>ШТ</x:v>
      </x:c>
      <x:c r="F143" s="25" t="n">
        <x:v>1</x:v>
      </x:c>
      <x:c r="G143" s="17" t="n">
        <x:v>81.6546</x:v>
      </x:c>
      <x:c r="H143" s="17" t="n">
        <x:f>G143*F143</x:f>
        <x:v>81.6546</x:v>
      </x:c>
      <x:c r="I143" s="26" t="str">
        <x:f>HYPERLINK("https://etp-aktiv.ru/catalog/materialy/prochie-materialy/2000527040-W121/","Открыть позицию")</x:f>
        <x:v>Открыть позицию</x:v>
      </x:c>
    </x:row>
    <x:row r="144" ht="28" customHeight="1">
      <x:c r="A144" s="16" t="str">
        <x:v>Филиал БТСК</x:v>
      </x:c>
      <x:c r="B144" s="16" t="str">
        <x:v>2000698460-W121</x:v>
      </x:c>
      <x:c r="C144" s="16" t="str">
        <x:v>ПЛИТА ВП-40-12 4040*1200*320 РК 2303-86</x:v>
      </x:c>
      <x:c r="D144" s="16" t="str">
        <x:v>Железобетонные издел</x:v>
      </x:c>
      <x:c r="E144" s="16" t="str">
        <x:v>ШТ</x:v>
      </x:c>
      <x:c r="F144" s="25" t="n">
        <x:v>14</x:v>
      </x:c>
      <x:c r="G144" s="17" t="n">
        <x:v>58244.7642</x:v>
      </x:c>
      <x:c r="H144" s="17" t="n">
        <x:f>G144*F144</x:f>
        <x:v>815426.6988</x:v>
      </x:c>
      <x:c r="I144" s="26" t="str">
        <x:f>HYPERLINK("https://etp-aktiv.ru/catalog/materialy/stroitelnye-materialy/2000698460-W121/","Открыть позицию")</x:f>
        <x:v>Открыть позицию</x:v>
      </x:c>
    </x:row>
    <x:row r="145" ht="28" customHeight="1">
      <x:c r="A145" s="16" t="str">
        <x:v>Филиал БТСК</x:v>
      </x:c>
      <x:c r="B145" s="16" t="str">
        <x:v>2000584112-W121</x:v>
      </x:c>
      <x:c r="C145" s="16" t="str">
        <x:v>ПЛИТА ДНИЩА КЦД-10 1500*100 С.3.900-3 В7</x:v>
      </x:c>
      <x:c r="D145" s="16" t="str">
        <x:v>Железобетонные издел</x:v>
      </x:c>
      <x:c r="E145" s="16" t="str">
        <x:v>ШТ</x:v>
      </x:c>
      <x:c r="F145" s="25" t="n">
        <x:v>1</x:v>
      </x:c>
      <x:c r="G145" s="17" t="n">
        <x:v>2733.9468</x:v>
      </x:c>
      <x:c r="H145" s="17" t="n">
        <x:f>G145*F145</x:f>
        <x:v>2733.9468</x:v>
      </x:c>
      <x:c r="I145" s="26" t="str">
        <x:f>HYPERLINK("https://etp-aktiv.ru/catalog/materialy/stroitelnye-materialy/2000584112-W121/","Открыть позицию")</x:f>
        <x:v>Открыть позицию</x:v>
      </x:c>
    </x:row>
    <x:row r="146" ht="28" customHeight="1">
      <x:c r="A146" s="16" t="str">
        <x:v>Филиал БТСК</x:v>
      </x:c>
      <x:c r="B146" s="16" t="str">
        <x:v>2000566760-W121</x:v>
      </x:c>
      <x:c r="C146" s="16" t="str">
        <x:v>ПЛИТА ДНИЩА КЦД20 2500*120 С.3.900-3 В.7</x:v>
      </x:c>
      <x:c r="D146" s="16" t="str">
        <x:v>Железобетонные издел</x:v>
      </x:c>
      <x:c r="E146" s="16" t="str">
        <x:v>ШТ</x:v>
      </x:c>
      <x:c r="F146" s="25" t="n">
        <x:v>3</x:v>
      </x:c>
      <x:c r="G146" s="17" t="n">
        <x:v>11516.8</x:v>
      </x:c>
      <x:c r="H146" s="17" t="n">
        <x:f>G146*F146</x:f>
        <x:v>34550.399999999994</x:v>
      </x:c>
      <x:c r="I146" s="26" t="str">
        <x:f>HYPERLINK("https://etp-aktiv.ru/catalog/materialy/stroitelnye-materialy/2000566760-W121/","Открыть позицию")</x:f>
        <x:v>Открыть позицию</x:v>
      </x:c>
    </x:row>
    <x:row r="147" ht="28" customHeight="1">
      <x:c r="A147" s="16" t="str">
        <x:v>Филиал БТСК</x:v>
      </x:c>
      <x:c r="B147" s="16" t="str">
        <x:v>2000625143-W121</x:v>
      </x:c>
      <x:c r="C147" s="16" t="str">
        <x:v>ПЛИТА П22-12/2 1490*2460*250ММ</x:v>
      </x:c>
      <x:c r="D147" s="16" t="str">
        <x:v>Железобетонные издел</x:v>
      </x:c>
      <x:c r="E147" s="16" t="str">
        <x:v>ШТ</x:v>
      </x:c>
      <x:c r="F147" s="25" t="n">
        <x:v>1</x:v>
      </x:c>
      <x:c r="G147" s="17" t="n">
        <x:v>19048.592</x:v>
      </x:c>
      <x:c r="H147" s="17" t="n">
        <x:f>G147*F147</x:f>
        <x:v>19048.592</x:v>
      </x:c>
      <x:c r="I147" s="26" t="str">
        <x:f>HYPERLINK("https://etp-aktiv.ru/catalog/materialy/stroitelnye-materialy/2000625143-W121/","Открыть позицию")</x:f>
        <x:v>Открыть позицию</x:v>
      </x:c>
    </x:row>
    <x:row r="148" ht="28" customHeight="1">
      <x:c r="A148" s="16" t="str">
        <x:v>Филиал БТСК</x:v>
      </x:c>
      <x:c r="B148" s="16" t="str">
        <x:v>2000557132-W121</x:v>
      </x:c>
      <x:c r="C148" s="16" t="str">
        <x:v>ПЛИТА П25-15 С.3.006.1-2.87</x:v>
      </x:c>
      <x:c r="D148" s="16" t="str">
        <x:v>Железобетонные издел</x:v>
      </x:c>
      <x:c r="E148" s="16" t="str">
        <x:v>ШТ</x:v>
      </x:c>
      <x:c r="F148" s="25" t="n">
        <x:v>1</x:v>
      </x:c>
      <x:c r="G148" s="17" t="n">
        <x:v>26392.040399999998</x:v>
      </x:c>
      <x:c r="H148" s="17" t="n">
        <x:f>G148*F148</x:f>
        <x:v>26392.040399999998</x:v>
      </x:c>
      <x:c r="I148" s="26" t="str">
        <x:f>HYPERLINK("https://etp-aktiv.ru/catalog/materialy/stroitelnye-materialy/2000557132-W121/","Открыть позицию")</x:f>
        <x:v>Открыть позицию</x:v>
      </x:c>
    </x:row>
    <x:row r="149" ht="28" customHeight="1">
      <x:c r="A149" s="16" t="str">
        <x:v>Филиал БТСК</x:v>
      </x:c>
      <x:c r="B149" s="16" t="str">
        <x:v>2000228090-W121</x:v>
      </x:c>
      <x:c r="C149" s="16" t="str">
        <x:v>ПЛИТА П5Д-8 С.3.006.1-2.87</x:v>
      </x:c>
      <x:c r="D149" s="16" t="str">
        <x:v>Железобетонные издел</x:v>
      </x:c>
      <x:c r="E149" s="16" t="str">
        <x:v>ШТ</x:v>
      </x:c>
      <x:c r="F149" s="25" t="n">
        <x:v>2</x:v>
      </x:c>
      <x:c r="G149" s="17" t="n">
        <x:v>1162.05</x:v>
      </x:c>
      <x:c r="H149" s="17" t="n">
        <x:f>G149*F149</x:f>
        <x:v>2324.1</x:v>
      </x:c>
      <x:c r="I149" s="26" t="str">
        <x:f>HYPERLINK("https://etp-aktiv.ru/catalog/materialy/stroitelnye-materialy/2000228090-W121/","Открыть позицию")</x:f>
        <x:v>Открыть позицию</x:v>
      </x:c>
    </x:row>
    <x:row r="150" ht="28" customHeight="1">
      <x:c r="A150" s="16" t="str">
        <x:v>Филиал БТСК</x:v>
      </x:c>
      <x:c r="B150" s="16" t="str">
        <x:v>2000320981-W121</x:v>
      </x:c>
      <x:c r="C150" s="16" t="str">
        <x:v>ПЛИТА ПН-10 С.3.900.1-14 В.1</x:v>
      </x:c>
      <x:c r="D150" s="16" t="str">
        <x:v>Железобетонные издел</x:v>
      </x:c>
      <x:c r="E150" s="16" t="str">
        <x:v>ШТ</x:v>
      </x:c>
      <x:c r="F150" s="25" t="n">
        <x:v>5</x:v>
      </x:c>
      <x:c r="G150" s="17" t="n">
        <x:v>510.4968</x:v>
      </x:c>
      <x:c r="H150" s="17" t="n">
        <x:f>G150*F150</x:f>
        <x:v>2552.484</x:v>
      </x:c>
      <x:c r="I150" s="26" t="str">
        <x:f>HYPERLINK("https://etp-aktiv.ru/catalog/materialy/stroitelnye-materialy/2000320981-W121/","Открыть позицию")</x:f>
        <x:v>Открыть позицию</x:v>
      </x:c>
    </x:row>
    <x:row r="151" ht="28" customHeight="1">
      <x:c r="A151" s="16" t="str">
        <x:v>Филиал БТСК</x:v>
      </x:c>
      <x:c r="B151" s="16" t="str">
        <x:v>2000896514-W121</x:v>
      </x:c>
      <x:c r="C151" s="16" t="str">
        <x:v>ПЛИТА ПП5 С.3.006.1-2.87 В.2</x:v>
      </x:c>
      <x:c r="D151" s="16" t="str">
        <x:v>Железобетонные издел</x:v>
      </x:c>
      <x:c r="E151" s="16" t="str">
        <x:v>ШТ</x:v>
      </x:c>
      <x:c r="F151" s="25" t="n">
        <x:v>47</x:v>
      </x:c>
      <x:c r="G151" s="17" t="n">
        <x:v>3008.3125999999997</x:v>
      </x:c>
      <x:c r="H151" s="17" t="n">
        <x:f>G151*F151</x:f>
        <x:v>141390.6922</x:v>
      </x:c>
      <x:c r="I151" s="26" t="str">
        <x:f>HYPERLINK("https://etp-aktiv.ru/catalog/materialy/stroitelnye-materialy/2000896514-W121/","Открыть позицию")</x:f>
        <x:v>Открыть позицию</x:v>
      </x:c>
    </x:row>
    <x:row r="152" ht="28" customHeight="1">
      <x:c r="A152" s="16" t="str">
        <x:v>Филиал БТСК</x:v>
      </x:c>
      <x:c r="B152" s="16" t="str">
        <x:v>2000557215-W121</x:v>
      </x:c>
      <x:c r="C152" s="16" t="str">
        <x:v>ПЛИТА ПТ 75.180.14-3 С.3.006.1-8 В.3-1</x:v>
      </x:c>
      <x:c r="D152" s="16" t="str">
        <x:v>Железобетонные издел</x:v>
      </x:c>
      <x:c r="E152" s="16" t="str">
        <x:v>ШТ</x:v>
      </x:c>
      <x:c r="F152" s="25" t="n">
        <x:v>1</x:v>
      </x:c>
      <x:c r="G152" s="17" t="n">
        <x:v>463.69759999999997</x:v>
      </x:c>
      <x:c r="H152" s="17" t="n">
        <x:f>G152*F152</x:f>
        <x:v>463.69759999999997</x:v>
      </x:c>
      <x:c r="I152" s="26" t="str">
        <x:f>HYPERLINK("https://etp-aktiv.ru/catalog/materialy/stroitelnye-materialy/2000557215-W121/","Открыть позицию")</x:f>
        <x:v>Открыть позицию</x:v>
      </x:c>
    </x:row>
    <x:row r="153" ht="28" customHeight="1">
      <x:c r="A153" s="16" t="str">
        <x:v>Филиал БТСК</x:v>
      </x:c>
      <x:c r="B153" s="16" t="str">
        <x:v>2000557250-W121</x:v>
      </x:c>
      <x:c r="C153" s="16" t="str">
        <x:v>ПОДУШКА ОПОРНАЯ ОП 8 С.3.006.1-8</x:v>
      </x:c>
      <x:c r="D153" s="16" t="str">
        <x:v>Железобетонные издел</x:v>
      </x:c>
      <x:c r="E153" s="16" t="str">
        <x:v>ШТ</x:v>
      </x:c>
      <x:c r="F153" s="25" t="n">
        <x:v>39</x:v>
      </x:c>
      <x:c r="G153" s="17" t="n">
        <x:v>6005.7916</x:v>
      </x:c>
      <x:c r="H153" s="17" t="n">
        <x:f>G153*F153</x:f>
        <x:v>234225.8724</x:v>
      </x:c>
      <x:c r="I153" s="26" t="str">
        <x:f>HYPERLINK("https://etp-aktiv.ru/catalog/materialy/stroitelnye-materialy/2000557250-W121/","Открыть позицию")</x:f>
        <x:v>Открыть позицию</x:v>
      </x:c>
    </x:row>
    <x:row r="154" ht="28" customHeight="1">
      <x:c r="A154" s="16" t="str">
        <x:v>Филиал БТСК</x:v>
      </x:c>
      <x:c r="B154" s="16" t="str">
        <x:v>2000557254-W121</x:v>
      </x:c>
      <x:c r="C154" s="16" t="str">
        <x:v>ПОДУШКА ОПОРНАЯ ОП-1 С.3.006.1-2.87</x:v>
      </x:c>
      <x:c r="D154" s="16" t="str">
        <x:v>Железобетонные издел</x:v>
      </x:c>
      <x:c r="E154" s="16" t="str">
        <x:v>ШТ</x:v>
      </x:c>
      <x:c r="F154" s="25" t="n">
        <x:v>31</x:v>
      </x:c>
      <x:c r="G154" s="17" t="n">
        <x:v>285.1384</x:v>
      </x:c>
      <x:c r="H154" s="17" t="n">
        <x:f>G154*F154</x:f>
        <x:v>8839.2904</x:v>
      </x:c>
      <x:c r="I154" s="26" t="str">
        <x:f>HYPERLINK("https://etp-aktiv.ru/catalog/materialy/stroitelnye-materialy/2000557254-W121/","Открыть позицию")</x:f>
        <x:v>Открыть позицию</x:v>
      </x:c>
    </x:row>
    <x:row r="155" ht="28" customHeight="1">
      <x:c r="A155" s="16" t="str">
        <x:v>Филиал БТСК</x:v>
      </x:c>
      <x:c r="B155" s="16" t="str">
        <x:v>2000557270-W121</x:v>
      </x:c>
      <x:c r="C155" s="16" t="str">
        <x:v>ПОДУШКА ОПОРНАЯ ОП-5 С.3.006.1-8</x:v>
      </x:c>
      <x:c r="D155" s="16" t="str">
        <x:v>Железобетонные издел</x:v>
      </x:c>
      <x:c r="E155" s="16" t="str">
        <x:v>ШТ</x:v>
      </x:c>
      <x:c r="F155" s="25" t="n">
        <x:v>1</x:v>
      </x:c>
      <x:c r="G155" s="17" t="n">
        <x:v>1062.1564</x:v>
      </x:c>
      <x:c r="H155" s="17" t="n">
        <x:f>G155*F155</x:f>
        <x:v>1062.1564</x:v>
      </x:c>
      <x:c r="I155" s="26" t="str">
        <x:f>HYPERLINK("https://etp-aktiv.ru/catalog/materialy/stroitelnye-materialy/2000557270-W121/","Открыть позицию")</x:f>
        <x:v>Открыть позицию</x:v>
      </x:c>
    </x:row>
    <x:row r="156" ht="28" customHeight="1">
      <x:c r="A156" s="16" t="str">
        <x:v>Филиал БТСК</x:v>
      </x:c>
      <x:c r="B156" s="16" t="str">
        <x:v>2000557271-W121</x:v>
      </x:c>
      <x:c r="C156" s="16" t="str">
        <x:v>ПОДУШКА ОПОРНАЯ ОП-6 С.3.006.1-2.87.2-60</x:v>
      </x:c>
      <x:c r="D156" s="16" t="str">
        <x:v>Железобетонные издел</x:v>
      </x:c>
      <x:c r="E156" s="16" t="str">
        <x:v>ШТ</x:v>
      </x:c>
      <x:c r="F156" s="25" t="n">
        <x:v>32</x:v>
      </x:c>
      <x:c r="G156" s="17" t="n">
        <x:v>1657.98</x:v>
      </x:c>
      <x:c r="H156" s="17" t="n">
        <x:f>G156*F156</x:f>
        <x:v>53055.36</x:v>
      </x:c>
      <x:c r="I156" s="26" t="str">
        <x:f>HYPERLINK("https://etp-aktiv.ru/catalog/materialy/stroitelnye-materialy/2000557271-W121/","Открыть позицию")</x:f>
        <x:v>Открыть позицию</x:v>
      </x:c>
    </x:row>
    <x:row r="157" ht="28" customHeight="1">
      <x:c r="A157" s="16" t="str">
        <x:v>Филиал БТСК</x:v>
      </x:c>
      <x:c r="B157" s="16" t="str">
        <x:v>2000557272-W121</x:v>
      </x:c>
      <x:c r="C157" s="16" t="str">
        <x:v>ПОДУШКА ОПОРНАЯ ОП-8А С.3.006.1-8</x:v>
      </x:c>
      <x:c r="D157" s="16" t="str">
        <x:v>Железобетонные издел</x:v>
      </x:c>
      <x:c r="E157" s="16" t="str">
        <x:v>ШТ</x:v>
      </x:c>
      <x:c r="F157" s="25" t="n">
        <x:v>22</x:v>
      </x:c>
      <x:c r="G157" s="17" t="n">
        <x:v>4880</x:v>
      </x:c>
      <x:c r="H157" s="17" t="n">
        <x:f>G157*F157</x:f>
        <x:v>107360</x:v>
      </x:c>
      <x:c r="I157" s="26" t="str">
        <x:f>HYPERLINK("https://etp-aktiv.ru/catalog/materialy/stroitelnye-materialy/2000557272-W121/","Открыть позицию")</x:f>
        <x:v>Открыть позицию</x:v>
      </x:c>
    </x:row>
    <x:row r="158" ht="28" customHeight="1">
      <x:c r="A158" s="16" t="str">
        <x:v>Филиал БТСК</x:v>
      </x:c>
      <x:c r="B158" s="16" t="str">
        <x:v>2000486831-W121</x:v>
      </x:c>
      <x:c r="C158" s="16" t="str">
        <x:v>ПРОФИЛЬ ППН СТАНДАРТ 27*28*3000</x:v>
      </x:c>
      <x:c r="D158" s="16" t="str">
        <x:v>Проч строит матер-ы</x:v>
      </x:c>
      <x:c r="E158" s="16" t="str">
        <x:v>ШТ</x:v>
      </x:c>
      <x:c r="F158" s="25" t="n">
        <x:v>3</x:v>
      </x:c>
      <x:c r="G158" s="17" t="n">
        <x:v>120.09679999999999</x:v>
      </x:c>
      <x:c r="H158" s="17" t="n">
        <x:f>G158*F158</x:f>
        <x:v>360.2904</x:v>
      </x:c>
      <x:c r="I158" s="26" t="str">
        <x:f>HYPERLINK("https://etp-aktiv.ru/catalog/materialy/stroitelnye-materialy/2000486831-W121/","Открыть позицию")</x:f>
        <x:v>Открыть позицию</x:v>
      </x:c>
    </x:row>
    <x:row r="159" ht="28" customHeight="1">
      <x:c r="A159" s="16" t="str">
        <x:v>Филиал БТСК</x:v>
      </x:c>
      <x:c r="B159" s="16" t="str">
        <x:v>2000155427-W121</x:v>
      </x:c>
      <x:c r="C159" s="16" t="str">
        <x:v>УГОЛЬНИК PPRC 90° 40ММ 404450</x:v>
      </x:c>
      <x:c r="D159" s="16" t="str">
        <x:v>Проч строит матер-ы</x:v>
      </x:c>
      <x:c r="E159" s="16" t="str">
        <x:v>ШТ</x:v>
      </x:c>
      <x:c r="F159" s="25" t="n">
        <x:v>7</x:v>
      </x:c>
      <x:c r="G159" s="17" t="n">
        <x:v>11.7852</x:v>
      </x:c>
      <x:c r="H159" s="17" t="n">
        <x:f>G159*F159</x:f>
        <x:v>82.4964</x:v>
      </x:c>
      <x:c r="I159" s="26" t="str">
        <x:f>HYPERLINK("https://etp-aktiv.ru/catalog/materialy/stroitelnye-materialy/2000155427-W121/","Открыть позицию")</x:f>
        <x:v>Открыть позицию</x:v>
      </x:c>
    </x:row>
    <x:row r="160" ht="28" customHeight="1">
      <x:c r="A160" s="16" t="str">
        <x:v>Филиал БТСК</x:v>
      </x:c>
      <x:c r="B160" s="16" t="str">
        <x:v>2000045690-W121</x:v>
      </x:c>
      <x:c r="C160" s="16" t="str">
        <x:v>ШИФЕР 8 ВОЛНОВЫЙ</x:v>
      </x:c>
      <x:c r="D160" s="16" t="str">
        <x:v>Проч строит матер-ы</x:v>
      </x:c>
      <x:c r="E160" s="16" t="str">
        <x:v>ШТ</x:v>
      </x:c>
      <x:c r="F160" s="25" t="n">
        <x:v>4</x:v>
      </x:c>
      <x:c r="G160" s="17" t="n">
        <x:v>463.2218</x:v>
      </x:c>
      <x:c r="H160" s="17" t="n">
        <x:f>G160*F160</x:f>
        <x:v>1852.8872</x:v>
      </x:c>
      <x:c r="I160" s="26" t="str">
        <x:f>HYPERLINK("https://etp-aktiv.ru/catalog/materialy/stroitelnye-materialy/2000045690-W121/","Открыть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10c20ce28bef4bc6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Трубы, фитинги, трубопроводная арматура и ОПС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2000006817-W111</x:v>
      </x:c>
      <x:c r="C5" s="16" t="str">
        <x:v>ВЕНТИЛЬ 15КЧ18П DN50 PN16</x:v>
      </x:c>
      <x:c r="D5" s="16" t="str">
        <x:v>ЧугунАрмат (кр.затв)</x:v>
      </x:c>
      <x:c r="E5" s="16" t="str">
        <x:v>ШТ</x:v>
      </x:c>
      <x:c r="F5" s="25" t="n">
        <x:v>1</x:v>
      </x:c>
      <x:c r="G5" s="17" t="n">
        <x:v>242.60920000000002</x:v>
      </x:c>
      <x:c r="H5" s="17" t="n">
        <x:f>G5*F5</x:f>
        <x:v>242.60920000000002</x:v>
      </x:c>
      <x:c r="I5" s="26" t="str">
        <x:f>HYPERLINK("https://etp-aktiv.ru/catalog/materialy/truboprovodnaya-armatura-i-komplektuyushchie/2000006817-W111/","Открыть позицию")</x:f>
        <x:v>Открыть позицию</x:v>
      </x:c>
    </x:row>
    <x:row r="6" ht="28" customHeight="1">
      <x:c r="A6" s="16" t="str">
        <x:v>Барнаульская ТЭЦ-2</x:v>
      </x:c>
      <x:c r="B6" s="16" t="str">
        <x:v>2000509855-W111</x:v>
      </x:c>
      <x:c r="C6" s="16" t="str">
        <x:v>ВЕНТИЛЬ ЗАПОРНЫЙ ФЛАНЦ KV 16 DN25 PN16</x:v>
      </x:c>
      <x:c r="D6" s="16" t="str">
        <x:v>ЧугунАрмат (кр.затв)</x:v>
      </x:c>
      <x:c r="E6" s="16" t="str">
        <x:v>ШТ</x:v>
      </x:c>
      <x:c r="F6" s="25" t="n">
        <x:v>10</x:v>
      </x:c>
      <x:c r="G6" s="17" t="n">
        <x:v>3067.2264</x:v>
      </x:c>
      <x:c r="H6" s="17" t="n">
        <x:f>G6*F6</x:f>
        <x:v>30672.264</x:v>
      </x:c>
      <x:c r="I6" s="26" t="str">
        <x:f>HYPERLINK("https://etp-aktiv.ru/catalog/materialy/truboprovodnaya-armatura-i-komplektuyushchie/2000509855-W111/","Открыть позицию")</x:f>
        <x:v>Открыть позицию</x:v>
      </x:c>
    </x:row>
    <x:row r="7" ht="28" customHeight="1">
      <x:c r="A7" s="16" t="str">
        <x:v>Барнаульская ТЭЦ-2</x:v>
      </x:c>
      <x:c r="B7" s="16" t="str">
        <x:v>2000571159-W111</x:v>
      </x:c>
      <x:c r="C7" s="16" t="str">
        <x:v>ГИБ ТРУБЫ 60*6 СТ20 К-6508</x:v>
      </x:c>
      <x:c r="D7" s="16" t="str">
        <x:v>Труб/элем ВД</x:v>
      </x:c>
      <x:c r="E7" s="16" t="str">
        <x:v>ШТ</x:v>
      </x:c>
      <x:c r="F7" s="25" t="n">
        <x:v>53</x:v>
      </x:c>
      <x:c r="G7" s="17" t="n">
        <x:v>1235.8966</x:v>
      </x:c>
      <x:c r="H7" s="17" t="n">
        <x:f>G7*F7</x:f>
        <x:v>65502.5198</x:v>
      </x:c>
      <x:c r="I7" s="26" t="str">
        <x:f>HYPERLINK("https://etp-aktiv.ru/catalog/materialy/truboprovody/2000571159-W111/","Открыть позицию")</x:f>
        <x:v>Открыть позицию</x:v>
      </x:c>
    </x:row>
    <x:row r="8" ht="28" customHeight="1">
      <x:c r="A8" s="16" t="str">
        <x:v>Барнаульская ТЭЦ-2</x:v>
      </x:c>
      <x:c r="B8" s="16" t="str">
        <x:v>2000571158-W111</x:v>
      </x:c>
      <x:c r="C8" s="16" t="str">
        <x:v>ГИБ ТРУБЫ 60*6 СТ20 К-6509</x:v>
      </x:c>
      <x:c r="D8" s="16" t="str">
        <x:v>Труб/элем ВД</x:v>
      </x:c>
      <x:c r="E8" s="16" t="str">
        <x:v>ШТ</x:v>
      </x:c>
      <x:c r="F8" s="25" t="n">
        <x:v>42</x:v>
      </x:c>
      <x:c r="G8" s="17" t="n">
        <x:v>1196.1368</x:v>
      </x:c>
      <x:c r="H8" s="17" t="n">
        <x:f>G8*F8</x:f>
        <x:v>50237.7456</x:v>
      </x:c>
      <x:c r="I8" s="26" t="str">
        <x:f>HYPERLINK("https://etp-aktiv.ru/catalog/materialy/truboprovody/2000571158-W111/","Открыть позицию")</x:f>
        <x:v>Открыть позицию</x:v>
      </x:c>
    </x:row>
    <x:row r="9" ht="28" customHeight="1">
      <x:c r="A9" s="16" t="str">
        <x:v>Барнаульская ТЭЦ-2</x:v>
      </x:c>
      <x:c r="B9" s="16" t="str">
        <x:v>2000574311-W111</x:v>
      </x:c>
      <x:c r="C9" s="16" t="str">
        <x:v>ЗАГЛУШКА 2-50-4,0-СТ20-4 АТК 26-18-5-93</x:v>
      </x:c>
      <x:c r="D9" s="16" t="str">
        <x:v>Детали фасонные</x:v>
      </x:c>
      <x:c r="E9" s="16" t="str">
        <x:v>ШТ</x:v>
      </x:c>
      <x:c r="F9" s="25" t="n">
        <x:v>2</x:v>
      </x:c>
      <x:c r="G9" s="17" t="n">
        <x:v>1997.5548</x:v>
      </x:c>
      <x:c r="H9" s="17" t="n">
        <x:f>G9*F9</x:f>
        <x:v>3995.1096</x:v>
      </x:c>
      <x:c r="I9" s="26" t="str">
        <x:f>HYPERLINK("https://etp-aktiv.ru/catalog/materialy/truboprovody/2000574311-W111/","Открыть позицию")</x:f>
        <x:v>Открыть позицию</x:v>
      </x:c>
    </x:row>
    <x:row r="10" ht="28" customHeight="1">
      <x:c r="A10" s="16" t="str">
        <x:v>Барнаульская ТЭЦ-2</x:v>
      </x:c>
      <x:c r="B10" s="16" t="str">
        <x:v>2000539336-W111</x:v>
      </x:c>
      <x:c r="C10" s="16" t="str">
        <x:v>ЗАДВИЖКА 30НЖ41НЖ125/16 РП ФЛ A12Х18Н9ТЛ</x:v>
      </x:c>
      <x:c r="D10" s="16" t="str">
        <x:v>Задвиж/клапан стальн</x:v>
      </x:c>
      <x:c r="E10" s="16" t="str">
        <x:v>ШТ</x:v>
      </x:c>
      <x:c r="F10" s="25" t="n">
        <x:v>2</x:v>
      </x:c>
      <x:c r="G10" s="17" t="n">
        <x:v>20221.5</x:v>
      </x:c>
      <x:c r="H10" s="17" t="n">
        <x:f>G10*F10</x:f>
        <x:v>40443</x:v>
      </x:c>
      <x:c r="I10" s="26" t="str">
        <x:f>HYPERLINK("https://etp-aktiv.ru/catalog/materialy/truboprovodnaya-armatura-i-komplektuyushchie/2000539336-W111/","Открыть позицию")</x:f>
        <x:v>Открыть позицию</x:v>
      </x:c>
    </x:row>
    <x:row r="11" ht="28" customHeight="1">
      <x:c r="A11" s="16" t="str">
        <x:v>Барнаульская ТЭЦ-2</x:v>
      </x:c>
      <x:c r="B11" s="16" t="str">
        <x:v>2000539385-W111</x:v>
      </x:c>
      <x:c r="C11" s="16" t="str">
        <x:v>ЗАДВИЖКА 30С64НЖ DN150 PN25 РП ФЛ А КОФ</x:v>
      </x:c>
      <x:c r="D11" s="16" t="str">
        <x:v>Задвиж/клапан стальн</x:v>
      </x:c>
      <x:c r="E11" s="16" t="str">
        <x:v>ШТ</x:v>
      </x:c>
      <x:c r="F11" s="25" t="n">
        <x:v>1</x:v>
      </x:c>
      <x:c r="G11" s="17" t="n">
        <x:v>21120.4082</x:v>
      </x:c>
      <x:c r="H11" s="17" t="n">
        <x:f>G11*F11</x:f>
        <x:v>21120.4082</x:v>
      </x:c>
      <x:c r="I11" s="26" t="str">
        <x:f>HYPERLINK("https://etp-aktiv.ru/catalog/materialy/truboprovodnaya-armatura-i-komplektuyushchie/2000539385-W111/","Открыть позицию")</x:f>
        <x:v>Открыть позицию</x:v>
      </x:c>
    </x:row>
    <x:row r="12" ht="28" customHeight="1">
      <x:c r="A12" s="16" t="str">
        <x:v>Барнаульская ТЭЦ-2</x:v>
      </x:c>
      <x:c r="B12" s="16" t="str">
        <x:v>2000539448-W111</x:v>
      </x:c>
      <x:c r="C12" s="16" t="str">
        <x:v>ЗАДВИЖКА 30Ч39Р DN100 PN10 Р/П ФЛ А</x:v>
      </x:c>
      <x:c r="D12" s="16" t="str">
        <x:v>ЧугунАрмат (кр.затв)</x:v>
      </x:c>
      <x:c r="E12" s="16" t="str">
        <x:v>ШТ</x:v>
      </x:c>
      <x:c r="F12" s="25" t="n">
        <x:v>4</x:v>
      </x:c>
      <x:c r="G12" s="17" t="n">
        <x:v>3891.0436</x:v>
      </x:c>
      <x:c r="H12" s="17" t="n">
        <x:f>G12*F12</x:f>
        <x:v>15564.1744</x:v>
      </x:c>
      <x:c r="I12" s="26" t="str">
        <x:f>HYPERLINK("https://etp-aktiv.ru/catalog/materialy/truboprovodnaya-armatura-i-komplektuyushchie/2000539448-W111/","Открыть позицию")</x:f>
        <x:v>Открыть позицию</x:v>
      </x:c>
    </x:row>
    <x:row r="13" ht="28" customHeight="1">
      <x:c r="A13" s="16" t="str">
        <x:v>Барнаульская ТЭЦ-2</x:v>
      </x:c>
      <x:c r="B13" s="16" t="str">
        <x:v>2000160987-W111</x:v>
      </x:c>
      <x:c r="C13" s="16" t="str">
        <x:v>ЗАДВИЖКА 30Ч6БР DN100 PN16</x:v>
      </x:c>
      <x:c r="D13" s="16" t="str">
        <x:v>ЧугунАрмат (кр.затв)</x:v>
      </x:c>
      <x:c r="E13" s="16" t="str">
        <x:v>ШТ</x:v>
      </x:c>
      <x:c r="F13" s="25" t="n">
        <x:v>1</x:v>
      </x:c>
      <x:c r="G13" s="17" t="n">
        <x:v>70775.25</x:v>
      </x:c>
      <x:c r="H13" s="17" t="n">
        <x:f>G13*F13</x:f>
        <x:v>70775.25</x:v>
      </x:c>
      <x:c r="I13" s="26" t="str">
        <x:f>HYPERLINK("https://etp-aktiv.ru/catalog/materialy/truboprovodnaya-armatura-i-komplektuyushchie/2000160987-W111/","Открыть позицию")</x:f>
        <x:v>Открыть позицию</x:v>
      </x:c>
    </x:row>
    <x:row r="14" ht="28" customHeight="1">
      <x:c r="A14" s="16" t="str">
        <x:v>Барнаульская ТЭЦ-2</x:v>
      </x:c>
      <x:c r="B14" s="16" t="str">
        <x:v>2000539468-W111</x:v>
      </x:c>
      <x:c r="C14" s="16" t="str">
        <x:v>ЗАДВИЖКА 31Ч6БР DN250 PN10 Р/П ФЛ А</x:v>
      </x:c>
      <x:c r="D14" s="16" t="str">
        <x:v>ЧугунАрмат (кр.затв)</x:v>
      </x:c>
      <x:c r="E14" s="16" t="str">
        <x:v>ШТ</x:v>
      </x:c>
      <x:c r="F14" s="25" t="n">
        <x:v>1</x:v>
      </x:c>
      <x:c r="G14" s="17" t="n">
        <x:v>18423.342</x:v>
      </x:c>
      <x:c r="H14" s="17" t="n">
        <x:f>G14*F14</x:f>
        <x:v>18423.342</x:v>
      </x:c>
      <x:c r="I14" s="26" t="str">
        <x:f>HYPERLINK("https://etp-aktiv.ru/catalog/materialy/truboprovodnaya-armatura-i-komplektuyushchie/2000539468-W111/","Открыть позицию")</x:f>
        <x:v>Открыть позицию</x:v>
      </x:c>
    </x:row>
    <x:row r="15" ht="28" customHeight="1">
      <x:c r="A15" s="16" t="str">
        <x:v>Барнаульская ТЭЦ-2</x:v>
      </x:c>
      <x:c r="B15" s="16" t="str">
        <x:v>2001015620-W111</x:v>
      </x:c>
      <x:c r="C15" s="16" t="str">
        <x:v>ЗОЛОТНИК НП.1273.0003.0000СБ-02</x:v>
      </x:c>
      <x:c r="D15" s="16" t="str">
        <x:v>ЗЧ трубопр арматуры</x:v>
      </x:c>
      <x:c r="E15" s="16" t="str">
        <x:v>ШТ</x:v>
      </x:c>
      <x:c r="F15" s="25" t="n">
        <x:v>1</x:v>
      </x:c>
      <x:c r="G15" s="17" t="n">
        <x:v>20587.5</x:v>
      </x:c>
      <x:c r="H15" s="17" t="n">
        <x:f>G15*F15</x:f>
        <x:v>20587.5</x:v>
      </x:c>
      <x:c r="I15" s="26" t="str">
        <x:f>HYPERLINK("https://etp-aktiv.ru/catalog/materialy/truboprovodnaya-armatura-i-komplektuyushchie/2001015620-W111/","Открыть позицию")</x:f>
        <x:v>Открыть позицию</x:v>
      </x:c>
    </x:row>
    <x:row r="16" ht="28" customHeight="1">
      <x:c r="A16" s="16" t="str">
        <x:v>Барнаульская ТЭЦ-2</x:v>
      </x:c>
      <x:c r="B16" s="16" t="str">
        <x:v>2000572737-W111</x:v>
      </x:c>
      <x:c r="C16" s="16" t="str">
        <x:v>КЛАПАН 1198-65ЭЧ18 65/235 П/П МЭП-25000</x:v>
      </x:c>
      <x:c r="D16" s="16" t="str">
        <x:v>Трубопр арматура в/д</x:v>
      </x:c>
      <x:c r="E16" s="16" t="str">
        <x:v>ШТ</x:v>
      </x:c>
      <x:c r="F16" s="25" t="n">
        <x:v>1</x:v>
      </x:c>
      <x:c r="G16" s="17" t="n">
        <x:v>49181.25</x:v>
      </x:c>
      <x:c r="H16" s="17" t="n">
        <x:f>G16*F16</x:f>
        <x:v>49181.25</x:v>
      </x:c>
      <x:c r="I16" s="26" t="str">
        <x:f>HYPERLINK("https://etp-aktiv.ru/catalog/materialy/truboprovodnaya-armatura-i-komplektuyushchie/2000572737-W111/","Открыть позицию")</x:f>
        <x:v>Открыть позицию</x:v>
      </x:c>
    </x:row>
    <x:row r="17" ht="28" customHeight="1">
      <x:c r="A17" s="16" t="str">
        <x:v>Барнаульская ТЭЦ-2</x:v>
      </x:c>
      <x:c r="B17" s="16" t="str">
        <x:v>2000539559-W111</x:v>
      </x:c>
      <x:c r="C17" s="16" t="str">
        <x:v>КЛАПАН 15КЧ18П DN50 PN16 Р/П</x:v>
      </x:c>
      <x:c r="D17" s="16" t="str">
        <x:v>ЧугунАрмат (кр.затв)</x:v>
      </x:c>
      <x:c r="E17" s="16" t="str">
        <x:v>ШТ</x:v>
      </x:c>
      <x:c r="F17" s="25" t="n">
        <x:v>2</x:v>
      </x:c>
      <x:c r="G17" s="17" t="n">
        <x:v>827.6968</x:v>
      </x:c>
      <x:c r="H17" s="17" t="n">
        <x:f>G17*F17</x:f>
        <x:v>1655.3936</x:v>
      </x:c>
      <x:c r="I17" s="26" t="str">
        <x:f>HYPERLINK("https://etp-aktiv.ru/catalog/materialy/truboprovodnaya-armatura-i-komplektuyushchie/2000539559-W111/","Открыть позицию")</x:f>
        <x:v>Открыть позицию</x:v>
      </x:c>
    </x:row>
    <x:row r="18" ht="28" customHeight="1">
      <x:c r="A18" s="16" t="str">
        <x:v>Барнаульская ТЭЦ-2</x:v>
      </x:c>
      <x:c r="B18" s="16" t="str">
        <x:v>2000240924-W111</x:v>
      </x:c>
      <x:c r="C18" s="16" t="str">
        <x:v>КЛАПАН 16С10НЖ DN150 PN16</x:v>
      </x:c>
      <x:c r="D18" s="16" t="str">
        <x:v>@Трубопр армат промы</x:v>
      </x:c>
      <x:c r="E18" s="16" t="str">
        <x:v>ШТ</x:v>
      </x:c>
      <x:c r="F18" s="25" t="n">
        <x:v>2</x:v>
      </x:c>
      <x:c r="G18" s="17" t="n">
        <x:v>14640</x:v>
      </x:c>
      <x:c r="H18" s="17" t="n">
        <x:f>G18*F18</x:f>
        <x:v>29280</x:v>
      </x:c>
      <x:c r="I18" s="26" t="str">
        <x:f>HYPERLINK("https://etp-aktiv.ru/catalog/materialy/truboprovodnaya-armatura-i-komplektuyushchie/2000240924-W111/","Открыть позицию")</x:f>
        <x:v>Открыть позицию</x:v>
      </x:c>
    </x:row>
    <x:row r="19" ht="28" customHeight="1">
      <x:c r="A19" s="16" t="str">
        <x:v>Барнаульская ТЭЦ-2</x:v>
      </x:c>
      <x:c r="B19" s="16" t="str">
        <x:v>M2000539712-W111</x:v>
      </x:c>
      <x:c r="C19" s="16" t="str">
        <x:v>КЛАПАН 19НЖ53НЖ DN100 PN40 Р/П ФЛ А</x:v>
      </x:c>
      <x:c r="D19" s="16" t="str">
        <x:v>Обратная арматура</x:v>
      </x:c>
      <x:c r="E19" s="16" t="str">
        <x:v>ШТ</x:v>
      </x:c>
      <x:c r="F19" s="25" t="n">
        <x:v>1</x:v>
      </x:c>
      <x:c r="G19" s="17" t="n">
        <x:v>3513.6</x:v>
      </x:c>
      <x:c r="H19" s="17" t="n">
        <x:f>G19*F19</x:f>
        <x:v>3513.6</x:v>
      </x:c>
      <x:c r="I19" s="26" t="str">
        <x:f>HYPERLINK("https://etp-aktiv.ru/catalog/materialy/truboprovodnaya-armatura-i-komplektuyushchie/M2000539712-W111/","Открыть позицию")</x:f>
        <x:v>Открыть позицию</x:v>
      </x:c>
    </x:row>
    <x:row r="20" ht="28" customHeight="1">
      <x:c r="A20" s="16" t="str">
        <x:v>Барнаульская ТЭЦ-2</x:v>
      </x:c>
      <x:c r="B20" s="16" t="str">
        <x:v>2000539713-W111</x:v>
      </x:c>
      <x:c r="C20" s="16" t="str">
        <x:v>КЛАПАН 19НЖ53НЖ DN200 PN40 Р/П ФЛ А</x:v>
      </x:c>
      <x:c r="D20" s="16" t="str">
        <x:v>Обратная арматура</x:v>
      </x:c>
      <x:c r="E20" s="16" t="str">
        <x:v>ШТ</x:v>
      </x:c>
      <x:c r="F20" s="25" t="n">
        <x:v>3</x:v>
      </x:c>
      <x:c r="G20" s="17" t="n">
        <x:v>16470</x:v>
      </x:c>
      <x:c r="H20" s="17" t="n">
        <x:f>G20*F20</x:f>
        <x:v>49410</x:v>
      </x:c>
      <x:c r="I20" s="26" t="str">
        <x:f>HYPERLINK("https://etp-aktiv.ru/catalog/materialy/truboprovodnaya-armatura-i-komplektuyushchie/2000539713-W111/","Открыть позицию")</x:f>
        <x:v>Открыть позицию</x:v>
      </x:c>
    </x:row>
    <x:row r="21" ht="28" customHeight="1">
      <x:c r="A21" s="16" t="str">
        <x:v>Барнаульская ТЭЦ-2</x:v>
      </x:c>
      <x:c r="B21" s="16" t="str">
        <x:v>2000014810-W111</x:v>
      </x:c>
      <x:c r="C21" s="16" t="str">
        <x:v>КЛАПАН 19С47НЖ DN150 PN40</x:v>
      </x:c>
      <x:c r="D21" s="16" t="str">
        <x:v>@Трубопр армат промы</x:v>
      </x:c>
      <x:c r="E21" s="16" t="str">
        <x:v>ШТ</x:v>
      </x:c>
      <x:c r="F21" s="25" t="n">
        <x:v>1</x:v>
      </x:c>
      <x:c r="G21" s="17" t="n">
        <x:v>25665.75</x:v>
      </x:c>
      <x:c r="H21" s="17" t="n">
        <x:f>G21*F21</x:f>
        <x:v>25665.75</x:v>
      </x:c>
      <x:c r="I21" s="26" t="str">
        <x:f>HYPERLINK("https://etp-aktiv.ru/catalog/materialy/truboprovodnaya-armatura-i-komplektuyushchie/2000014810-W111/","Открыть позицию")</x:f>
        <x:v>Открыть позицию</x:v>
      </x:c>
    </x:row>
    <x:row r="22" ht="28" customHeight="1">
      <x:c r="A22" s="16" t="str">
        <x:v>Барнаульская ТЭЦ-2</x:v>
      </x:c>
      <x:c r="B22" s="16" t="str">
        <x:v>2000539730-W111</x:v>
      </x:c>
      <x:c r="C22" s="16" t="str">
        <x:v>КЛАПАН 19С47НЖ DN250 PN25 П/П A ВОДА 425</x:v>
      </x:c>
      <x:c r="D22" s="16" t="str">
        <x:v>Обратная арматура</x:v>
      </x:c>
      <x:c r="E22" s="16" t="str">
        <x:v>ШТ</x:v>
      </x:c>
      <x:c r="F22" s="25" t="n">
        <x:v>2</x:v>
      </x:c>
      <x:c r="G22" s="17" t="n">
        <x:v>35128.1798</x:v>
      </x:c>
      <x:c r="H22" s="17" t="n">
        <x:f>G22*F22</x:f>
        <x:v>70256.3596</x:v>
      </x:c>
      <x:c r="I22" s="26" t="str">
        <x:f>HYPERLINK("https://etp-aktiv.ru/catalog/materialy/truboprovodnaya-armatura-i-komplektuyushchie/2000539730-W111/","Открыть позицию")</x:f>
        <x:v>Открыть позицию</x:v>
      </x:c>
    </x:row>
    <x:row r="23" ht="28" customHeight="1">
      <x:c r="A23" s="16" t="str">
        <x:v>Барнаульская ТЭЦ-2</x:v>
      </x:c>
      <x:c r="B23" s="16" t="str">
        <x:v>M2000963617-W111</x:v>
      </x:c>
      <x:c r="C23" s="16" t="str">
        <x:v>КЛАПАН 19С53НЖ DN150 PN40 Б/П ФЛ</x:v>
      </x:c>
      <x:c r="D23" s="16" t="str">
        <x:v>Обратная арматура</x:v>
      </x:c>
      <x:c r="E23" s="16" t="str">
        <x:v>ШТ</x:v>
      </x:c>
      <x:c r="F23" s="25" t="n">
        <x:v>1</x:v>
      </x:c>
      <x:c r="G23" s="17" t="n">
        <x:v>8418</x:v>
      </x:c>
      <x:c r="H23" s="17" t="n">
        <x:f>G23*F23</x:f>
        <x:v>8418</x:v>
      </x:c>
      <x:c r="I23" s="26" t="str">
        <x:f>HYPERLINK("https://etp-aktiv.ru/catalog/materialy/truboprovodnaya-armatura-i-komplektuyushchie/M2000963617-W111/","Открыть позицию")</x:f>
        <x:v>Открыть позицию</x:v>
      </x:c>
    </x:row>
    <x:row r="24" ht="28" customHeight="1">
      <x:c r="A24" s="16" t="str">
        <x:v>Барнаульская ТЭЦ-2</x:v>
      </x:c>
      <x:c r="B24" s="16" t="str">
        <x:v>2000894486-W111</x:v>
      </x:c>
      <x:c r="C24" s="16" t="str">
        <x:v>КЛАПАН 19Ч21БР DN100 PN16 КОФ КРЕПЕЖ</x:v>
      </x:c>
      <x:c r="D24" s="16" t="str">
        <x:v>ЧугунАрмат (кр.затв)</x:v>
      </x:c>
      <x:c r="E24" s="16" t="str">
        <x:v>ШТ</x:v>
      </x:c>
      <x:c r="F24" s="25" t="n">
        <x:v>1</x:v>
      </x:c>
      <x:c r="G24" s="17" t="n">
        <x:v>1908.4704</x:v>
      </x:c>
      <x:c r="H24" s="17" t="n">
        <x:f>G24*F24</x:f>
        <x:v>1908.4704</x:v>
      </x:c>
      <x:c r="I24" s="26" t="str">
        <x:f>HYPERLINK("https://etp-aktiv.ru/catalog/materialy/truboprovodnaya-armatura-i-komplektuyushchie/2000894486-W111/","Открыть позицию")</x:f>
        <x:v>Открыть позицию</x:v>
      </x:c>
    </x:row>
    <x:row r="25" ht="28" customHeight="1">
      <x:c r="A25" s="16" t="str">
        <x:v>Барнаульская ТЭЦ-2</x:v>
      </x:c>
      <x:c r="B25" s="16" t="str">
        <x:v>2000961420-W111</x:v>
      </x:c>
      <x:c r="C25" s="16" t="str">
        <x:v>КЛАПАН 19Ч21БР DN150 PN16 Б/П МФ</x:v>
      </x:c>
      <x:c r="D25" s="16" t="str">
        <x:v>Обратная арматура</x:v>
      </x:c>
      <x:c r="E25" s="16" t="str">
        <x:v>ШТ</x:v>
      </x:c>
      <x:c r="F25" s="25" t="n">
        <x:v>1</x:v>
      </x:c>
      <x:c r="G25" s="17" t="n">
        <x:v>1957.9414</x:v>
      </x:c>
      <x:c r="H25" s="17" t="n">
        <x:f>G25*F25</x:f>
        <x:v>1957.9414</x:v>
      </x:c>
      <x:c r="I25" s="26" t="str">
        <x:f>HYPERLINK("https://etp-aktiv.ru/catalog/materialy/truboprovodnaya-armatura-i-komplektuyushchie/2000961420-W111/","Открыть позицию")</x:f>
        <x:v>Открыть позицию</x:v>
      </x:c>
    </x:row>
    <x:row r="26" ht="28" customHeight="1">
      <x:c r="A26" s="16" t="str">
        <x:v>Барнаульская ТЭЦ-2</x:v>
      </x:c>
      <x:c r="B26" s="16" t="str">
        <x:v>2000205455-W111</x:v>
      </x:c>
      <x:c r="C26" s="16" t="str">
        <x:v>КЛАПАН 1С-11-31 DN25 PN100</x:v>
      </x:c>
      <x:c r="D26" s="16" t="str">
        <x:v>Трубопр арматура в/д</x:v>
      </x:c>
      <x:c r="E26" s="16" t="str">
        <x:v>ШТ</x:v>
      </x:c>
      <x:c r="F26" s="25" t="n">
        <x:v>2</x:v>
      </x:c>
      <x:c r="G26" s="17" t="n">
        <x:v>1715.4542</x:v>
      </x:c>
      <x:c r="H26" s="17" t="n">
        <x:f>G26*F26</x:f>
        <x:v>3430.9084</x:v>
      </x:c>
      <x:c r="I26" s="26" t="str">
        <x:f>HYPERLINK("https://etp-aktiv.ru/catalog/materialy/truboprovodnaya-armatura-i-komplektuyushchie/2000205455-W111/","Открыть позицию")</x:f>
        <x:v>Открыть позицию</x:v>
      </x:c>
    </x:row>
    <x:row r="27" ht="28" customHeight="1">
      <x:c r="A27" s="16" t="str">
        <x:v>Барнаульская ТЭЦ-2</x:v>
      </x:c>
      <x:c r="B27" s="16" t="str">
        <x:v>2000609399-W111</x:v>
      </x:c>
      <x:c r="C27" s="16" t="str">
        <x:v>КЛАПАН 22Б16П DN6 PN16 РП ЦАПКОВЫЙ</x:v>
      </x:c>
      <x:c r="D27" s="16" t="str">
        <x:v>Армат из медн сплав</x:v>
      </x:c>
      <x:c r="E27" s="16" t="str">
        <x:v>ШТ</x:v>
      </x:c>
      <x:c r="F27" s="25" t="n">
        <x:v>3</x:v>
      </x:c>
      <x:c r="G27" s="17" t="n">
        <x:v>3937.1474</x:v>
      </x:c>
      <x:c r="H27" s="17" t="n">
        <x:f>G27*F27</x:f>
        <x:v>11811.4422</x:v>
      </x:c>
      <x:c r="I27" s="26" t="str">
        <x:f>HYPERLINK("https://etp-aktiv.ru/catalog/materialy/truboprovodnaya-armatura-i-komplektuyushchie/2000609399-W111/","Открыть позицию")</x:f>
        <x:v>Открыть позицию</x:v>
      </x:c>
    </x:row>
    <x:row r="28" ht="28" customHeight="1">
      <x:c r="A28" s="16" t="str">
        <x:v>Барнаульская ТЭЦ-2</x:v>
      </x:c>
      <x:c r="B28" s="16" t="str">
        <x:v>2000572753-W111</x:v>
      </x:c>
      <x:c r="C28" s="16" t="str">
        <x:v>КЛАПАН КЗ 104.65.00-Р DN65 PN235 Р/П П/П</x:v>
      </x:c>
      <x:c r="D28" s="16" t="str">
        <x:v>Трубопр арматура в/д</x:v>
      </x:c>
      <x:c r="E28" s="16" t="str">
        <x:v>ШТ</x:v>
      </x:c>
      <x:c r="F28" s="25" t="n">
        <x:v>3</x:v>
      </x:c>
      <x:c r="G28" s="17" t="n">
        <x:v>11609.068599999999</x:v>
      </x:c>
      <x:c r="H28" s="17" t="n">
        <x:f>G28*F28</x:f>
        <x:v>34827.205799999996</x:v>
      </x:c>
      <x:c r="I28" s="26" t="str">
        <x:f>HYPERLINK("https://etp-aktiv.ru/catalog/materialy/truboprovodnaya-armatura-i-komplektuyushchie/2000572753-W111/","Открыть позицию")</x:f>
        <x:v>Открыть позицию</x:v>
      </x:c>
    </x:row>
    <x:row r="29" ht="28" customHeight="1">
      <x:c r="A29" s="16" t="str">
        <x:v>Барнаульская ТЭЦ-2</x:v>
      </x:c>
      <x:c r="B29" s="16" t="str">
        <x:v>2000552692-W111</x:v>
      </x:c>
      <x:c r="C29" s="16" t="str">
        <x:v>КЛАПАН КЗ 105.20.00-Р DN20 PN250 РЕД П/П</x:v>
      </x:c>
      <x:c r="D29" s="16" t="str">
        <x:v>Трубопр арматура в/д</x:v>
      </x:c>
      <x:c r="E29" s="16" t="str">
        <x:v>ШТ</x:v>
      </x:c>
      <x:c r="F29" s="25" t="n">
        <x:v>3</x:v>
      </x:c>
      <x:c r="G29" s="17" t="n">
        <x:v>3259.6936</x:v>
      </x:c>
      <x:c r="H29" s="17" t="n">
        <x:f>G29*F29</x:f>
        <x:v>9779.0808</x:v>
      </x:c>
      <x:c r="I29" s="26" t="str">
        <x:f>HYPERLINK("https://etp-aktiv.ru/catalog/materialy/truboprovodnaya-armatura-i-komplektuyushchie/2000552692-W111/","Открыть позицию")</x:f>
        <x:v>Открыть позицию</x:v>
      </x:c>
    </x:row>
    <x:row r="30" ht="28" customHeight="1">
      <x:c r="A30" s="16" t="str">
        <x:v>Барнаульская ТЭЦ-2</x:v>
      </x:c>
      <x:c r="B30" s="16" t="str">
        <x:v>2000580498-W111</x:v>
      </x:c>
      <x:c r="C30" s="16" t="str">
        <x:v>КОЛЬЦО 00 В Б 30*18*6 ГФ-2</x:v>
      </x:c>
      <x:c r="D30" s="16" t="str">
        <x:v>ЗЧ трубопр арматуры</x:v>
      </x:c>
      <x:c r="E30" s="16" t="str">
        <x:v>ШТ</x:v>
      </x:c>
      <x:c r="F30" s="25" t="n">
        <x:v>2</x:v>
      </x:c>
      <x:c r="G30" s="17" t="n">
        <x:v>4.587199999999999</x:v>
      </x:c>
      <x:c r="H30" s="17" t="n">
        <x:f>G30*F30</x:f>
        <x:v>9.174399999999999</x:v>
      </x:c>
      <x:c r="I30" s="26" t="str">
        <x:f>HYPERLINK("https://etp-aktiv.ru/catalog/materialy/truboprovodnaya-armatura-i-komplektuyushchie/2000580498-W111/","Открыть позицию")</x:f>
        <x:v>Открыть позицию</x:v>
      </x:c>
    </x:row>
    <x:row r="31" ht="28" customHeight="1">
      <x:c r="A31" s="16" t="str">
        <x:v>Барнаульская ТЭЦ-2</x:v>
      </x:c>
      <x:c r="B31" s="16" t="str">
        <x:v>2000917479-W111</x:v>
      </x:c>
      <x:c r="C31" s="16" t="str">
        <x:v>КОЛЬЦО 02 В Б 250*210*20 ГФ-1</x:v>
      </x:c>
      <x:c r="D31" s="16" t="str">
        <x:v>ЗЧ трубопр арматуры</x:v>
      </x:c>
      <x:c r="E31" s="16" t="str">
        <x:v>ШТ</x:v>
      </x:c>
      <x:c r="F31" s="25" t="n">
        <x:v>18</x:v>
      </x:c>
      <x:c r="G31" s="17" t="n">
        <x:v>926.895</x:v>
      </x:c>
      <x:c r="H31" s="17" t="n">
        <x:f>G31*F31</x:f>
        <x:v>16684.11</x:v>
      </x:c>
      <x:c r="I31" s="26" t="str">
        <x:f>HYPERLINK("https://etp-aktiv.ru/catalog/materialy/truboprovodnaya-armatura-i-komplektuyushchie/2000917479-W111/","Открыть позицию")</x:f>
        <x:v>Открыть позицию</x:v>
      </x:c>
    </x:row>
    <x:row r="32" ht="28" customHeight="1">
      <x:c r="A32" s="16" t="str">
        <x:v>Барнаульская ТЭЦ-2</x:v>
      </x:c>
      <x:c r="B32" s="16" t="str">
        <x:v>2000734200-W111</x:v>
      </x:c>
      <x:c r="C32" s="16" t="str">
        <x:v>КОМПЕНСАТОР 3Л 1,6(16)-300-2 44ОСТ34-10</x:v>
      </x:c>
      <x:c r="D32" s="16" t="str">
        <x:v>Компенсаторы</x:v>
      </x:c>
      <x:c r="E32" s="16" t="str">
        <x:v>ШТ</x:v>
      </x:c>
      <x:c r="F32" s="25" t="n">
        <x:v>1</x:v>
      </x:c>
      <x:c r="G32" s="17" t="n">
        <x:v>32478.84</x:v>
      </x:c>
      <x:c r="H32" s="17" t="n">
        <x:f>G32*F32</x:f>
        <x:v>32478.84</x:v>
      </x:c>
      <x:c r="I32" s="26" t="str">
        <x:f>HYPERLINK("https://etp-aktiv.ru/catalog/materialy/truboprovody/2000734200-W111/","Открыть позицию")</x:f>
        <x:v>Открыть позицию</x:v>
      </x:c>
    </x:row>
    <x:row r="33" ht="28" customHeight="1">
      <x:c r="A33" s="16" t="str">
        <x:v>Барнаульская ТЭЦ-2</x:v>
      </x:c>
      <x:c r="B33" s="16" t="str">
        <x:v>2000540015-W111</x:v>
      </x:c>
      <x:c r="C33" s="16" t="str">
        <x:v>КРАН 09Г2С ПП ВОДА 200° ПП 100/25 РП A</x:v>
      </x:c>
      <x:c r="D33" s="16" t="str">
        <x:v>Краны шаров.стальн</x:v>
      </x:c>
      <x:c r="E33" s="16" t="str">
        <x:v>ШТ</x:v>
      </x:c>
      <x:c r="F33" s="25" t="n">
        <x:v>5</x:v>
      </x:c>
      <x:c r="G33" s="17" t="n">
        <x:v>4489.7952</x:v>
      </x:c>
      <x:c r="H33" s="17" t="n">
        <x:f>G33*F33</x:f>
        <x:v>22448.976</x:v>
      </x:c>
      <x:c r="I33" s="26" t="str">
        <x:f>HYPERLINK("https://etp-aktiv.ru/catalog/materialy/truboprovodnaya-armatura-i-komplektuyushchie/2000540015-W111/","Открыть позицию")</x:f>
        <x:v>Открыть позицию</x:v>
      </x:c>
    </x:row>
    <x:row r="34" ht="28" customHeight="1">
      <x:c r="A34" s="16" t="str">
        <x:v>Барнаульская ТЭЦ-2</x:v>
      </x:c>
      <x:c r="B34" s="16" t="str">
        <x:v>2000540021-W111</x:v>
      </x:c>
      <x:c r="C34" s="16" t="str">
        <x:v>КРАН 09Г2С ПП ВОДА 200° ПП 15/40 РП A</x:v>
      </x:c>
      <x:c r="D34" s="16" t="str">
        <x:v>Краны шаров.стальн</x:v>
      </x:c>
      <x:c r="E34" s="16" t="str">
        <x:v>ШТ</x:v>
      </x:c>
      <x:c r="F34" s="25" t="n">
        <x:v>50</x:v>
      </x:c>
      <x:c r="G34" s="17" t="n">
        <x:v>666.8032</x:v>
      </x:c>
      <x:c r="H34" s="17" t="n">
        <x:f>G34*F34</x:f>
        <x:v>33340.159999999996</x:v>
      </x:c>
      <x:c r="I34" s="26" t="str">
        <x:f>HYPERLINK("https://etp-aktiv.ru/catalog/materialy/truboprovodnaya-armatura-i-komplektuyushchie/2000540021-W111/","Открыть позицию")</x:f>
        <x:v>Открыть позицию</x:v>
      </x:c>
    </x:row>
    <x:row r="35" ht="28" customHeight="1">
      <x:c r="A35" s="16" t="str">
        <x:v>Барнаульская ТЭЦ-2</x:v>
      </x:c>
      <x:c r="B35" s="16" t="str">
        <x:v>2000540037-W111</x:v>
      </x:c>
      <x:c r="C35" s="16" t="str">
        <x:v>КРАН 09Г2С ПП ВОДА 200° ПП 32/40 РП A</x:v>
      </x:c>
      <x:c r="D35" s="16" t="str">
        <x:v>Краны шаров.стальн</x:v>
      </x:c>
      <x:c r="E35" s="16" t="str">
        <x:v>ШТ</x:v>
      </x:c>
      <x:c r="F35" s="25" t="n">
        <x:v>5</x:v>
      </x:c>
      <x:c r="G35" s="17" t="n">
        <x:v>1008.2202</x:v>
      </x:c>
      <x:c r="H35" s="17" t="n">
        <x:f>G35*F35</x:f>
        <x:v>5041.101</x:v>
      </x:c>
      <x:c r="I35" s="26" t="str">
        <x:f>HYPERLINK("https://etp-aktiv.ru/catalog/materialy/truboprovodnaya-armatura-i-komplektuyushchie/2000540037-W111/","Открыть позицию")</x:f>
        <x:v>Открыть позицию</x:v>
      </x:c>
    </x:row>
    <x:row r="36" ht="28" customHeight="1">
      <x:c r="A36" s="16" t="str">
        <x:v>Барнаульская ТЭЦ-2</x:v>
      </x:c>
      <x:c r="B36" s="16" t="str">
        <x:v>2000540052-W111</x:v>
      </x:c>
      <x:c r="C36" s="16" t="str">
        <x:v>КРАН 09Г2С ПП ВОДА 200° ПП 80/40 РП A</x:v>
      </x:c>
      <x:c r="D36" s="16" t="str">
        <x:v>Краны шаров.стальн</x:v>
      </x:c>
      <x:c r="E36" s="16" t="str">
        <x:v>ШТ</x:v>
      </x:c>
      <x:c r="F36" s="25" t="n">
        <x:v>5</x:v>
      </x:c>
      <x:c r="G36" s="17" t="n">
        <x:v>2113.0766</x:v>
      </x:c>
      <x:c r="H36" s="17" t="n">
        <x:f>G36*F36</x:f>
        <x:v>10565.383</x:v>
      </x:c>
      <x:c r="I36" s="26" t="str">
        <x:f>HYPERLINK("https://etp-aktiv.ru/catalog/materialy/truboprovodnaya-armatura-i-komplektuyushchie/2000540052-W111/","Открыть позицию")</x:f>
        <x:v>Открыть позицию</x:v>
      </x:c>
    </x:row>
    <x:row r="37" ht="28" customHeight="1">
      <x:c r="A37" s="16" t="str">
        <x:v>Барнаульская ТЭЦ-2</x:v>
      </x:c>
      <x:c r="B37" s="16" t="str">
        <x:v>2000540262-W111</x:v>
      </x:c>
      <x:c r="C37" s="16" t="str">
        <x:v>КРАН СТ20 СП ВОДА 200° М 20/40 РП A</x:v>
      </x:c>
      <x:c r="D37" s="16" t="str">
        <x:v>Краны шаров.стальн</x:v>
      </x:c>
      <x:c r="E37" s="16" t="str">
        <x:v>ШТ</x:v>
      </x:c>
      <x:c r="F37" s="25" t="n">
        <x:v>6</x:v>
      </x:c>
      <x:c r="G37" s="17" t="n">
        <x:v>516.8164</x:v>
      </x:c>
      <x:c r="H37" s="17" t="n">
        <x:f>G37*F37</x:f>
        <x:v>3100.8984</x:v>
      </x:c>
      <x:c r="I37" s="26" t="str">
        <x:f>HYPERLINK("https://etp-aktiv.ru/catalog/materialy/truboprovodnaya-armatura-i-komplektuyushchie/2000540262-W111/","Открыть позицию")</x:f>
        <x:v>Открыть позицию</x:v>
      </x:c>
    </x:row>
    <x:row r="38" ht="28" customHeight="1">
      <x:c r="A38" s="16" t="str">
        <x:v>Барнаульская ТЭЦ-2</x:v>
      </x:c>
      <x:c r="B38" s="16" t="str">
        <x:v>2000331817-W111</x:v>
      </x:c>
      <x:c r="C38" s="16" t="str">
        <x:v>МУФТА ПЕРЕХОДНАЯ PP-R D50*25ММ</x:v>
      </x:c>
      <x:c r="D38" s="16" t="str">
        <x:v>Фитинги труб полимер</x:v>
      </x:c>
      <x:c r="E38" s="16" t="str">
        <x:v>ШТ</x:v>
      </x:c>
      <x:c r="F38" s="25" t="n">
        <x:v>30</x:v>
      </x:c>
      <x:c r="G38" s="17" t="n">
        <x:v>98.0026</x:v>
      </x:c>
      <x:c r="H38" s="17" t="n">
        <x:f>G38*F38</x:f>
        <x:v>2940.078</x:v>
      </x:c>
      <x:c r="I38" s="26" t="str">
        <x:f>HYPERLINK("https://etp-aktiv.ru/catalog/materialy/truboprovody/2000331817-W111/","Открыть позицию")</x:f>
        <x:v>Открыть позицию</x:v>
      </x:c>
    </x:row>
    <x:row r="39" ht="28" customHeight="1">
      <x:c r="A39" s="16" t="str">
        <x:v>Барнаульская ТЭЦ-2</x:v>
      </x:c>
      <x:c r="B39" s="16" t="str">
        <x:v>2000475688-W111</x:v>
      </x:c>
      <x:c r="C39" s="16" t="str">
        <x:v>МУФТА СТ20 DN65 PN16 ГОСТ8966-75</x:v>
      </x:c>
      <x:c r="D39" s="16" t="str">
        <x:v>Детали фасонные</x:v>
      </x:c>
      <x:c r="E39" s="16" t="str">
        <x:v>ШТ</x:v>
      </x:c>
      <x:c r="F39" s="25" t="n">
        <x:v>1</x:v>
      </x:c>
      <x:c r="G39" s="17" t="n">
        <x:v>309.392</x:v>
      </x:c>
      <x:c r="H39" s="17" t="n">
        <x:f>G39*F39</x:f>
        <x:v>309.392</x:v>
      </x:c>
      <x:c r="I39" s="26" t="str">
        <x:f>HYPERLINK("https://etp-aktiv.ru/catalog/materialy/truboprovody/2000475688-W111/","Открыть позицию")</x:f>
        <x:v>Открыть позицию</x:v>
      </x:c>
    </x:row>
    <x:row r="40" ht="28" customHeight="1">
      <x:c r="A40" s="16" t="str">
        <x:v>Барнаульская ТЭЦ-2</x:v>
      </x:c>
      <x:c r="B40" s="16" t="str">
        <x:v>2000554316-W111</x:v>
      </x:c>
      <x:c r="C40" s="16" t="str">
        <x:v>ОТВОД 45° СТ20 DN159*4,5 ГОСТ17375-01</x:v>
      </x:c>
      <x:c r="D40" s="16" t="str">
        <x:v>Детали фасонные</x:v>
      </x:c>
      <x:c r="E40" s="16" t="str">
        <x:v>ШТ</x:v>
      </x:c>
      <x:c r="F40" s="25" t="n">
        <x:v>8</x:v>
      </x:c>
      <x:c r="G40" s="17" t="n">
        <x:v>556.4907999999999</x:v>
      </x:c>
      <x:c r="H40" s="17" t="n">
        <x:f>G40*F40</x:f>
        <x:v>4451.926399999999</x:v>
      </x:c>
      <x:c r="I40" s="26" t="str">
        <x:f>HYPERLINK("https://etp-aktiv.ru/catalog/materialy/truboprovody/2000554316-W111/","Открыть позицию")</x:f>
        <x:v>Открыть позицию</x:v>
      </x:c>
    </x:row>
    <x:row r="41" ht="28" customHeight="1">
      <x:c r="A41" s="16" t="str">
        <x:v>Барнаульская ТЭЦ-2</x:v>
      </x:c>
      <x:c r="B41" s="16" t="str">
        <x:v>2000165591-W111</x:v>
      </x:c>
      <x:c r="C41" s="16" t="str">
        <x:v>ОТВОД 45° СТ20 DN57 3 ГОСТ17375-01</x:v>
      </x:c>
      <x:c r="D41" s="16" t="str">
        <x:v>Детали фасонные</x:v>
      </x:c>
      <x:c r="E41" s="16" t="str">
        <x:v>ШТ</x:v>
      </x:c>
      <x:c r="F41" s="25" t="n">
        <x:v>18</x:v>
      </x:c>
      <x:c r="G41" s="17" t="n">
        <x:v>66.49</x:v>
      </x:c>
      <x:c r="H41" s="17" t="n">
        <x:f>G41*F41</x:f>
        <x:v>1196.82</x:v>
      </x:c>
      <x:c r="I41" s="26" t="str">
        <x:f>HYPERLINK("https://etp-aktiv.ru/catalog/materialy/truboprovody/2000165591-W111/","Открыть позицию")</x:f>
        <x:v>Открыть позицию</x:v>
      </x:c>
    </x:row>
    <x:row r="42" ht="28" customHeight="1">
      <x:c r="A42" s="16" t="str">
        <x:v>Барнаульская ТЭЦ-2</x:v>
      </x:c>
      <x:c r="B42" s="16" t="str">
        <x:v>2000501118-W111</x:v>
      </x:c>
      <x:c r="C42" s="16" t="str">
        <x:v>ОТВОД 90 СТ20 DN15 2,8 PN16 ГОСТ3262-75</x:v>
      </x:c>
      <x:c r="D42" s="16" t="str">
        <x:v>Детали фасонные</x:v>
      </x:c>
      <x:c r="E42" s="16" t="str">
        <x:v>ШТ</x:v>
      </x:c>
      <x:c r="F42" s="25" t="n">
        <x:v>12</x:v>
      </x:c>
      <x:c r="G42" s="17" t="n">
        <x:v>66.49</x:v>
      </x:c>
      <x:c r="H42" s="17" t="n">
        <x:f>G42*F42</x:f>
        <x:v>797.8799999999999</x:v>
      </x:c>
      <x:c r="I42" s="26" t="str">
        <x:f>HYPERLINK("https://etp-aktiv.ru/catalog/materialy/truboprovody/2000501118-W111/","Открыть позицию")</x:f>
        <x:v>Открыть позицию</x:v>
      </x:c>
    </x:row>
    <x:row r="43" ht="28" customHeight="1">
      <x:c r="A43" s="16" t="str">
        <x:v>Барнаульская ТЭЦ-2</x:v>
      </x:c>
      <x:c r="B43" s="16" t="str">
        <x:v>2000554415-W111</x:v>
      </x:c>
      <x:c r="C43" s="16" t="str">
        <x:v>ОТВОД 90° 12Х18Н10Т DN159*6 ГОСТ17375-01</x:v>
      </x:c>
      <x:c r="D43" s="16" t="str">
        <x:v>Детали фасонные</x:v>
      </x:c>
      <x:c r="E43" s="16" t="str">
        <x:v>ШТ</x:v>
      </x:c>
      <x:c r="F43" s="25" t="n">
        <x:v>2</x:v>
      </x:c>
      <x:c r="G43" s="17" t="n">
        <x:v>5479.1176</x:v>
      </x:c>
      <x:c r="H43" s="17" t="n">
        <x:f>G43*F43</x:f>
        <x:v>10958.2352</x:v>
      </x:c>
      <x:c r="I43" s="26" t="str">
        <x:f>HYPERLINK("https://etp-aktiv.ru/catalog/materialy/truboprovody/2000554415-W111/","Открыть позицию")</x:f>
        <x:v>Открыть позицию</x:v>
      </x:c>
    </x:row>
    <x:row r="44" ht="28" customHeight="1">
      <x:c r="A44" s="16" t="str">
        <x:v>Барнаульская ТЭЦ-2</x:v>
      </x:c>
      <x:c r="B44" s="16" t="str">
        <x:v>2000225908-W111</x:v>
      </x:c>
      <x:c r="C44" s="16" t="str">
        <x:v>ОТВОД 90° 12Х1МФ 28*4,5 10 ОСТ108.321.19</x:v>
      </x:c>
      <x:c r="D44" s="16" t="str">
        <x:v>Детали фасонные</x:v>
      </x:c>
      <x:c r="E44" s="16" t="str">
        <x:v>ШТ</x:v>
      </x:c>
      <x:c r="F44" s="25" t="n">
        <x:v>4</x:v>
      </x:c>
      <x:c r="G44" s="17" t="n">
        <x:v>277.6232</x:v>
      </x:c>
      <x:c r="H44" s="17" t="n">
        <x:f>G44*F44</x:f>
        <x:v>1110.4928</x:v>
      </x:c>
      <x:c r="I44" s="26" t="str">
        <x:f>HYPERLINK("https://etp-aktiv.ru/catalog/materialy/truboprovody/2000225908-W111/","Открыть позицию")</x:f>
        <x:v>Открыть позицию</x:v>
      </x:c>
    </x:row>
    <x:row r="45" ht="28" customHeight="1">
      <x:c r="A45" s="16" t="str">
        <x:v>Барнаульская ТЭЦ-2</x:v>
      </x:c>
      <x:c r="B45" s="16" t="str">
        <x:v>2000740858-W111</x:v>
      </x:c>
      <x:c r="C45" s="16" t="str">
        <x:v>ОТВОД 90° 76*3,5 СТ20 ППМИ53ММ ГОСТ17375</x:v>
      </x:c>
      <x:c r="D45" s="16" t="str">
        <x:v>Труб/элем ТИ и Футер</x:v>
      </x:c>
      <x:c r="E45" s="16" t="str">
        <x:v>ШТ</x:v>
      </x:c>
      <x:c r="F45" s="25" t="n">
        <x:v>4</x:v>
      </x:c>
      <x:c r="G45" s="17" t="n">
        <x:v>2963.9289999999996</x:v>
      </x:c>
      <x:c r="H45" s="17" t="n">
        <x:f>G45*F45</x:f>
        <x:v>11855.715999999999</x:v>
      </x:c>
      <x:c r="I45" s="26" t="str">
        <x:f>HYPERLINK("https://etp-aktiv.ru/catalog/materialy/truboprovody/2000740858-W111/","Открыть позицию")</x:f>
        <x:v>Открыть позицию</x:v>
      </x:c>
    </x:row>
    <x:row r="46" ht="28" customHeight="1">
      <x:c r="A46" s="16" t="str">
        <x:v>Барнаульская ТЭЦ-2</x:v>
      </x:c>
      <x:c r="B46" s="16" t="str">
        <x:v>2000554407-W111</x:v>
      </x:c>
      <x:c r="C46" s="16" t="str">
        <x:v>ОТВОД 90° СТ20 DN133*6 ГОСТ17375-01</x:v>
      </x:c>
      <x:c r="D46" s="16" t="str">
        <x:v>Детали фасонные</x:v>
      </x:c>
      <x:c r="E46" s="16" t="str">
        <x:v>ШТ</x:v>
      </x:c>
      <x:c r="F46" s="25" t="n">
        <x:v>6</x:v>
      </x:c>
      <x:c r="G46" s="17" t="n">
        <x:v>735.5258</x:v>
      </x:c>
      <x:c r="H46" s="17" t="n">
        <x:f>G46*F46</x:f>
        <x:v>4413.1548</x:v>
      </x:c>
      <x:c r="I46" s="26" t="str">
        <x:f>HYPERLINK("https://etp-aktiv.ru/catalog/materialy/truboprovody/2000554407-W111/","Открыть позицию")</x:f>
        <x:v>Открыть позицию</x:v>
      </x:c>
    </x:row>
    <x:row r="47" ht="28" customHeight="1">
      <x:c r="A47" s="16" t="str">
        <x:v>Барнаульская ТЭЦ-2</x:v>
      </x:c>
      <x:c r="B47" s="16" t="str">
        <x:v>2000140258-W111</x:v>
      </x:c>
      <x:c r="C47" s="16" t="str">
        <x:v>ОТВОД 90° СТ20 DN159 5 ГОСТ17375-01</x:v>
      </x:c>
      <x:c r="D47" s="16" t="str">
        <x:v>Детали фасонные</x:v>
      </x:c>
      <x:c r="E47" s="16" t="str">
        <x:v>ШТ</x:v>
      </x:c>
      <x:c r="F47" s="25" t="n">
        <x:v>2</x:v>
      </x:c>
      <x:c r="G47" s="17" t="n">
        <x:v>937.9848000000001</x:v>
      </x:c>
      <x:c r="H47" s="17" t="n">
        <x:f>G47*F47</x:f>
        <x:v>1875.9696000000001</x:v>
      </x:c>
      <x:c r="I47" s="26" t="str">
        <x:f>HYPERLINK("https://etp-aktiv.ru/catalog/materialy/truboprovody/2000140258-W111/","Открыть позицию")</x:f>
        <x:v>Открыть позицию</x:v>
      </x:c>
    </x:row>
    <x:row r="48" ht="28" customHeight="1">
      <x:c r="A48" s="16" t="str">
        <x:v>Барнаульская ТЭЦ-2</x:v>
      </x:c>
      <x:c r="B48" s="16" t="str">
        <x:v>2000140265-W111</x:v>
      </x:c>
      <x:c r="C48" s="16" t="str">
        <x:v>ОТВОД 90° СТ20 DN159 6 ГОСТ17375-01</x:v>
      </x:c>
      <x:c r="D48" s="16" t="str">
        <x:v>Детали фасонные</x:v>
      </x:c>
      <x:c r="E48" s="16" t="str">
        <x:v>ШТ</x:v>
      </x:c>
      <x:c r="F48" s="25" t="n">
        <x:v>13</x:v>
      </x:c>
      <x:c r="G48" s="17" t="n">
        <x:v>1408.185</x:v>
      </x:c>
      <x:c r="H48" s="17" t="n">
        <x:f>G48*F48</x:f>
        <x:v>18306.405</x:v>
      </x:c>
      <x:c r="I48" s="26" t="str">
        <x:f>HYPERLINK("https://etp-aktiv.ru/catalog/materialy/truboprovody/2000140265-W111/","Открыть позицию")</x:f>
        <x:v>Открыть позицию</x:v>
      </x:c>
    </x:row>
    <x:row r="49" ht="28" customHeight="1">
      <x:c r="A49" s="16" t="str">
        <x:v>Барнаульская ТЭЦ-2</x:v>
      </x:c>
      <x:c r="B49" s="16" t="str">
        <x:v>2000568200-W111</x:v>
      </x:c>
      <x:c r="C49" s="16" t="str">
        <x:v>ОТВОД П 90° СТ20 219*6 ГОСТ17375-01</x:v>
      </x:c>
      <x:c r="D49" s="16" t="str">
        <x:v>Детали фасонные</x:v>
      </x:c>
      <x:c r="E49" s="16" t="str">
        <x:v>ШТ</x:v>
      </x:c>
      <x:c r="F49" s="25" t="n">
        <x:v>8</x:v>
      </x:c>
      <x:c r="G49" s="17" t="n">
        <x:v>1815.1281999999999</x:v>
      </x:c>
      <x:c r="H49" s="17" t="n">
        <x:f>G49*F49</x:f>
        <x:v>14521.025599999999</x:v>
      </x:c>
      <x:c r="I49" s="26" t="str">
        <x:f>HYPERLINK("https://etp-aktiv.ru/catalog/materialy/truboprovody/2000568200-W111/","Открыть позицию")</x:f>
        <x:v>Открыть позицию</x:v>
      </x:c>
    </x:row>
    <x:row r="50" ht="28" customHeight="1">
      <x:c r="A50" s="16" t="str">
        <x:v>Барнаульская ТЭЦ-2</x:v>
      </x:c>
      <x:c r="B50" s="16" t="str">
        <x:v>2000554627-W111</x:v>
      </x:c>
      <x:c r="C50" s="16" t="str">
        <x:v>ОТВОД П 90° СТ20 DN159*6 ГОСТ17375-01</x:v>
      </x:c>
      <x:c r="D50" s="16" t="str">
        <x:v>Детали фасонные</x:v>
      </x:c>
      <x:c r="E50" s="16" t="str">
        <x:v>ШТ</x:v>
      </x:c>
      <x:c r="F50" s="25" t="n">
        <x:v>5</x:v>
      </x:c>
      <x:c r="G50" s="17" t="n">
        <x:v>1049.2731999999999</x:v>
      </x:c>
      <x:c r="H50" s="17" t="n">
        <x:f>G50*F50</x:f>
        <x:v>5246.365999999999</x:v>
      </x:c>
      <x:c r="I50" s="26" t="str">
        <x:f>HYPERLINK("https://etp-aktiv.ru/catalog/materialy/truboprovody/2000554627-W111/","Открыть позицию")</x:f>
        <x:v>Открыть позицию</x:v>
      </x:c>
    </x:row>
    <x:row r="51" ht="28" customHeight="1">
      <x:c r="A51" s="16" t="str">
        <x:v>Барнаульская ТЭЦ-2</x:v>
      </x:c>
      <x:c r="B51" s="16" t="str">
        <x:v>2000566091-W111</x:v>
      </x:c>
      <x:c r="C51" s="16" t="str">
        <x:v>ОТВОД П90° СТ20 108*6 ОСТ34.10.699</x:v>
      </x:c>
      <x:c r="D51" s="16" t="str">
        <x:v>Детали фасонные</x:v>
      </x:c>
      <x:c r="E51" s="16" t="str">
        <x:v>ШТ</x:v>
      </x:c>
      <x:c r="F51" s="25" t="n">
        <x:v>28</x:v>
      </x:c>
      <x:c r="G51" s="17" t="n">
        <x:v>531.2734</x:v>
      </x:c>
      <x:c r="H51" s="17" t="n">
        <x:f>G51*F51</x:f>
        <x:v>14875.655200000001</x:v>
      </x:c>
      <x:c r="I51" s="26" t="str">
        <x:f>HYPERLINK("https://etp-aktiv.ru/catalog/materialy/truboprovody/2000566091-W111/","Открыть позицию")</x:f>
        <x:v>Открыть позицию</x:v>
      </x:c>
    </x:row>
    <x:row r="52" ht="28" customHeight="1">
      <x:c r="A52" s="16" t="str">
        <x:v>Барнаульская ТЭЦ-2</x:v>
      </x:c>
      <x:c r="B52" s="16" t="str">
        <x:v>2000576093-W111</x:v>
      </x:c>
      <x:c r="C52" s="16" t="str">
        <x:v>ПЕРЕХОД К 10Г2 108*4-89*3,5</x:v>
      </x:c>
      <x:c r="D52" s="16" t="str">
        <x:v>Детали фасонные</x:v>
      </x:c>
      <x:c r="E52" s="16" t="str">
        <x:v>ШТ</x:v>
      </x:c>
      <x:c r="F52" s="25" t="n">
        <x:v>6</x:v>
      </x:c>
      <x:c r="G52" s="17" t="n">
        <x:v>276.48859999999996</x:v>
      </x:c>
      <x:c r="H52" s="17" t="n">
        <x:f>G52*F52</x:f>
        <x:v>1658.9316</x:v>
      </x:c>
      <x:c r="I52" s="26" t="str">
        <x:f>HYPERLINK("https://etp-aktiv.ru/catalog/materialy/truboprovody/2000576093-W111/","Открыть позицию")</x:f>
        <x:v>Открыть позицию</x:v>
      </x:c>
    </x:row>
    <x:row r="53" ht="28" customHeight="1">
      <x:c r="A53" s="16" t="str">
        <x:v>Барнаульская ТЭЦ-2</x:v>
      </x:c>
      <x:c r="B53" s="16" t="str">
        <x:v>2000673772-W111</x:v>
      </x:c>
      <x:c r="C53" s="16" t="str">
        <x:v>ПЕРЕХОД К 12Х18Н10Т 159*4,5-108*4 17378</x:v>
      </x:c>
      <x:c r="D53" s="16" t="str">
        <x:v>Детали фасонные</x:v>
      </x:c>
      <x:c r="E53" s="16" t="str">
        <x:v>ШТ</x:v>
      </x:c>
      <x:c r="F53" s="25" t="n">
        <x:v>3</x:v>
      </x:c>
      <x:c r="G53" s="17" t="n">
        <x:v>2796.3986</x:v>
      </x:c>
      <x:c r="H53" s="17" t="n">
        <x:f>G53*F53</x:f>
        <x:v>8389.1958</x:v>
      </x:c>
      <x:c r="I53" s="26" t="str">
        <x:f>HYPERLINK("https://etp-aktiv.ru/catalog/materialy/truboprovody/2000673772-W111/","Открыть позицию")</x:f>
        <x:v>Открыть позицию</x:v>
      </x:c>
    </x:row>
    <x:row r="54" ht="28" customHeight="1">
      <x:c r="A54" s="16" t="str">
        <x:v>Барнаульская ТЭЦ-2</x:v>
      </x:c>
      <x:c r="B54" s="16" t="str">
        <x:v>2000554944-W111</x:v>
      </x:c>
      <x:c r="C54" s="16" t="str">
        <x:v>ПЕРЕХОД К СТ20 273*10-219*8 ГОСТ17378-01</x:v>
      </x:c>
      <x:c r="D54" s="16" t="str">
        <x:v>Детали фасонные</x:v>
      </x:c>
      <x:c r="E54" s="16" t="str">
        <x:v>ШТ</x:v>
      </x:c>
      <x:c r="F54" s="25" t="n">
        <x:v>1</x:v>
      </x:c>
      <x:c r="G54" s="17" t="n">
        <x:v>1081.53</x:v>
      </x:c>
      <x:c r="H54" s="17" t="n">
        <x:f>G54*F54</x:f>
        <x:v>1081.53</x:v>
      </x:c>
      <x:c r="I54" s="26" t="str">
        <x:f>HYPERLINK("https://etp-aktiv.ru/catalog/materialy/truboprovody/2000554944-W111/","Открыть позицию")</x:f>
        <x:v>Открыть позицию</x:v>
      </x:c>
    </x:row>
    <x:row r="55" ht="28" customHeight="1">
      <x:c r="A55" s="16" t="str">
        <x:v>Барнаульская ТЭЦ-2</x:v>
      </x:c>
      <x:c r="B55" s="16" t="str">
        <x:v>2000554970-W111</x:v>
      </x:c>
      <x:c r="C55" s="16" t="str">
        <x:v>ПЕРЕХОД К СТ20 377*10-325*8 ГОСТ17378-01</x:v>
      </x:c>
      <x:c r="D55" s="16" t="str">
        <x:v>Детали фасонные</x:v>
      </x:c>
      <x:c r="E55" s="16" t="str">
        <x:v>ШТ</x:v>
      </x:c>
      <x:c r="F55" s="25" t="n">
        <x:v>4</x:v>
      </x:c>
      <x:c r="G55" s="17" t="n">
        <x:v>4151.8186</x:v>
      </x:c>
      <x:c r="H55" s="17" t="n">
        <x:f>G55*F55</x:f>
        <x:v>16607.2744</x:v>
      </x:c>
      <x:c r="I55" s="26" t="str">
        <x:f>HYPERLINK("https://etp-aktiv.ru/catalog/materialy/truboprovody/2000554970-W111/","Открыть позицию")</x:f>
        <x:v>Открыть позицию</x:v>
      </x:c>
    </x:row>
    <x:row r="56" ht="28" customHeight="1">
      <x:c r="A56" s="16" t="str">
        <x:v>Барнаульская ТЭЦ-2</x:v>
      </x:c>
      <x:c r="B56" s="16" t="str">
        <x:v>2000555099-W111</x:v>
      </x:c>
      <x:c r="C56" s="16" t="str">
        <x:v>ПЕРЕХОД ПК 09Г2С 273*10-219*8 И1 Г17378</x:v>
      </x:c>
      <x:c r="D56" s="16" t="str">
        <x:v>Детали фасонные</x:v>
      </x:c>
      <x:c r="E56" s="16" t="str">
        <x:v>ШТ</x:v>
      </x:c>
      <x:c r="F56" s="25" t="n">
        <x:v>2</x:v>
      </x:c>
      <x:c r="G56" s="17" t="n">
        <x:v>1903.7124000000001</x:v>
      </x:c>
      <x:c r="H56" s="17" t="n">
        <x:f>G56*F56</x:f>
        <x:v>3807.4248000000002</x:v>
      </x:c>
      <x:c r="I56" s="26" t="str">
        <x:f>HYPERLINK("https://etp-aktiv.ru/catalog/materialy/truboprovody/2000555099-W111/","Открыть позицию")</x:f>
        <x:v>Открыть позицию</x:v>
      </x:c>
    </x:row>
    <x:row r="57" ht="28" customHeight="1">
      <x:c r="A57" s="16" t="str">
        <x:v>Барнаульская ТЭЦ-2</x:v>
      </x:c>
      <x:c r="B57" s="16" t="str">
        <x:v>2000553357-W111</x:v>
      </x:c>
      <x:c r="C57" s="16" t="str">
        <x:v>ПРУЖИНА 19 ОСТ108.764.01-80</x:v>
      </x:c>
      <x:c r="D57" s="16" t="str">
        <x:v>Система опорн-подвес</x:v>
      </x:c>
      <x:c r="E57" s="16" t="str">
        <x:v>ШТ</x:v>
      </x:c>
      <x:c r="F57" s="25" t="n">
        <x:v>2</x:v>
      </x:c>
      <x:c r="G57" s="17" t="n">
        <x:v>2524.0092</x:v>
      </x:c>
      <x:c r="H57" s="17" t="n">
        <x:f>G57*F57</x:f>
        <x:v>5048.0184</x:v>
      </x:c>
      <x:c r="I57" s="26" t="str">
        <x:f>HYPERLINK("https://etp-aktiv.ru/catalog/materialy/truboprovody/2000553357-W111/","Открыть позицию")</x:f>
        <x:v>Открыть позицию</x:v>
      </x:c>
    </x:row>
    <x:row r="58" ht="28" customHeight="1">
      <x:c r="A58" s="16" t="str">
        <x:v>Барнаульская ТЭЦ-2</x:v>
      </x:c>
      <x:c r="B58" s="16" t="str">
        <x:v>2000526748-W111</x:v>
      </x:c>
      <x:c r="C58" s="16" t="str">
        <x:v>ПРУЖИНА СТП 57-77-03</x:v>
      </x:c>
      <x:c r="D58" s="16" t="str">
        <x:v>ЗЧ трубопр арматуры</x:v>
      </x:c>
      <x:c r="E58" s="16" t="str">
        <x:v>ШТ</x:v>
      </x:c>
      <x:c r="F58" s="25" t="n">
        <x:v>12</x:v>
      </x:c>
      <x:c r="G58" s="17" t="n">
        <x:v>2515.5424</x:v>
      </x:c>
      <x:c r="H58" s="17" t="n">
        <x:f>G58*F58</x:f>
        <x:v>30186.508799999996</x:v>
      </x:c>
      <x:c r="I58" s="26" t="str">
        <x:f>HYPERLINK("https://etp-aktiv.ru/catalog/materialy/truboprovodnaya-armatura-i-komplektuyushchie/2000526748-W111/","Открыть позицию")</x:f>
        <x:v>Открыть позицию</x:v>
      </x:c>
    </x:row>
    <x:row r="59" ht="28" customHeight="1">
      <x:c r="A59" s="16" t="str">
        <x:v>Барнаульская ТЭЦ-2</x:v>
      </x:c>
      <x:c r="B59" s="16" t="str">
        <x:v>2000728258-W111</x:v>
      </x:c>
      <x:c r="C59" s="16" t="str">
        <x:v>ТРОЙНИК 09Г2С 159*4,5 ГОСТ17376-01</x:v>
      </x:c>
      <x:c r="D59" s="16" t="str">
        <x:v>Детали фасонные</x:v>
      </x:c>
      <x:c r="E59" s="16" t="str">
        <x:v>ШТ</x:v>
      </x:c>
      <x:c r="F59" s="25" t="n">
        <x:v>3</x:v>
      </x:c>
      <x:c r="G59" s="17" t="n">
        <x:v>1046.4672</x:v>
      </x:c>
      <x:c r="H59" s="17" t="n">
        <x:f>G59*F59</x:f>
        <x:v>3139.4016</x:v>
      </x:c>
      <x:c r="I59" s="26" t="str">
        <x:f>HYPERLINK("https://etp-aktiv.ru/catalog/materialy/truboprovody/2000728258-W111/","Открыть позицию")</x:f>
        <x:v>Открыть позицию</x:v>
      </x:c>
    </x:row>
    <x:row r="60" ht="28" customHeight="1">
      <x:c r="A60" s="16" t="str">
        <x:v>Барнаульская ТЭЦ-2</x:v>
      </x:c>
      <x:c r="B60" s="16" t="str">
        <x:v>2000555153-W111</x:v>
      </x:c>
      <x:c r="C60" s="16" t="str">
        <x:v>ТРОЙНИК СТ20 108*4-89*4 ГОСТ17376-01</x:v>
      </x:c>
      <x:c r="D60" s="16" t="str">
        <x:v>Детали фасонные</x:v>
      </x:c>
      <x:c r="E60" s="16" t="str">
        <x:v>ШТ</x:v>
      </x:c>
      <x:c r="F60" s="25" t="n">
        <x:v>6</x:v>
      </x:c>
      <x:c r="G60" s="17" t="n">
        <x:v>276.48859999999996</x:v>
      </x:c>
      <x:c r="H60" s="17" t="n">
        <x:f>G60*F60</x:f>
        <x:v>1658.9316</x:v>
      </x:c>
      <x:c r="I60" s="26" t="str">
        <x:f>HYPERLINK("https://etp-aktiv.ru/catalog/materialy/truboprovody/2000555153-W111/","Открыть позицию")</x:f>
        <x:v>Открыть позицию</x:v>
      </x:c>
    </x:row>
    <x:row r="61" ht="28" customHeight="1">
      <x:c r="A61" s="16" t="str">
        <x:v>Барнаульская ТЭЦ-2</x:v>
      </x:c>
      <x:c r="B61" s="16" t="str">
        <x:v>2000335384-W111</x:v>
      </x:c>
      <x:c r="C61" s="16" t="str">
        <x:v>ТРОЙНИК СТ20 159*4,5-108*4 ГОСТ17376-200</x:v>
      </x:c>
      <x:c r="D61" s="16" t="str">
        <x:v>Детали фасонные</x:v>
      </x:c>
      <x:c r="E61" s="16" t="str">
        <x:v>ШТ</x:v>
      </x:c>
      <x:c r="F61" s="25" t="n">
        <x:v>6</x:v>
      </x:c>
      <x:c r="G61" s="17" t="n">
        <x:v>1046.4672</x:v>
      </x:c>
      <x:c r="H61" s="17" t="n">
        <x:f>G61*F61</x:f>
        <x:v>6278.8032</x:v>
      </x:c>
      <x:c r="I61" s="26" t="str">
        <x:f>HYPERLINK("https://etp-aktiv.ru/catalog/materialy/truboprovody/2000335384-W111/","Открыть позицию")</x:f>
        <x:v>Открыть позицию</x:v>
      </x:c>
    </x:row>
    <x:row r="62" ht="28" customHeight="1">
      <x:c r="A62" s="16" t="str">
        <x:v>Барнаульская ТЭЦ-2</x:v>
      </x:c>
      <x:c r="B62" s="16" t="str">
        <x:v>2000555314-W111</x:v>
      </x:c>
      <x:c r="C62" s="16" t="str">
        <x:v>ТРОЙНИК СТ20 89*3,5-57*3 ГОСТ17376-01</x:v>
      </x:c>
      <x:c r="D62" s="16" t="str">
        <x:v>Детали фасонные</x:v>
      </x:c>
      <x:c r="E62" s="16" t="str">
        <x:v>ШТ</x:v>
      </x:c>
      <x:c r="F62" s="25" t="n">
        <x:v>30</x:v>
      </x:c>
      <x:c r="G62" s="17" t="n">
        <x:v>346.49219999999997</x:v>
      </x:c>
      <x:c r="H62" s="17" t="n">
        <x:f>G62*F62</x:f>
        <x:v>10394.766</x:v>
      </x:c>
      <x:c r="I62" s="26" t="str">
        <x:f>HYPERLINK("https://etp-aktiv.ru/catalog/materialy/truboprovody/2000555314-W111/","Открыть позицию")</x:f>
        <x:v>Открыть позицию</x:v>
      </x:c>
    </x:row>
    <x:row r="63" ht="28" customHeight="1">
      <x:c r="A63" s="16" t="str">
        <x:v>Барнаульская ТЭЦ-2</x:v>
      </x:c>
      <x:c r="B63" s="16" t="str">
        <x:v>2000560349-W111</x:v>
      </x:c>
      <x:c r="C63" s="16" t="str">
        <x:v>ТРУБА 09Г2С 219*8 ТУ14-3Р-1128-07</x:v>
      </x:c>
      <x:c r="D63" s="16" t="str">
        <x:v>Трубы черные бесшов</x:v>
      </x:c>
      <x:c r="E63" s="16" t="str">
        <x:v>Т</x:v>
      </x:c>
      <x:c r="F63" s="30" t="n">
        <x:v>0.072</x:v>
      </x:c>
      <x:c r="G63" s="17" t="n">
        <x:v>65331</x:v>
      </x:c>
      <x:c r="H63" s="17" t="n">
        <x:f>G63*F63</x:f>
        <x:v>4703.831999999999</x:v>
      </x:c>
      <x:c r="I63" s="26" t="str">
        <x:f>HYPERLINK("https://etp-aktiv.ru/catalog/materialy/truby-stalnye-i-polimernye/2000560349-W111/","Открыть позицию")</x:f>
        <x:v>Открыть позицию</x:v>
      </x:c>
    </x:row>
    <x:row r="64" ht="28" customHeight="1">
      <x:c r="A64" s="16" t="str">
        <x:v>Барнаульская ТЭЦ-2</x:v>
      </x:c>
      <x:c r="B64" s="16" t="str">
        <x:v>2000560637-W111</x:v>
      </x:c>
      <x:c r="C64" s="16" t="str">
        <x:v>ТРУБА 12Х18Н10Т 108*6 ГОСТ9940-81</x:v>
      </x:c>
      <x:c r="D64" s="16" t="str">
        <x:v>ТрбНж(свр/бш)КрмКтВД</x:v>
      </x:c>
      <x:c r="E64" s="16" t="str">
        <x:v>Т</x:v>
      </x:c>
      <x:c r="F64" s="30" t="n">
        <x:v>0.052</x:v>
      </x:c>
      <x:c r="G64" s="17" t="n">
        <x:v>821406.9436</x:v>
      </x:c>
      <x:c r="H64" s="17" t="n">
        <x:f>G64*F64</x:f>
        <x:v>42713.161067199995</x:v>
      </x:c>
      <x:c r="I64" s="26" t="str">
        <x:f>HYPERLINK("https://etp-aktiv.ru/catalog/materialy/truby-stalnye-i-polimernye/2000560637-W111/","Открыть позицию")</x:f>
        <x:v>Открыть позицию</x:v>
      </x:c>
    </x:row>
    <x:row r="65" ht="28" customHeight="1">
      <x:c r="A65" s="16" t="str">
        <x:v>Барнаульская ТЭЦ-2</x:v>
      </x:c>
      <x:c r="B65" s="16" t="str">
        <x:v>2000560648-W111</x:v>
      </x:c>
      <x:c r="C65" s="16" t="str">
        <x:v>ТРУБА 12Х18Н10Т 16*2 ГОСТ9941-81</x:v>
      </x:c>
      <x:c r="D65" s="16" t="str">
        <x:v>ТрбНж(свр/бш)КрмКтВД</x:v>
      </x:c>
      <x:c r="E65" s="16" t="str">
        <x:v>Т</x:v>
      </x:c>
      <x:c r="F65" s="30" t="n">
        <x:v>0.004</x:v>
      </x:c>
      <x:c r="G65" s="17" t="n">
        <x:v>823500</x:v>
      </x:c>
      <x:c r="H65" s="17" t="n">
        <x:f>G65*F65</x:f>
        <x:v>3294</x:v>
      </x:c>
      <x:c r="I65" s="26" t="str">
        <x:f>HYPERLINK("https://etp-aktiv.ru/catalog/materialy/truby-stalnye-i-polimernye/2000560648-W111/","Открыть позицию")</x:f>
        <x:v>Открыть позицию</x:v>
      </x:c>
    </x:row>
    <x:row r="66" ht="28" customHeight="1">
      <x:c r="A66" s="16" t="str">
        <x:v>Барнаульская ТЭЦ-2</x:v>
      </x:c>
      <x:c r="B66" s="16" t="str">
        <x:v>2000546003-W111</x:v>
      </x:c>
      <x:c r="C66" s="16" t="str">
        <x:v>ТРУБА 12Х1МФ 133*13 ТУ14-3Р-55-01</x:v>
      </x:c>
      <x:c r="D66" s="16" t="str">
        <x:v>Трубы котельные в/д</x:v>
      </x:c>
      <x:c r="E66" s="16" t="str">
        <x:v>Т</x:v>
      </x:c>
      <x:c r="F66" s="30" t="n">
        <x:v>0.099</x:v>
      </x:c>
      <x:c r="G66" s="17" t="n">
        <x:v>58331.25</x:v>
      </x:c>
      <x:c r="H66" s="17" t="n">
        <x:f>G66*F66</x:f>
        <x:v>5774.79375</x:v>
      </x:c>
      <x:c r="I66" s="26" t="str">
        <x:f>HYPERLINK("https://etp-aktiv.ru/catalog/materialy/truby-stalnye-i-polimernye/2000546003-W111/","Открыть позицию")</x:f>
        <x:v>Открыть позицию</x:v>
      </x:c>
    </x:row>
    <x:row r="67" ht="28" customHeight="1">
      <x:c r="A67" s="16" t="str">
        <x:v>Барнаульская ТЭЦ-2</x:v>
      </x:c>
      <x:c r="B67" s="16" t="str">
        <x:v>2000546078-W111</x:v>
      </x:c>
      <x:c r="C67" s="16" t="str">
        <x:v>ТРУБА 12Х1МФ 38*4 ТУ14-3Р-55-01</x:v>
      </x:c>
      <x:c r="D67" s="16" t="str">
        <x:v>Трубы котельные в/д</x:v>
      </x:c>
      <x:c r="E67" s="16" t="str">
        <x:v>Т</x:v>
      </x:c>
      <x:c r="F67" s="30" t="n">
        <x:v>0.012</x:v>
      </x:c>
      <x:c r="G67" s="17" t="n">
        <x:v>107288.8984</x:v>
      </x:c>
      <x:c r="H67" s="17" t="n">
        <x:f>G67*F67</x:f>
        <x:v>1287.4667808000002</x:v>
      </x:c>
      <x:c r="I67" s="26" t="str">
        <x:f>HYPERLINK("https://etp-aktiv.ru/catalog/materialy/truby-stalnye-i-polimernye/2000546078-W111/","Открыть позицию")</x:f>
        <x:v>Открыть позицию</x:v>
      </x:c>
    </x:row>
    <x:row r="68" ht="28" customHeight="1">
      <x:c r="A68" s="16" t="str">
        <x:v>Барнаульская ТЭЦ-2</x:v>
      </x:c>
      <x:c r="B68" s="16" t="str">
        <x:v>2000546002-W111</x:v>
      </x:c>
      <x:c r="C68" s="16" t="str">
        <x:v>ТРУБА 12Х1МФ 38*4,5 ТУ14-3Р-55-01</x:v>
      </x:c>
      <x:c r="D68" s="16" t="str">
        <x:v>Трубы котельные в/д</x:v>
      </x:c>
      <x:c r="E68" s="16" t="str">
        <x:v>Т</x:v>
      </x:c>
      <x:c r="F68" s="30" t="n">
        <x:v>0.187</x:v>
      </x:c>
      <x:c r="G68" s="17" t="n">
        <x:v>150737.527</x:v>
      </x:c>
      <x:c r="H68" s="17" t="n">
        <x:f>G68*F68</x:f>
        <x:v>28187.917549</x:v>
      </x:c>
      <x:c r="I68" s="26" t="str">
        <x:f>HYPERLINK("https://etp-aktiv.ru/catalog/materialy/truby-stalnye-i-polimernye/2000546002-W111/","Открыть позицию")</x:f>
        <x:v>Открыть позицию</x:v>
      </x:c>
    </x:row>
    <x:row r="69" ht="28" customHeight="1">
      <x:c r="A69" s="16" t="str">
        <x:v>Барнаульская ТЭЦ-2</x:v>
      </x:c>
      <x:c r="B69" s="16" t="str">
        <x:v>2000545983-W111</x:v>
      </x:c>
      <x:c r="C69" s="16" t="str">
        <x:v>ТРУБА 12Х1МФ 42*4 ТУ14-3Р-55-01</x:v>
      </x:c>
      <x:c r="D69" s="16" t="str">
        <x:v>Трубы котельные в/д</x:v>
      </x:c>
      <x:c r="E69" s="16" t="str">
        <x:v>Т</x:v>
      </x:c>
      <x:c r="F69" s="30" t="n">
        <x:v>0.167</x:v>
      </x:c>
      <x:c r="G69" s="17" t="n">
        <x:v>234363.3664</x:v>
      </x:c>
      <x:c r="H69" s="17" t="n">
        <x:f>G69*F69</x:f>
        <x:v>39138.682188800005</x:v>
      </x:c>
      <x:c r="I69" s="26" t="str">
        <x:f>HYPERLINK("https://etp-aktiv.ru/catalog/materialy/truby-stalnye-i-polimernye/2000545983-W111/","Открыть позицию")</x:f>
        <x:v>Открыть позицию</x:v>
      </x:c>
    </x:row>
    <x:row r="70" ht="28" customHeight="1">
      <x:c r="A70" s="16" t="str">
        <x:v>Барнаульская ТЭЦ-2</x:v>
      </x:c>
      <x:c r="B70" s="16" t="str">
        <x:v>2000546075-W111</x:v>
      </x:c>
      <x:c r="C70" s="16" t="str">
        <x:v>ТРУБА 12Х1МФ 57*5,5 ТУ14-3Р-55-01</x:v>
      </x:c>
      <x:c r="D70" s="16" t="str">
        <x:v>Трубы котельные в/д</x:v>
      </x:c>
      <x:c r="E70" s="16" t="str">
        <x:v>Т</x:v>
      </x:c>
      <x:c r="F70" s="30" t="n">
        <x:v>0.197</x:v>
      </x:c>
      <x:c r="G70" s="17" t="n">
        <x:v>167376.17979999998</x:v>
      </x:c>
      <x:c r="H70" s="17" t="n">
        <x:f>G70*F70</x:f>
        <x:v>32973.1074206</x:v>
      </x:c>
      <x:c r="I70" s="26" t="str">
        <x:f>HYPERLINK("https://etp-aktiv.ru/catalog/materialy/truby-stalnye-i-polimernye/2000546075-W111/","Открыть позицию")</x:f>
        <x:v>Открыть позицию</x:v>
      </x:c>
    </x:row>
    <x:row r="71" ht="28" customHeight="1">
      <x:c r="A71" s="16" t="str">
        <x:v>Барнаульская ТЭЦ-2</x:v>
      </x:c>
      <x:c r="B71" s="16" t="str">
        <x:v>2000140829-W111</x:v>
      </x:c>
      <x:c r="C71" s="16" t="str">
        <x:v>ТРУБА Б/Ш СТ20 Г/Д 159*5 ГОСТ8732-78</x:v>
      </x:c>
      <x:c r="D71" s="16" t="str">
        <x:v>Трубы черные бесшов</x:v>
      </x:c>
      <x:c r="E71" s="16" t="str">
        <x:v>Т</x:v>
      </x:c>
      <x:c r="F71" s="30" t="n">
        <x:v>0.039</x:v>
      </x:c>
      <x:c r="G71" s="17" t="n">
        <x:v>82350</x:v>
      </x:c>
      <x:c r="H71" s="17" t="n">
        <x:f>G71*F71</x:f>
        <x:v>3211.65</x:v>
      </x:c>
      <x:c r="I71" s="26" t="str">
        <x:f>HYPERLINK("https://etp-aktiv.ru/catalog/materialy/truby-stalnye-i-polimernye/2000140829-W111/","Открыть позицию")</x:f>
        <x:v>Открыть позицию</x:v>
      </x:c>
    </x:row>
    <x:row r="72" ht="28" customHeight="1">
      <x:c r="A72" s="16" t="str">
        <x:v>Барнаульская ТЭЦ-2</x:v>
      </x:c>
      <x:c r="B72" s="16" t="str">
        <x:v>2000148484-W111</x:v>
      </x:c>
      <x:c r="C72" s="16" t="str">
        <x:v>ТРУБА Б/Ш СТ20 Г/Д 273*10 ГОСТ8732-78</x:v>
      </x:c>
      <x:c r="D72" s="16" t="str">
        <x:v>Трубы черные бесшов</x:v>
      </x:c>
      <x:c r="E72" s="16" t="str">
        <x:v>Т</x:v>
      </x:c>
      <x:c r="F72" s="30" t="n">
        <x:v>0.39</x:v>
      </x:c>
      <x:c r="G72" s="17" t="n">
        <x:v>173813.35119999998</x:v>
      </x:c>
      <x:c r="H72" s="17" t="n">
        <x:f>G72*F72</x:f>
        <x:v>67787.206968</x:v>
      </x:c>
      <x:c r="I72" s="26" t="str">
        <x:f>HYPERLINK("https://etp-aktiv.ru/catalog/materialy/truby-stalnye-i-polimernye/2000148484-W111/","Открыть позицию")</x:f>
        <x:v>Открыть позицию</x:v>
      </x:c>
    </x:row>
    <x:row r="73" ht="28" customHeight="1">
      <x:c r="A73" s="16" t="str">
        <x:v>Барнаульская ТЭЦ-2</x:v>
      </x:c>
      <x:c r="B73" s="16" t="str">
        <x:v>2000015539-W111</x:v>
      </x:c>
      <x:c r="C73" s="16" t="str">
        <x:v>ТРУБА ВГП СТ3 32*3,2 ГОСТ3262-75</x:v>
      </x:c>
      <x:c r="D73" s="16" t="str">
        <x:v>ТрбЧерСварМалСрдДиам</x:v>
      </x:c>
      <x:c r="E73" s="16" t="str">
        <x:v>Т</x:v>
      </x:c>
      <x:c r="F73" s="30" t="n">
        <x:v>0.007</x:v>
      </x:c>
      <x:c r="G73" s="17" t="n">
        <x:v>54324.526000000005</x:v>
      </x:c>
      <x:c r="H73" s="17" t="n">
        <x:f>G73*F73</x:f>
        <x:v>380.27168200000006</x:v>
      </x:c>
      <x:c r="I73" s="26" t="str">
        <x:f>HYPERLINK("https://etp-aktiv.ru/catalog/materialy/truby-stalnye-i-polimernye/2000015539-W111/","Открыть позицию")</x:f>
        <x:v>Открыть позицию</x:v>
      </x:c>
    </x:row>
    <x:row r="74" ht="28" customHeight="1">
      <x:c r="A74" s="16" t="str">
        <x:v>Барнаульская ТЭЦ-2</x:v>
      </x:c>
      <x:c r="B74" s="16" t="str">
        <x:v>2000318409-W111</x:v>
      </x:c>
      <x:c r="C74" s="16" t="str">
        <x:v>ТРУБА ВГП СТ3 Т 80*4 ГОСТ3262-75</x:v>
      </x:c>
      <x:c r="D74" s="16" t="str">
        <x:v>ТрбЧерСварМалСрдДиам</x:v>
      </x:c>
      <x:c r="E74" s="16" t="str">
        <x:v>Т</x:v>
      </x:c>
      <x:c r="F74" s="30" t="n">
        <x:v>0.083</x:v>
      </x:c>
      <x:c r="G74" s="17" t="n">
        <x:v>54324.6358</x:v>
      </x:c>
      <x:c r="H74" s="17" t="n">
        <x:f>G74*F74</x:f>
        <x:v>4508.9447714</x:v>
      </x:c>
      <x:c r="I74" s="26" t="str">
        <x:f>HYPERLINK("https://etp-aktiv.ru/catalog/materialy/truby-stalnye-i-polimernye/2000318409-W111/","Открыть позицию")</x:f>
        <x:v>Открыть позицию</x:v>
      </x:c>
    </x:row>
    <x:row r="75" ht="28" customHeight="1">
      <x:c r="A75" s="16" t="str">
        <x:v>Барнаульская ТЭЦ-2</x:v>
      </x:c>
      <x:c r="B75" s="16" t="str">
        <x:v>2000546097-W111</x:v>
      </x:c>
      <x:c r="C75" s="16" t="str">
        <x:v>ТРУБА КВД 12Х1МФ 159*17 ТУ14-3Р-55-01</x:v>
      </x:c>
      <x:c r="D75" s="16" t="str">
        <x:v>Трубы котельные в/д</x:v>
      </x:c>
      <x:c r="E75" s="16" t="str">
        <x:v>Т</x:v>
      </x:c>
      <x:c r="F75" s="30" t="n">
        <x:v>0.05</x:v>
      </x:c>
      <x:c r="G75" s="17" t="n">
        <x:v>90976.1686</x:v>
      </x:c>
      <x:c r="H75" s="17" t="n">
        <x:f>G75*F75</x:f>
        <x:v>4548.80843</x:v>
      </x:c>
      <x:c r="I75" s="26" t="str">
        <x:f>HYPERLINK("https://etp-aktiv.ru/catalog/materialy/truby-stalnye-i-polimernye/2000546097-W111/","Открыть позицию")</x:f>
        <x:v>Открыть позицию</x:v>
      </x:c>
    </x:row>
    <x:row r="76" ht="28" customHeight="1">
      <x:c r="A76" s="16" t="str">
        <x:v>Барнаульская ТЭЦ-2</x:v>
      </x:c>
      <x:c r="B76" s="16" t="str">
        <x:v>2000545964-W111</x:v>
      </x:c>
      <x:c r="C76" s="16" t="str">
        <x:v>ТРУБА КВД 12Х1МФ 32*5 ТУ14-3Р-55-01</x:v>
      </x:c>
      <x:c r="D76" s="16" t="str">
        <x:v>Трубы котельные в/д</x:v>
      </x:c>
      <x:c r="E76" s="16" t="str">
        <x:v>Т</x:v>
      </x:c>
      <x:c r="F76" s="30" t="n">
        <x:v>0.04</x:v>
      </x:c>
      <x:c r="G76" s="17" t="n">
        <x:v>87856.89700000001</x:v>
      </x:c>
      <x:c r="H76" s="17" t="n">
        <x:f>G76*F76</x:f>
        <x:v>3514.2758800000006</x:v>
      </x:c>
      <x:c r="I76" s="26" t="str">
        <x:f>HYPERLINK("https://etp-aktiv.ru/catalog/materialy/truby-stalnye-i-polimernye/2000545964-W111/","Открыть позицию")</x:f>
        <x:v>Открыть позицию</x:v>
      </x:c>
    </x:row>
    <x:row r="77" ht="28" customHeight="1">
      <x:c r="A77" s="16" t="str">
        <x:v>Барнаульская ТЭЦ-2</x:v>
      </x:c>
      <x:c r="B77" s="16" t="str">
        <x:v>2000546264-W111</x:v>
      </x:c>
      <x:c r="C77" s="16" t="str">
        <x:v>ТРУБА КВД 12Х1МФ 38*4 ТУ14-3Р-55-01</x:v>
      </x:c>
      <x:c r="D77" s="16" t="str">
        <x:v>Трубы котельные в/д</x:v>
      </x:c>
      <x:c r="E77" s="16" t="str">
        <x:v>Т</x:v>
      </x:c>
      <x:c r="F77" s="30" t="n">
        <x:v>0.05</x:v>
      </x:c>
      <x:c r="G77" s="17" t="n">
        <x:v>270382.5</x:v>
      </x:c>
      <x:c r="H77" s="17" t="n">
        <x:f>G77*F77</x:f>
        <x:v>13519.125</x:v>
      </x:c>
      <x:c r="I77" s="26" t="str">
        <x:f>HYPERLINK("https://etp-aktiv.ru/catalog/materialy/truby-stalnye-i-polimernye/2000546264-W111/","Открыть позицию")</x:f>
        <x:v>Открыть позицию</x:v>
      </x:c>
    </x:row>
    <x:row r="78" ht="28" customHeight="1">
      <x:c r="A78" s="16" t="str">
        <x:v>Барнаульская ТЭЦ-2</x:v>
      </x:c>
      <x:c r="B78" s="16" t="str">
        <x:v>2000546146-W111</x:v>
      </x:c>
      <x:c r="C78" s="16" t="str">
        <x:v>ТРУБА КВД 12Х1МФ 60*6 ТУ14-3Р-55-01</x:v>
      </x:c>
      <x:c r="D78" s="16" t="str">
        <x:v>Трубы котельные в/д</x:v>
      </x:c>
      <x:c r="E78" s="16" t="str">
        <x:v>КГ</x:v>
      </x:c>
      <x:c r="F78" s="25" t="n">
        <x:v>26</x:v>
      </x:c>
      <x:c r="G78" s="17" t="n">
        <x:v>225.1632</x:v>
      </x:c>
      <x:c r="H78" s="17" t="n">
        <x:f>G78*F78</x:f>
        <x:v>5854.2432</x:v>
      </x:c>
      <x:c r="I78" s="26" t="str">
        <x:f>HYPERLINK("https://etp-aktiv.ru/catalog/materialy/truby-stalnye-i-polimernye/2000546146-W111/","Открыть позицию")</x:f>
        <x:v>Открыть позицию</x:v>
      </x:c>
    </x:row>
    <x:row r="79" ht="28" customHeight="1">
      <x:c r="A79" s="16" t="str">
        <x:v>Барнаульская ТЭЦ-2</x:v>
      </x:c>
      <x:c r="B79" s="16" t="str">
        <x:v>2000546140-W111</x:v>
      </x:c>
      <x:c r="C79" s="16" t="str">
        <x:v>ТРУБА КВД СТ20 108*5 ТУ14-3Р-55-01</x:v>
      </x:c>
      <x:c r="D79" s="16" t="str">
        <x:v>Трубы котельные в/д</x:v>
      </x:c>
      <x:c r="E79" s="16" t="str">
        <x:v>КГ</x:v>
      </x:c>
      <x:c r="F79" s="25" t="n">
        <x:v>150</x:v>
      </x:c>
      <x:c r="G79" s="17" t="n">
        <x:v>86.5834</x:v>
      </x:c>
      <x:c r="H79" s="17" t="n">
        <x:f>G79*F79</x:f>
        <x:v>12987.51</x:v>
      </x:c>
      <x:c r="I79" s="26" t="str">
        <x:f>HYPERLINK("https://etp-aktiv.ru/catalog/materialy/truby-stalnye-i-polimernye/2000546140-W111/","Открыть позицию")</x:f>
        <x:v>Открыть позицию</x:v>
      </x:c>
    </x:row>
    <x:row r="80" ht="28" customHeight="1">
      <x:c r="A80" s="16" t="str">
        <x:v>Барнаульская ТЭЦ-2</x:v>
      </x:c>
      <x:c r="B80" s="16" t="str">
        <x:v>2000546268-W111</x:v>
      </x:c>
      <x:c r="C80" s="16" t="str">
        <x:v>ТРУБА КВД СТ20 108*8 ТУ14-3Р-55-01</x:v>
      </x:c>
      <x:c r="D80" s="16" t="str">
        <x:v>Трубы котельные в/д</x:v>
      </x:c>
      <x:c r="E80" s="16" t="str">
        <x:v>Т</x:v>
      </x:c>
      <x:c r="F80" s="30" t="n">
        <x:v>0.062</x:v>
      </x:c>
      <x:c r="G80" s="17" t="n">
        <x:v>88809.27780000001</x:v>
      </x:c>
      <x:c r="H80" s="17" t="n">
        <x:f>G80*F80</x:f>
        <x:v>5506.1752236</x:v>
      </x:c>
      <x:c r="I80" s="26" t="str">
        <x:f>HYPERLINK("https://etp-aktiv.ru/catalog/materialy/truby-stalnye-i-polimernye/2000546268-W111/","Открыть позицию")</x:f>
        <x:v>Открыть позицию</x:v>
      </x:c>
    </x:row>
    <x:row r="81" ht="28" customHeight="1">
      <x:c r="A81" s="16" t="str">
        <x:v>Барнаульская ТЭЦ-2</x:v>
      </x:c>
      <x:c r="B81" s="16" t="str">
        <x:v>2000546141-W111</x:v>
      </x:c>
      <x:c r="C81" s="16" t="str">
        <x:v>ТРУБА КВД СТ20 159*8 ТУ14-3Р-55-01</x:v>
      </x:c>
      <x:c r="D81" s="16" t="str">
        <x:v>Трубы котельные в/д</x:v>
      </x:c>
      <x:c r="E81" s="16" t="str">
        <x:v>КГ</x:v>
      </x:c>
      <x:c r="F81" s="24" t="n">
        <x:v>73.84</x:v>
      </x:c>
      <x:c r="G81" s="17" t="n">
        <x:v>114.5458</x:v>
      </x:c>
      <x:c r="H81" s="17" t="n">
        <x:f>G81*F81</x:f>
        <x:v>8458.061872</x:v>
      </x:c>
      <x:c r="I81" s="26" t="str">
        <x:f>HYPERLINK("https://etp-aktiv.ru/catalog/materialy/truby-stalnye-i-polimernye/2000546141-W111/","Открыть позицию")</x:f>
        <x:v>Открыть позицию</x:v>
      </x:c>
    </x:row>
    <x:row r="82" ht="28" customHeight="1">
      <x:c r="A82" s="16" t="str">
        <x:v>Барнаульская ТЭЦ-2</x:v>
      </x:c>
      <x:c r="B82" s="16" t="str">
        <x:v>2000545965-W111</x:v>
      </x:c>
      <x:c r="C82" s="16" t="str">
        <x:v>ТРУБА КВД СТ20 32*5 ТУ14-3Р-55-01</x:v>
      </x:c>
      <x:c r="D82" s="16" t="str">
        <x:v>Трубы котельные в/д</x:v>
      </x:c>
      <x:c r="E82" s="16" t="str">
        <x:v>Т</x:v>
      </x:c>
      <x:c r="F82" s="30" t="n">
        <x:v>0.044</x:v>
      </x:c>
      <x:c r="G82" s="17" t="n">
        <x:v>85781.25</x:v>
      </x:c>
      <x:c r="H82" s="17" t="n">
        <x:f>G82*F82</x:f>
        <x:v>3774.375</x:v>
      </x:c>
      <x:c r="I82" s="26" t="str">
        <x:f>HYPERLINK("https://etp-aktiv.ru/catalog/materialy/truby-stalnye-i-polimernye/2000545965-W111/","Открыть позицию")</x:f>
        <x:v>Открыть позицию</x:v>
      </x:c>
    </x:row>
    <x:row r="83" ht="28" customHeight="1">
      <x:c r="A83" s="16" t="str">
        <x:v>Барнаульская ТЭЦ-2</x:v>
      </x:c>
      <x:c r="B83" s="16" t="str">
        <x:v>2000546243-W111</x:v>
      </x:c>
      <x:c r="C83" s="16" t="str">
        <x:v>ТРУБА КВД СТ20 38*4 ТУ14-3-460-75</x:v>
      </x:c>
      <x:c r="D83" s="16" t="str">
        <x:v>Трубы котельные в/д</x:v>
      </x:c>
      <x:c r="E83" s="16" t="str">
        <x:v>Т</x:v>
      </x:c>
      <x:c r="F83" s="30" t="n">
        <x:v>0.004</x:v>
      </x:c>
      <x:c r="G83" s="17" t="n">
        <x:v>80768.1968</x:v>
      </x:c>
      <x:c r="H83" s="17" t="n">
        <x:f>G83*F83</x:f>
        <x:v>323.07278720000005</x:v>
      </x:c>
      <x:c r="I83" s="26" t="str">
        <x:f>HYPERLINK("https://etp-aktiv.ru/catalog/materialy/truby-stalnye-i-polimernye/2000546243-W111/","Открыть позицию")</x:f>
        <x:v>Открыть позицию</x:v>
      </x:c>
    </x:row>
    <x:row r="84" ht="28" customHeight="1">
      <x:c r="A84" s="16" t="str">
        <x:v>Барнаульская ТЭЦ-2</x:v>
      </x:c>
      <x:c r="B84" s="16" t="str">
        <x:v>2000545969-W111</x:v>
      </x:c>
      <x:c r="C84" s="16" t="str">
        <x:v>ТРУБА КВД СТ20 42*5 ТУ14-3Р-55-01</x:v>
      </x:c>
      <x:c r="D84" s="16" t="str">
        <x:v>Трубы котельные в/д</x:v>
      </x:c>
      <x:c r="E84" s="16" t="str">
        <x:v>Т</x:v>
      </x:c>
      <x:c r="F84" s="30" t="n">
        <x:v>0.024</x:v>
      </x:c>
      <x:c r="G84" s="17" t="n">
        <x:v>165894.07499999998</x:v>
      </x:c>
      <x:c r="H84" s="17" t="n">
        <x:f>G84*F84</x:f>
        <x:v>3981.4577999999997</x:v>
      </x:c>
      <x:c r="I84" s="26" t="str">
        <x:f>HYPERLINK("https://etp-aktiv.ru/catalog/materialy/truby-stalnye-i-polimernye/2000545969-W111/","Открыть позицию")</x:f>
        <x:v>Открыть позицию</x:v>
      </x:c>
    </x:row>
    <x:row r="85" ht="28" customHeight="1">
      <x:c r="A85" s="16" t="str">
        <x:v>Барнаульская ТЭЦ-2</x:v>
      </x:c>
      <x:c r="B85" s="16" t="str">
        <x:v>2000560465-W111</x:v>
      </x:c>
      <x:c r="C85" s="16" t="str">
        <x:v>ТРУБА СТ10 108*4 ГОСТ10705-80</x:v>
      </x:c>
      <x:c r="D85" s="16" t="str">
        <x:v>ТрбЧерСварМалСрдДиам</x:v>
      </x:c>
      <x:c r="E85" s="16" t="str">
        <x:v>Т</x:v>
      </x:c>
      <x:c r="F85" s="30" t="n">
        <x:v>0.062</x:v>
      </x:c>
      <x:c r="G85" s="17" t="n">
        <x:v>55123.02819999999</x:v>
      </x:c>
      <x:c r="H85" s="17" t="n">
        <x:f>G85*F85</x:f>
        <x:v>3417.6277483999997</x:v>
      </x:c>
      <x:c r="I85" s="26" t="str">
        <x:f>HYPERLINK("https://etp-aktiv.ru/catalog/materialy/truby-stalnye-i-polimernye/2000560465-W111/","Открыть позицию")</x:f>
        <x:v>Открыть позицию</x:v>
      </x:c>
    </x:row>
    <x:row r="86" ht="28" customHeight="1">
      <x:c r="A86" s="16" t="str">
        <x:v>Барнаульская ТЭЦ-2</x:v>
      </x:c>
      <x:c r="B86" s="16" t="str">
        <x:v>2000183431-W111</x:v>
      </x:c>
      <x:c r="C86" s="16" t="str">
        <x:v>ТРУБА СТ10 89*3 ГОСТ10705-80</x:v>
      </x:c>
      <x:c r="D86" s="16" t="str">
        <x:v>ТрбЧерСварМалСрдДиам</x:v>
      </x:c>
      <x:c r="E86" s="16" t="str">
        <x:v>Т</x:v>
      </x:c>
      <x:c r="F86" s="30" t="n">
        <x:v>0.081</x:v>
      </x:c>
      <x:c r="G86" s="17" t="n">
        <x:v>55123.06479999999</x:v>
      </x:c>
      <x:c r="H86" s="17" t="n">
        <x:f>G86*F86</x:f>
        <x:v>4464.9682488</x:v>
      </x:c>
      <x:c r="I86" s="26" t="str">
        <x:f>HYPERLINK("https://etp-aktiv.ru/catalog/materialy/truby-stalnye-i-polimernye/2000183431-W111/","Открыть позицию")</x:f>
        <x:v>Открыть позицию</x:v>
      </x:c>
    </x:row>
    <x:row r="87" ht="28" customHeight="1">
      <x:c r="A87" s="16" t="str">
        <x:v>Барнаульская ТЭЦ-2</x:v>
      </x:c>
      <x:c r="B87" s="16" t="str">
        <x:v>2000546010-W111</x:v>
      </x:c>
      <x:c r="C87" s="16" t="str">
        <x:v>ТРУБА СТ20 108*6 ТУ14-3-190-04</x:v>
      </x:c>
      <x:c r="D87" s="16" t="str">
        <x:v>Трубы котельные в/д</x:v>
      </x:c>
      <x:c r="E87" s="16" t="str">
        <x:v>Т</x:v>
      </x:c>
      <x:c r="F87" s="30" t="n">
        <x:v>0.142</x:v>
      </x:c>
      <x:c r="G87" s="17" t="n">
        <x:v>88809.36319999999</x:v>
      </x:c>
      <x:c r="H87" s="17" t="n">
        <x:f>G87*F87</x:f>
        <x:v>12610.929574399997</x:v>
      </x:c>
      <x:c r="I87" s="26" t="str">
        <x:f>HYPERLINK("https://etp-aktiv.ru/catalog/materialy/truby-stalnye-i-polimernye/2000546010-W111/","Открыть позицию")</x:f>
        <x:v>Открыть позицию</x:v>
      </x:c>
    </x:row>
    <x:row r="88" ht="28" customHeight="1">
      <x:c r="A88" s="16" t="str">
        <x:v>Барнаульская ТЭЦ-2</x:v>
      </x:c>
      <x:c r="B88" s="16" t="str">
        <x:v>2000560143-W111</x:v>
      </x:c>
      <x:c r="C88" s="16" t="str">
        <x:v>ТРУБА СТ20 14*2 ГОСТ8733-74</x:v>
      </x:c>
      <x:c r="D88" s="16" t="str">
        <x:v>Трубы черные бесшов</x:v>
      </x:c>
      <x:c r="E88" s="16" t="str">
        <x:v>Т</x:v>
      </x:c>
      <x:c r="F88" s="30" t="n">
        <x:v>0.002</x:v>
      </x:c>
      <x:c r="G88" s="17" t="n">
        <x:v>221315.625</x:v>
      </x:c>
      <x:c r="H88" s="17" t="n">
        <x:f>G88*F88</x:f>
        <x:v>442.63125</x:v>
      </x:c>
      <x:c r="I88" s="26" t="str">
        <x:f>HYPERLINK("https://etp-aktiv.ru/catalog/materialy/truby-stalnye-i-polimernye/2000560143-W111/","Открыть позицию")</x:f>
        <x:v>Открыть позицию</x:v>
      </x:c>
    </x:row>
    <x:row r="89" ht="28" customHeight="1">
      <x:c r="A89" s="16" t="str">
        <x:v>Барнаульская ТЭЦ-2</x:v>
      </x:c>
      <x:c r="B89" s="16" t="str">
        <x:v>2000560150-W111</x:v>
      </x:c>
      <x:c r="C89" s="16" t="str">
        <x:v>ТРУБА СТ20 15*2,8 ГОСТ8733-74</x:v>
      </x:c>
      <x:c r="D89" s="16" t="str">
        <x:v>Трубы черные бесшов</x:v>
      </x:c>
      <x:c r="E89" s="16" t="str">
        <x:v>Т</x:v>
      </x:c>
      <x:c r="F89" s="30" t="n">
        <x:v>0.012</x:v>
      </x:c>
      <x:c r="G89" s="17" t="n">
        <x:v>200344.3984</x:v>
      </x:c>
      <x:c r="H89" s="17" t="n">
        <x:f>G89*F89</x:f>
        <x:v>2404.1327808</x:v>
      </x:c>
      <x:c r="I89" s="26" t="str">
        <x:f>HYPERLINK("https://etp-aktiv.ru/catalog/materialy/truby-stalnye-i-polimernye/2000560150-W111/","Открыть позицию")</x:f>
        <x:v>Открыть позицию</x:v>
      </x:c>
    </x:row>
    <x:row r="90" ht="28" customHeight="1">
      <x:c r="A90" s="16" t="str">
        <x:v>Барнаульская ТЭЦ-2</x:v>
      </x:c>
      <x:c r="B90" s="16" t="str">
        <x:v>2000148227-W111</x:v>
      </x:c>
      <x:c r="C90" s="16" t="str">
        <x:v>ТРУБА СТ20 32*3,2 ГОСТ3262-75</x:v>
      </x:c>
      <x:c r="D90" s="16" t="str">
        <x:v>ТрбЧерСварМалСрдДиам</x:v>
      </x:c>
      <x:c r="E90" s="16" t="str">
        <x:v>Т</x:v>
      </x:c>
      <x:c r="F90" s="30" t="n">
        <x:v>0.07</x:v>
      </x:c>
      <x:c r="G90" s="17" t="n">
        <x:v>61189.4782</x:v>
      </x:c>
      <x:c r="H90" s="17" t="n">
        <x:f>G90*F90</x:f>
        <x:v>4283.263474</x:v>
      </x:c>
      <x:c r="I90" s="26" t="str">
        <x:f>HYPERLINK("https://etp-aktiv.ru/catalog/materialy/truby-stalnye-i-polimernye/2000148227-W111/","Открыть позицию")</x:f>
        <x:v>Открыть позицию</x:v>
      </x:c>
    </x:row>
    <x:row r="91" ht="28" customHeight="1">
      <x:c r="A91" s="16" t="str">
        <x:v>Барнаульская ТЭЦ-2</x:v>
      </x:c>
      <x:c r="B91" s="16" t="str">
        <x:v>2000546043-W111</x:v>
      </x:c>
      <x:c r="C91" s="16" t="str">
        <x:v>ТРУБА СТ20 325*10 ТУ14-3Р-55-01</x:v>
      </x:c>
      <x:c r="D91" s="16" t="str">
        <x:v>Трубы котельные в/д</x:v>
      </x:c>
      <x:c r="E91" s="16" t="str">
        <x:v>Т</x:v>
      </x:c>
      <x:c r="F91" s="30" t="n">
        <x:v>0.119</x:v>
      </x:c>
      <x:c r="G91" s="17" t="n">
        <x:v>104996.25</x:v>
      </x:c>
      <x:c r="H91" s="17" t="n">
        <x:f>G91*F91</x:f>
        <x:v>12494.55375</x:v>
      </x:c>
      <x:c r="I91" s="26" t="str">
        <x:f>HYPERLINK("https://etp-aktiv.ru/catalog/materialy/truby-stalnye-i-polimernye/2000546043-W111/","Открыть позицию")</x:f>
        <x:v>Открыть позицию</x:v>
      </x:c>
    </x:row>
    <x:row r="92" ht="28" customHeight="1">
      <x:c r="A92" s="16" t="str">
        <x:v>Барнаульская ТЭЦ-2</x:v>
      </x:c>
      <x:c r="B92" s="16" t="str">
        <x:v>2000560235-W111</x:v>
      </x:c>
      <x:c r="C92" s="16" t="str">
        <x:v>ТРУБА СТ20 377*9 ГОСТ8731-74</x:v>
      </x:c>
      <x:c r="D92" s="16" t="str">
        <x:v>Трубы черные бесшов</x:v>
      </x:c>
      <x:c r="E92" s="16" t="str">
        <x:v>Т</x:v>
      </x:c>
      <x:c r="F92" s="30" t="n">
        <x:v>0.651</x:v>
      </x:c>
      <x:c r="G92" s="17" t="n">
        <x:v>118692.9826</x:v>
      </x:c>
      <x:c r="H92" s="17" t="n">
        <x:f>G92*F92</x:f>
        <x:v>77269.13167260001</x:v>
      </x:c>
      <x:c r="I92" s="26" t="str">
        <x:f>HYPERLINK("https://etp-aktiv.ru/catalog/materialy/truby-stalnye-i-polimernye/2000560235-W111/","Открыть позицию")</x:f>
        <x:v>Открыть позицию</x:v>
      </x:c>
    </x:row>
    <x:row r="93" ht="28" customHeight="1">
      <x:c r="A93" s="16" t="str">
        <x:v>Барнаульская ТЭЦ-2</x:v>
      </x:c>
      <x:c r="B93" s="16" t="str">
        <x:v>2000546052-W111</x:v>
      </x:c>
      <x:c r="C93" s="16" t="str">
        <x:v>ТРУБА СТ20 48*4 ТУ14-3Р-55-01</x:v>
      </x:c>
      <x:c r="D93" s="16" t="str">
        <x:v>Трубы котельные в/д</x:v>
      </x:c>
      <x:c r="E93" s="16" t="str">
        <x:v>Т</x:v>
      </x:c>
      <x:c r="F93" s="30" t="n">
        <x:v>0.148</x:v>
      </x:c>
      <x:c r="G93" s="17" t="n">
        <x:v>246382.62339999998</x:v>
      </x:c>
      <x:c r="H93" s="17" t="n">
        <x:f>G93*F93</x:f>
        <x:v>36464.62826319999</x:v>
      </x:c>
      <x:c r="I93" s="26" t="str">
        <x:f>HYPERLINK("https://etp-aktiv.ru/catalog/materialy/truby-stalnye-i-polimernye/2000546052-W111/","Открыть позицию")</x:f>
        <x:v>Открыть позицию</x:v>
      </x:c>
    </x:row>
    <x:row r="94" ht="28" customHeight="1">
      <x:c r="A94" s="16" t="str">
        <x:v>Барнаульская ТЭЦ-2</x:v>
      </x:c>
      <x:c r="B94" s="16" t="str">
        <x:v>2000173105-W111</x:v>
      </x:c>
      <x:c r="C94" s="16" t="str">
        <x:v>ТРУБА СТ3 133*4 ГОСТ10705-80</x:v>
      </x:c>
      <x:c r="D94" s="16" t="str">
        <x:v>ТрбЧерСварМалСрдДиам</x:v>
      </x:c>
      <x:c r="E94" s="16" t="str">
        <x:v>Т</x:v>
      </x:c>
      <x:c r="F94" s="30" t="n">
        <x:v>0.243</x:v>
      </x:c>
      <x:c r="G94" s="17" t="n">
        <x:v>34090.643000000004</x:v>
      </x:c>
      <x:c r="H94" s="17" t="n">
        <x:f>G94*F94</x:f>
        <x:v>8284.026249</x:v>
      </x:c>
      <x:c r="I94" s="26" t="str">
        <x:f>HYPERLINK("https://etp-aktiv.ru/catalog/materialy/truby-stalnye-i-polimernye/2000173105-W111/","Открыть позицию")</x:f>
        <x:v>Открыть позицию</x:v>
      </x:c>
    </x:row>
    <x:row r="95" ht="28" customHeight="1">
      <x:c r="A95" s="16" t="str">
        <x:v>Барнаульская ТЭЦ-2</x:v>
      </x:c>
      <x:c r="B95" s="16" t="str">
        <x:v>2000560545-W111</x:v>
      </x:c>
      <x:c r="C95" s="16" t="str">
        <x:v>ТРУБА СТ3 89*3 ГОСТ10705-80</x:v>
      </x:c>
      <x:c r="D95" s="16" t="str">
        <x:v>ТрбЧерСварМалСрдДиам</x:v>
      </x:c>
      <x:c r="E95" s="16" t="str">
        <x:v>Т</x:v>
      </x:c>
      <x:c r="F95" s="30" t="n">
        <x:v>0.041</x:v>
      </x:c>
      <x:c r="G95" s="17" t="n">
        <x:v>45107.548</x:v>
      </x:c>
      <x:c r="H95" s="17" t="n">
        <x:f>G95*F95</x:f>
        <x:v>1849.4094680000003</x:v>
      </x:c>
      <x:c r="I95" s="26" t="str">
        <x:f>HYPERLINK("https://etp-aktiv.ru/catalog/materialy/truby-stalnye-i-polimernye/2000560545-W111/","Открыть позицию")</x:f>
        <x:v>Открыть позицию</x:v>
      </x:c>
    </x:row>
    <x:row r="96" ht="28" customHeight="1">
      <x:c r="A96" s="16" t="str">
        <x:v>Барнаульская ТЭЦ-2</x:v>
      </x:c>
      <x:c r="B96" s="16" t="str">
        <x:v>2000560621-W111</x:v>
      </x:c>
      <x:c r="C96" s="16" t="str">
        <x:v>ТРУБА ТИП 3 17Г1С 630*12 К52 ГОСТ20295</x:v>
      </x:c>
      <x:c r="D96" s="16" t="str">
        <x:v>ТрубЧерСварБольшДиам</x:v>
      </x:c>
      <x:c r="E96" s="16" t="str">
        <x:v>Т</x:v>
      </x:c>
      <x:c r="F96" s="30" t="n">
        <x:v>0.8</x:v>
      </x:c>
      <x:c r="G96" s="17" t="n">
        <x:v>17537.5</x:v>
      </x:c>
      <x:c r="H96" s="17" t="n">
        <x:f>G96*F96</x:f>
        <x:v>14030</x:v>
      </x:c>
      <x:c r="I96" s="26" t="str">
        <x:f>HYPERLINK("https://etp-aktiv.ru/catalog/materialy/truby-stalnye-i-polimernye/2000560621-W111/","Открыть позицию")</x:f>
        <x:v>Открыть позицию</x:v>
      </x:c>
    </x:row>
    <x:row r="97" ht="28" customHeight="1">
      <x:c r="A97" s="16" t="str">
        <x:v>Барнаульская ТЭЦ-2</x:v>
      </x:c>
      <x:c r="B97" s="16" t="str">
        <x:v>2000174442-W111</x:v>
      </x:c>
      <x:c r="C97" s="16" t="str">
        <x:v>ТРУБА Э/С СТ20 219*6 ГОСТ10705-80</x:v>
      </x:c>
      <x:c r="D97" s="16" t="str">
        <x:v>ТрбЧерСварМалСрдДиам</x:v>
      </x:c>
      <x:c r="E97" s="16" t="str">
        <x:v>Т</x:v>
      </x:c>
      <x:c r="F97" s="30" t="n">
        <x:v>0.007</x:v>
      </x:c>
      <x:c r="G97" s="17" t="n">
        <x:v>75274</x:v>
      </x:c>
      <x:c r="H97" s="17" t="n">
        <x:f>G97*F97</x:f>
        <x:v>526.918</x:v>
      </x:c>
      <x:c r="I97" s="26" t="str">
        <x:f>HYPERLINK("https://etp-aktiv.ru/catalog/materialy/truby-stalnye-i-polimernye/2000174442-W111/","Открыть позицию")</x:f>
        <x:v>Открыть позицию</x:v>
      </x:c>
    </x:row>
    <x:row r="98" ht="28" customHeight="1">
      <x:c r="A98" s="16" t="str">
        <x:v>Барнаульская ТЭЦ-2</x:v>
      </x:c>
      <x:c r="B98" s="16" t="str">
        <x:v>2000011396-W111</x:v>
      </x:c>
      <x:c r="C98" s="16" t="str">
        <x:v>УСТРОЙСТВО ЗАПОРНОЕ 12Б3БК DN20 PN25</x:v>
      </x:c>
      <x:c r="D98" s="16" t="str">
        <x:v>Армат из медн сплав</x:v>
      </x:c>
      <x:c r="E98" s="16" t="str">
        <x:v>ШТ</x:v>
      </x:c>
      <x:c r="F98" s="25" t="n">
        <x:v>5</x:v>
      </x:c>
      <x:c r="G98" s="17" t="n">
        <x:v>13371.199999999999</x:v>
      </x:c>
      <x:c r="H98" s="17" t="n">
        <x:f>G98*F98</x:f>
        <x:v>66856</x:v>
      </x:c>
      <x:c r="I98" s="26" t="str">
        <x:f>HYPERLINK("https://etp-aktiv.ru/catalog/materialy/truboprovodnaya-armatura-i-komplektuyushchie/2000011396-W111/","Открыть позицию")</x:f>
        <x:v>Открыть позицию</x:v>
      </x:c>
    </x:row>
    <x:row r="99" ht="28" customHeight="1">
      <x:c r="A99" s="16" t="str">
        <x:v>Барнаульская ТЭЦ-2</x:v>
      </x:c>
      <x:c r="B99" s="16" t="str">
        <x:v>2000554744-W111</x:v>
      </x:c>
      <x:c r="C99" s="16" t="str">
        <x:v>ФЛАНЕЦ 09Г2С DN350 PN16 И.1 ГОСТ12821</x:v>
      </x:c>
      <x:c r="D99" s="16" t="str">
        <x:v>Детали фасонные</x:v>
      </x:c>
      <x:c r="E99" s="16" t="str">
        <x:v>ШТ</x:v>
      </x:c>
      <x:c r="F99" s="25" t="n">
        <x:v>2</x:v>
      </x:c>
      <x:c r="G99" s="17" t="n">
        <x:v>13816.5122</x:v>
      </x:c>
      <x:c r="H99" s="17" t="n">
        <x:f>G99*F99</x:f>
        <x:v>27633.0244</x:v>
      </x:c>
      <x:c r="I99" s="26" t="str">
        <x:f>HYPERLINK("https://etp-aktiv.ru/catalog/materialy/truboprovody/2000554744-W111/","Открыть позицию")</x:f>
        <x:v>Открыть позицию</x:v>
      </x:c>
    </x:row>
    <x:row r="100" ht="28" customHeight="1">
      <x:c r="A100" s="16" t="str">
        <x:v>Барнаульская ТЭЦ-2</x:v>
      </x:c>
      <x:c r="B100" s="16" t="str">
        <x:v>2000603843-W111</x:v>
      </x:c>
      <x:c r="C100" s="16" t="str">
        <x:v>ФЛАНЕЦ 1-150-10 СТ3 ГОСТ12820</x:v>
      </x:c>
      <x:c r="D100" s="16" t="str">
        <x:v>Детали фасонные</x:v>
      </x:c>
      <x:c r="E100" s="16" t="str">
        <x:v>ШТ</x:v>
      </x:c>
      <x:c r="F100" s="25" t="n">
        <x:v>2</x:v>
      </x:c>
      <x:c r="G100" s="17" t="n">
        <x:v>1046.4672</x:v>
      </x:c>
      <x:c r="H100" s="17" t="n">
        <x:f>G100*F100</x:f>
        <x:v>2092.9344</x:v>
      </x:c>
      <x:c r="I100" s="26" t="str">
        <x:f>HYPERLINK("https://etp-aktiv.ru/catalog/materialy/truboprovody/2000603843-W111/","Открыть позицию")</x:f>
        <x:v>Открыть позицию</x:v>
      </x:c>
    </x:row>
    <x:row r="101" ht="28" customHeight="1">
      <x:c r="A101" s="16" t="str">
        <x:v>Барнаульская ТЭЦ-2</x:v>
      </x:c>
      <x:c r="B101" s="16" t="str">
        <x:v>2000554762-W111</x:v>
      </x:c>
      <x:c r="C101" s="16" t="str">
        <x:v>ФЛАНЕЦ 12Х18Н10Т DN150 PN16 И.1 Г33259</x:v>
      </x:c>
      <x:c r="D101" s="16" t="str">
        <x:v>Детали фасонные</x:v>
      </x:c>
      <x:c r="E101" s="16" t="str">
        <x:v>ШТ</x:v>
      </x:c>
      <x:c r="F101" s="25" t="n">
        <x:v>6</x:v>
      </x:c>
      <x:c r="G101" s="17" t="n">
        <x:v>1514.4591999999998</x:v>
      </x:c>
      <x:c r="H101" s="17" t="n">
        <x:f>G101*F101</x:f>
        <x:v>9086.7552</x:v>
      </x:c>
      <x:c r="I101" s="26" t="str">
        <x:f>HYPERLINK("https://etp-aktiv.ru/catalog/materialy/truboprovody/2000554762-W111/","Открыть позицию")</x:f>
        <x:v>Открыть позицию</x:v>
      </x:c>
    </x:row>
    <x:row r="102" ht="28" customHeight="1">
      <x:c r="A102" s="16" t="str">
        <x:v>Барнаульская ТЭЦ-2</x:v>
      </x:c>
      <x:c r="B102" s="16" t="str">
        <x:v>2000704481-W111</x:v>
      </x:c>
      <x:c r="C102" s="16" t="str">
        <x:v>ФЛАНЕЦ 150-16-01-1-В-СТ20-IV ГОСТ33259</x:v>
      </x:c>
      <x:c r="D102" s="16" t="str">
        <x:v>Детали фасонные</x:v>
      </x:c>
      <x:c r="E102" s="16" t="str">
        <x:v>ШТ</x:v>
      </x:c>
      <x:c r="F102" s="25" t="n">
        <x:v>20</x:v>
      </x:c>
      <x:c r="G102" s="17" t="n">
        <x:v>1398.12</x:v>
      </x:c>
      <x:c r="H102" s="17" t="n">
        <x:f>G102*F102</x:f>
        <x:v>27962.399999999998</x:v>
      </x:c>
      <x:c r="I102" s="26" t="str">
        <x:f>HYPERLINK("https://etp-aktiv.ru/catalog/materialy/truboprovody/2000704481-W111/","Открыть позицию")</x:f>
        <x:v>Открыть позицию</x:v>
      </x:c>
    </x:row>
    <x:row r="103" ht="28" customHeight="1">
      <x:c r="A103" s="16" t="str">
        <x:v>Барнаульская ТЭЦ-2</x:v>
      </x:c>
      <x:c r="B103" s="16" t="str">
        <x:v>2000210641-W111</x:v>
      </x:c>
      <x:c r="C103" s="16" t="str">
        <x:v>ФЛАНЕЦ 15ХМ 1-80-10 ГОСТ12820-80</x:v>
      </x:c>
      <x:c r="D103" s="16" t="str">
        <x:v>Детали фасонные</x:v>
      </x:c>
      <x:c r="E103" s="16" t="str">
        <x:v>ШТ</x:v>
      </x:c>
      <x:c r="F103" s="25" t="n">
        <x:v>12</x:v>
      </x:c>
      <x:c r="G103" s="17" t="n">
        <x:v>4479.84</x:v>
      </x:c>
      <x:c r="H103" s="17" t="n">
        <x:f>G103*F103</x:f>
        <x:v>53758.08</x:v>
      </x:c>
      <x:c r="I103" s="26" t="str">
        <x:f>HYPERLINK("https://etp-aktiv.ru/catalog/materialy/truboprovody/2000210641-W111/","Открыть позицию")</x:f>
        <x:v>Открыть позицию</x:v>
      </x:c>
    </x:row>
    <x:row r="104" ht="28" customHeight="1">
      <x:c r="A104" s="16" t="str">
        <x:v>Барнаульская ТЭЦ-2</x:v>
      </x:c>
      <x:c r="B104" s="16" t="str">
        <x:v>2000830985-W111</x:v>
      </x:c>
      <x:c r="C104" s="16" t="str">
        <x:v>ФЛАНЕЦ СТ20 300-16-11-1-B-IV ГОСТ33259</x:v>
      </x:c>
      <x:c r="D104" s="16" t="str">
        <x:v>Детали фасонные</x:v>
      </x:c>
      <x:c r="E104" s="16" t="str">
        <x:v>ШТ</x:v>
      </x:c>
      <x:c r="F104" s="25" t="n">
        <x:v>20</x:v>
      </x:c>
      <x:c r="G104" s="17" t="n">
        <x:v>2779.3186</x:v>
      </x:c>
      <x:c r="H104" s="17" t="n">
        <x:f>G104*F104</x:f>
        <x:v>55586.372</x:v>
      </x:c>
      <x:c r="I104" s="26" t="str">
        <x:f>HYPERLINK("https://etp-aktiv.ru/catalog/materialy/truboprovody/2000830985-W111/","Открыть позицию")</x:f>
        <x:v>Открыть позицию</x:v>
      </x:c>
    </x:row>
    <x:row r="105" ht="28" customHeight="1">
      <x:c r="A105" s="16" t="str">
        <x:v>Барнаульская ТЭЦ-2</x:v>
      </x:c>
      <x:c r="B105" s="16" t="str">
        <x:v>2000748943-W111</x:v>
      </x:c>
      <x:c r="C105" s="16" t="str">
        <x:v>ФЛАНЕЦ СТ20 DN100 PN16 11-1-B-IV</x:v>
      </x:c>
      <x:c r="D105" s="16" t="str">
        <x:v>Детали фасонные</x:v>
      </x:c>
      <x:c r="E105" s="16" t="str">
        <x:v>ШТ</x:v>
      </x:c>
      <x:c r="F105" s="25" t="n">
        <x:v>10</x:v>
      </x:c>
      <x:c r="G105" s="17" t="n">
        <x:v>576.4499999999999</x:v>
      </x:c>
      <x:c r="H105" s="17" t="n">
        <x:f>G105*F105</x:f>
        <x:v>5764.499999999999</x:v>
      </x:c>
      <x:c r="I105" s="26" t="str">
        <x:f>HYPERLINK("https://etp-aktiv.ru/catalog/materialy/truboprovody/2000748943-W111/","Открыть позицию")</x:f>
        <x:v>Открыть позицию</x:v>
      </x:c>
    </x:row>
    <x:row r="106" ht="28" customHeight="1">
      <x:c r="A106" s="16" t="str">
        <x:v>Барнаульская ТЭЦ-2</x:v>
      </x:c>
      <x:c r="B106" s="16" t="str">
        <x:v>2000661531-W111</x:v>
      </x:c>
      <x:c r="C106" s="16" t="str">
        <x:v>ФЛАНЕЦ СТ20 DN150 PN16 ИСП1 ГОСТ12821-80</x:v>
      </x:c>
      <x:c r="D106" s="16" t="str">
        <x:v>Детали фасонные</x:v>
      </x:c>
      <x:c r="E106" s="16" t="str">
        <x:v>ШТ</x:v>
      </x:c>
      <x:c r="F106" s="25" t="n">
        <x:v>6</x:v>
      </x:c>
      <x:c r="G106" s="17" t="n">
        <x:v>1644.9381999999998</x:v>
      </x:c>
      <x:c r="H106" s="17" t="n">
        <x:f>G106*F106</x:f>
        <x:v>9869.6292</x:v>
      </x:c>
      <x:c r="I106" s="26" t="str">
        <x:f>HYPERLINK("https://etp-aktiv.ru/catalog/materialy/truboprovody/2000661531-W111/","Открыть позицию")</x:f>
        <x:v>Открыть позицию</x:v>
      </x:c>
    </x:row>
    <x:row r="107" ht="28" customHeight="1">
      <x:c r="A107" s="16" t="str">
        <x:v>Барнаульская ТЭЦ-2</x:v>
      </x:c>
      <x:c r="B107" s="16" t="str">
        <x:v>2000554691-W111</x:v>
      </x:c>
      <x:c r="C107" s="16" t="str">
        <x:v>ФЛАНЕЦ СТ20 DN150(Б) PN16 И.1 ГОСТ12820</x:v>
      </x:c>
      <x:c r="D107" s="16" t="str">
        <x:v>Детали фасонные</x:v>
      </x:c>
      <x:c r="E107" s="16" t="str">
        <x:v>ШТ</x:v>
      </x:c>
      <x:c r="F107" s="25" t="n">
        <x:v>10</x:v>
      </x:c>
      <x:c r="G107" s="17" t="n">
        <x:v>710.5768</x:v>
      </x:c>
      <x:c r="H107" s="17" t="n">
        <x:f>G107*F107</x:f>
        <x:v>7105.768</x:v>
      </x:c>
      <x:c r="I107" s="26" t="str">
        <x:f>HYPERLINK("https://etp-aktiv.ru/catalog/materialy/truboprovody/2000554691-W111/","Открыть позицию")</x:f>
        <x:v>Открыть позицию</x:v>
      </x:c>
    </x:row>
    <x:row r="108" ht="28" customHeight="1">
      <x:c r="A108" s="16" t="str">
        <x:v>Барнаульская ТЭЦ-2</x:v>
      </x:c>
      <x:c r="B108" s="16" t="str">
        <x:v>2000554858-W111</x:v>
      </x:c>
      <x:c r="C108" s="16" t="str">
        <x:v>ФЛАНЕЦ СТ20 DN25 PN16 ИСП.2 ГОСТ12821-80</x:v>
      </x:c>
      <x:c r="D108" s="16" t="str">
        <x:v>Детали фасонные</x:v>
      </x:c>
      <x:c r="E108" s="16" t="str">
        <x:v>ШТ</x:v>
      </x:c>
      <x:c r="F108" s="25" t="n">
        <x:v>4</x:v>
      </x:c>
      <x:c r="G108" s="17" t="n">
        <x:v>26.0104</x:v>
      </x:c>
      <x:c r="H108" s="17" t="n">
        <x:f>G108*F108</x:f>
        <x:v>104.0416</x:v>
      </x:c>
      <x:c r="I108" s="26" t="str">
        <x:f>HYPERLINK("https://etp-aktiv.ru/catalog/materialy/truboprovody/2000554858-W111/","Открыть позицию")</x:f>
        <x:v>Открыть позицию</x:v>
      </x:c>
    </x:row>
    <x:row r="109" ht="28" customHeight="1">
      <x:c r="A109" s="16" t="str">
        <x:v>Барнаульская ТЭЦ-2</x:v>
      </x:c>
      <x:c r="B109" s="16" t="str">
        <x:v>2000554770-W111</x:v>
      </x:c>
      <x:c r="C109" s="16" t="str">
        <x:v>ФЛАНЕЦ СТ20 DN600 PN1,0 ИСП.1 ГОСТ12820</x:v>
      </x:c>
      <x:c r="D109" s="16" t="str">
        <x:v>Детали фасонные</x:v>
      </x:c>
      <x:c r="E109" s="16" t="str">
        <x:v>ШТ</x:v>
      </x:c>
      <x:c r="F109" s="25" t="n">
        <x:v>2</x:v>
      </x:c>
      <x:c r="G109" s="17" t="n">
        <x:v>657.031</x:v>
      </x:c>
      <x:c r="H109" s="17" t="n">
        <x:f>G109*F109</x:f>
        <x:v>1314.062</x:v>
      </x:c>
      <x:c r="I109" s="26" t="str">
        <x:f>HYPERLINK("https://etp-aktiv.ru/catalog/materialy/truboprovody/2000554770-W111/","Открыть позицию")</x:f>
        <x:v>Открыть позицию</x:v>
      </x:c>
    </x:row>
    <x:row r="110" ht="28" customHeight="1">
      <x:c r="A110" s="16" t="str">
        <x:v>Барнаульская ТЭЦ-2</x:v>
      </x:c>
      <x:c r="B110" s="16" t="str">
        <x:v>2000568235-W111</x:v>
      </x:c>
      <x:c r="C110" s="16" t="str">
        <x:v>ФЛАНЕЦ СТ20-25-16-ИСП.3 ГОСТ12821-80</x:v>
      </x:c>
      <x:c r="D110" s="16" t="str">
        <x:v>Детали фасонные</x:v>
      </x:c>
      <x:c r="E110" s="16" t="str">
        <x:v>ШТ</x:v>
      </x:c>
      <x:c r="F110" s="25" t="n">
        <x:v>4</x:v>
      </x:c>
      <x:c r="G110" s="17" t="n">
        <x:v>176.3632</x:v>
      </x:c>
      <x:c r="H110" s="17" t="n">
        <x:f>G110*F110</x:f>
        <x:v>705.4528</x:v>
      </x:c>
      <x:c r="I110" s="26" t="str">
        <x:f>HYPERLINK("https://etp-aktiv.ru/catalog/materialy/truboprovody/2000568235-W111/","Открыть позицию")</x:f>
        <x:v>Открыть позицию</x:v>
      </x:c>
    </x:row>
    <x:row r="111" ht="28" customHeight="1">
      <x:c r="A111" s="16" t="str">
        <x:v>Барнаульская ТЭЦ-2</x:v>
      </x:c>
      <x:c r="B111" s="16" t="str">
        <x:v>2000568233-W111</x:v>
      </x:c>
      <x:c r="C111" s="16" t="str">
        <x:v>ФЛАНЕЦ СТ20-32-16-ИСП.2 ГОСТ12821-80</x:v>
      </x:c>
      <x:c r="D111" s="16" t="str">
        <x:v>Детали фасонные</x:v>
      </x:c>
      <x:c r="E111" s="16" t="str">
        <x:v>ШТ</x:v>
      </x:c>
      <x:c r="F111" s="25" t="n">
        <x:v>2</x:v>
      </x:c>
      <x:c r="G111" s="17" t="n">
        <x:v>232.6418</x:v>
      </x:c>
      <x:c r="H111" s="17" t="n">
        <x:f>G111*F111</x:f>
        <x:v>465.2836</x:v>
      </x:c>
      <x:c r="I111" s="26" t="str">
        <x:f>HYPERLINK("https://etp-aktiv.ru/catalog/materialy/truboprovody/2000568233-W111/","Открыть позицию")</x:f>
        <x:v>Открыть позицию</x:v>
      </x:c>
    </x:row>
    <x:row r="112" ht="28" customHeight="1">
      <x:c r="A112" s="16" t="str">
        <x:v>Барнаульская ТЭЦ-2</x:v>
      </x:c>
      <x:c r="B112" s="16" t="str">
        <x:v>2000568236-W111</x:v>
      </x:c>
      <x:c r="C112" s="16" t="str">
        <x:v>ФЛАНЕЦ СТ20-32-16-ИСП.3 ГОСТ12821-80</x:v>
      </x:c>
      <x:c r="D112" s="16" t="str">
        <x:v>Детали фасонные</x:v>
      </x:c>
      <x:c r="E112" s="16" t="str">
        <x:v>ШТ</x:v>
      </x:c>
      <x:c r="F112" s="25" t="n">
        <x:v>2</x:v>
      </x:c>
      <x:c r="G112" s="17" t="n">
        <x:v>232.6418</x:v>
      </x:c>
      <x:c r="H112" s="17" t="n">
        <x:f>G112*F112</x:f>
        <x:v>465.2836</x:v>
      </x:c>
      <x:c r="I112" s="26" t="str">
        <x:f>HYPERLINK("https://etp-aktiv.ru/catalog/materialy/truboprovody/2000568236-W111/","Открыть позицию")</x:f>
        <x:v>Открыть позицию</x:v>
      </x:c>
    </x:row>
    <x:row r="113" ht="28" customHeight="1">
      <x:c r="A113" s="16" t="str">
        <x:v>Барнаульская ТЭЦ-2</x:v>
      </x:c>
      <x:c r="B113" s="16" t="str">
        <x:v>2000526789-W111</x:v>
      </x:c>
      <x:c r="C113" s="16" t="str">
        <x:v>ШПИНДЕЛЬ 883-300-7</x:v>
      </x:c>
      <x:c r="D113" s="16" t="str">
        <x:v>ЗЧ трубопр арматуры</x:v>
      </x:c>
      <x:c r="E113" s="16" t="str">
        <x:v>ШТ</x:v>
      </x:c>
      <x:c r="F113" s="25" t="n">
        <x:v>1</x:v>
      </x:c>
      <x:c r="G113" s="17" t="n">
        <x:v>29069.55</x:v>
      </x:c>
      <x:c r="H113" s="17" t="n">
        <x:f>G113*F113</x:f>
        <x:v>29069.55</x:v>
      </x:c>
      <x:c r="I113" s="26" t="str">
        <x:f>HYPERLINK("https://etp-aktiv.ru/catalog/materialy/truboprovodnaya-armatura-i-komplektuyushchie/2000526789-W111/","Открыть позицию")</x:f>
        <x:v>Открыть позицию</x:v>
      </x:c>
    </x:row>
    <x:row r="114" ht="28" customHeight="1">
      <x:c r="A114" s="16" t="str">
        <x:v>Барнаульская ТЭЦ-3</x:v>
      </x:c>
      <x:c r="B114" s="16" t="str">
        <x:v>2000673371-W112</x:v>
      </x:c>
      <x:c r="C114" s="16" t="str">
        <x:v>АМЕРИКАНКА УПЛ КОН UT26-032-316 DN32 ПП</x:v>
      </x:c>
      <x:c r="D114" s="16" t="str">
        <x:v>Детали фасонные</x:v>
      </x:c>
      <x:c r="E114" s="16" t="str">
        <x:v>ШТ</x:v>
      </x:c>
      <x:c r="F114" s="25" t="n">
        <x:v>4</x:v>
      </x:c>
      <x:c r="G114" s="17" t="n">
        <x:v>2989.0366000000004</x:v>
      </x:c>
      <x:c r="H114" s="17" t="n">
        <x:f>G114*F114</x:f>
        <x:v>11956.146400000001</x:v>
      </x:c>
      <x:c r="I114" s="26" t="str">
        <x:f>HYPERLINK("https://etp-aktiv.ru/catalog/materialy/truboprovody/2000673371-W112/","Открыть позицию")</x:f>
        <x:v>Открыть позицию</x:v>
      </x:c>
    </x:row>
    <x:row r="115" ht="28" customHeight="1">
      <x:c r="A115" s="16" t="str">
        <x:v>Барнаульская ТЭЦ-3</x:v>
      </x:c>
      <x:c r="B115" s="16" t="str">
        <x:v>2000673372-W112</x:v>
      </x:c>
      <x:c r="C115" s="16" t="str">
        <x:v>АМЕРИКАНКА УПЛ ПЛ UT26-032-316-F DN32 ПП</x:v>
      </x:c>
      <x:c r="D115" s="16" t="str">
        <x:v>Детали фасонные</x:v>
      </x:c>
      <x:c r="E115" s="16" t="str">
        <x:v>ШТ</x:v>
      </x:c>
      <x:c r="F115" s="25" t="n">
        <x:v>4</x:v>
      </x:c>
      <x:c r="G115" s="17" t="n">
        <x:v>2989.0366000000004</x:v>
      </x:c>
      <x:c r="H115" s="17" t="n">
        <x:f>G115*F115</x:f>
        <x:v>11956.146400000001</x:v>
      </x:c>
      <x:c r="I115" s="26" t="str">
        <x:f>HYPERLINK("https://etp-aktiv.ru/catalog/materialy/truboprovody/2000673372-W112/","Открыть позицию")</x:f>
        <x:v>Открыть позицию</x:v>
      </x:c>
    </x:row>
    <x:row r="116" ht="28" customHeight="1">
      <x:c r="A116" s="16" t="str">
        <x:v>Барнаульская ТЭЦ-3</x:v>
      </x:c>
      <x:c r="B116" s="16" t="str">
        <x:v>2000688727-W112</x:v>
      </x:c>
      <x:c r="C116" s="16" t="str">
        <x:v>КЛАПАН 15КЧ18П2 DN15 PN16 РП МУФ</x:v>
      </x:c>
      <x:c r="D116" s="16" t="str">
        <x:v>ЧугунАрмат (кр.затв)</x:v>
      </x:c>
      <x:c r="E116" s="16" t="str">
        <x:v>ШТ</x:v>
      </x:c>
      <x:c r="F116" s="25" t="n">
        <x:v>20</x:v>
      </x:c>
      <x:c r="G116" s="17" t="n">
        <x:v>8.918199999999999</x:v>
      </x:c>
      <x:c r="H116" s="17" t="n">
        <x:f>G116*F116</x:f>
        <x:v>178.36399999999998</x:v>
      </x:c>
      <x:c r="I116" s="26" t="str">
        <x:f>HYPERLINK("https://etp-aktiv.ru/catalog/materialy/truboprovodnaya-armatura-i-komplektuyushchie/2000688727-W112/","Открыть позицию")</x:f>
        <x:v>Открыть позицию</x:v>
      </x:c>
    </x:row>
    <x:row r="117" ht="28" customHeight="1">
      <x:c r="A117" s="16" t="str">
        <x:v>Барнаульская ТЭЦ-3</x:v>
      </x:c>
      <x:c r="B117" s="16" t="str">
        <x:v>2000231639-W112</x:v>
      </x:c>
      <x:c r="C117" s="16" t="str">
        <x:v>КОНТРГАЙКА СТ3 D32 ГОСТ8968-75</x:v>
      </x:c>
      <x:c r="D117" s="16" t="str">
        <x:v>ЗЧ трубопр арматуры</x:v>
      </x:c>
      <x:c r="E117" s="16" t="str">
        <x:v>ШТ</x:v>
      </x:c>
      <x:c r="F117" s="25" t="n">
        <x:v>15</x:v>
      </x:c>
      <x:c r="G117" s="17" t="n">
        <x:v>74.3468</x:v>
      </x:c>
      <x:c r="H117" s="17" t="n">
        <x:f>G117*F117</x:f>
        <x:v>1115.202</x:v>
      </x:c>
      <x:c r="I117" s="26" t="str">
        <x:f>HYPERLINK("https://etp-aktiv.ru/catalog/materialy/truboprovodnaya-armatura-i-komplektuyushchie/2000231639-W112/","Открыть позицию")</x:f>
        <x:v>Открыть позицию</x:v>
      </x:c>
    </x:row>
    <x:row r="118" ht="28" customHeight="1">
      <x:c r="A118" s="16" t="str">
        <x:v>Барнаульская ТЭЦ-3</x:v>
      </x:c>
      <x:c r="B118" s="16" t="str">
        <x:v>2000540050-W112</x:v>
      </x:c>
      <x:c r="C118" s="16" t="str">
        <x:v>КРАН 09Г2С ПП ВОДА 200° ПП 80/16 РП A</x:v>
      </x:c>
      <x:c r="D118" s="16" t="str">
        <x:v>Краны шаров.стальн</x:v>
      </x:c>
      <x:c r="E118" s="16" t="str">
        <x:v>ШТ</x:v>
      </x:c>
      <x:c r="F118" s="25" t="n">
        <x:v>4</x:v>
      </x:c>
      <x:c r="G118" s="17" t="n">
        <x:v>2777.025</x:v>
      </x:c>
      <x:c r="H118" s="17" t="n">
        <x:f>G118*F118</x:f>
        <x:v>11108.1</x:v>
      </x:c>
      <x:c r="I118" s="26" t="str">
        <x:f>HYPERLINK("https://etp-aktiv.ru/catalog/materialy/truboprovodnaya-armatura-i-komplektuyushchie/2000540050-W112/","Открыть позицию")</x:f>
        <x:v>Открыть позицию</x:v>
      </x:c>
    </x:row>
    <x:row r="119" ht="28" customHeight="1">
      <x:c r="A119" s="16" t="str">
        <x:v>Барнаульская ТЭЦ-3</x:v>
      </x:c>
      <x:c r="B119" s="16" t="str">
        <x:v>2000540243-W112</x:v>
      </x:c>
      <x:c r="C119" s="16" t="str">
        <x:v>КРАН 09Г2С СП ВОДА 200° ПП 50/16 РП A</x:v>
      </x:c>
      <x:c r="D119" s="16" t="str">
        <x:v>Краны шаров.стальн</x:v>
      </x:c>
      <x:c r="E119" s="16" t="str">
        <x:v>ШТ</x:v>
      </x:c>
      <x:c r="F119" s="25" t="n">
        <x:v>10</x:v>
      </x:c>
      <x:c r="G119" s="17" t="n">
        <x:v>868.1031999999999</x:v>
      </x:c>
      <x:c r="H119" s="17" t="n">
        <x:f>G119*F119</x:f>
        <x:v>8681.032</x:v>
      </x:c>
      <x:c r="I119" s="26" t="str">
        <x:f>HYPERLINK("https://etp-aktiv.ru/catalog/materialy/truboprovodnaya-armatura-i-komplektuyushchie/2000540243-W112/","Открыть позицию")</x:f>
        <x:v>Открыть позицию</x:v>
      </x:c>
    </x:row>
    <x:row r="120" ht="28" customHeight="1">
      <x:c r="A120" s="16" t="str">
        <x:v>Барнаульская ТЭЦ-3</x:v>
      </x:c>
      <x:c r="B120" s="16" t="str">
        <x:v>2000540254-W112</x:v>
      </x:c>
      <x:c r="C120" s="16" t="str">
        <x:v>КРАН 09Г2С СП ВОДА 200° ФЛ 200/16 РЕД A</x:v>
      </x:c>
      <x:c r="D120" s="16" t="str">
        <x:v>Краны шаров.стальн</x:v>
      </x:c>
      <x:c r="E120" s="16" t="str">
        <x:v>ШТ</x:v>
      </x:c>
      <x:c r="F120" s="25" t="n">
        <x:v>1</x:v>
      </x:c>
      <x:c r="G120" s="17" t="n">
        <x:v>18389.2186</x:v>
      </x:c>
      <x:c r="H120" s="17" t="n">
        <x:f>G120*F120</x:f>
        <x:v>18389.2186</x:v>
      </x:c>
      <x:c r="I120" s="26" t="str">
        <x:f>HYPERLINK("https://etp-aktiv.ru/catalog/materialy/truboprovodnaya-armatura-i-komplektuyushchie/2000540254-W112/","Открыть позицию")</x:f>
        <x:v>Открыть позицию</x:v>
      </x:c>
    </x:row>
    <x:row r="121" ht="28" customHeight="1">
      <x:c r="A121" s="16" t="str">
        <x:v>Барнаульская ТЭЦ-3</x:v>
      </x:c>
      <x:c r="B121" s="16" t="str">
        <x:v>2000006688-W112</x:v>
      </x:c>
      <x:c r="C121" s="16" t="str">
        <x:v>КРАН 10Б8БК1 DN20 PN10</x:v>
      </x:c>
      <x:c r="D121" s="16" t="str">
        <x:v>Армат из медн сплав</x:v>
      </x:c>
      <x:c r="E121" s="16" t="str">
        <x:v>ШТ</x:v>
      </x:c>
      <x:c r="F121" s="25" t="n">
        <x:v>10</x:v>
      </x:c>
      <x:c r="G121" s="17" t="n">
        <x:v>697.7668000000001</x:v>
      </x:c>
      <x:c r="H121" s="17" t="n">
        <x:f>G121*F121</x:f>
        <x:v>6977.6680000000015</x:v>
      </x:c>
      <x:c r="I121" s="26" t="str">
        <x:f>HYPERLINK("https://etp-aktiv.ru/catalog/materialy/truboprovodnaya-armatura-i-komplektuyushchie/2000006688-W112/","Открыть позицию")</x:f>
        <x:v>Открыть позицию</x:v>
      </x:c>
    </x:row>
    <x:row r="122" ht="28" customHeight="1">
      <x:c r="A122" s="16" t="str">
        <x:v>Барнаульская ТЭЦ-3</x:v>
      </x:c>
      <x:c r="B122" s="16" t="str">
        <x:v>2000028382-W112</x:v>
      </x:c>
      <x:c r="C122" s="16" t="str">
        <x:v>КРАН 11Б27П1 DN25 PN16</x:v>
      </x:c>
      <x:c r="D122" s="16" t="str">
        <x:v>Армат из медн сплав</x:v>
      </x:c>
      <x:c r="E122" s="16" t="str">
        <x:v>ШТ</x:v>
      </x:c>
      <x:c r="F122" s="25" t="n">
        <x:v>35</x:v>
      </x:c>
      <x:c r="G122" s="17" t="n">
        <x:v>259.6526</x:v>
      </x:c>
      <x:c r="H122" s="17" t="n">
        <x:f>G122*F122</x:f>
        <x:v>9087.841</x:v>
      </x:c>
      <x:c r="I122" s="26" t="str">
        <x:f>HYPERLINK("https://etp-aktiv.ru/catalog/materialy/truboprovodnaya-armatura-i-komplektuyushchie/2000028382-W112/","Открыть позицию")</x:f>
        <x:v>Открыть позицию</x:v>
      </x:c>
    </x:row>
    <x:row r="123" ht="28" customHeight="1">
      <x:c r="A123" s="16" t="str">
        <x:v>Барнаульская ТЭЦ-3</x:v>
      </x:c>
      <x:c r="B123" s="16" t="str">
        <x:v>2000006752-W112</x:v>
      </x:c>
      <x:c r="C123" s="16" t="str">
        <x:v>КРАН 11Б27П1 DN32 PN16</x:v>
      </x:c>
      <x:c r="D123" s="16" t="str">
        <x:v>Армат из медн сплав</x:v>
      </x:c>
      <x:c r="E123" s="16" t="str">
        <x:v>ШТ</x:v>
      </x:c>
      <x:c r="F123" s="25" t="n">
        <x:v>10</x:v>
      </x:c>
      <x:c r="G123" s="17" t="n">
        <x:v>491.05</x:v>
      </x:c>
      <x:c r="H123" s="17" t="n">
        <x:f>G123*F123</x:f>
        <x:v>4910.5</x:v>
      </x:c>
      <x:c r="I123" s="26" t="str">
        <x:f>HYPERLINK("https://etp-aktiv.ru/catalog/materialy/truboprovodnaya-armatura-i-komplektuyushchie/2000006752-W112/","Открыть позицию")</x:f>
        <x:v>Открыть позицию</x:v>
      </x:c>
    </x:row>
    <x:row r="124" ht="28" customHeight="1">
      <x:c r="A124" s="16" t="str">
        <x:v>Барнаульская ТЭЦ-3</x:v>
      </x:c>
      <x:c r="B124" s="16" t="str">
        <x:v>2000694392-W112</x:v>
      </x:c>
      <x:c r="C124" s="16" t="str">
        <x:v>КРАН ПВХ DN20 PN16 VEEIV020</x:v>
      </x:c>
      <x:c r="D124" s="16" t="str">
        <x:v>Фитинги труб полимер</x:v>
      </x:c>
      <x:c r="E124" s="16" t="str">
        <x:v>ШТ</x:v>
      </x:c>
      <x:c r="F124" s="25" t="n">
        <x:v>18</x:v>
      </x:c>
      <x:c r="G124" s="17" t="n">
        <x:v>428.90319999999997</x:v>
      </x:c>
      <x:c r="H124" s="17" t="n">
        <x:f>G124*F124</x:f>
        <x:v>7720.257599999999</x:v>
      </x:c>
      <x:c r="I124" s="26" t="str">
        <x:f>HYPERLINK("https://etp-aktiv.ru/catalog/materialy/truboprovody/2000694392-W112/","Открыть позицию")</x:f>
        <x:v>Открыть позицию</x:v>
      </x:c>
    </x:row>
    <x:row r="125" ht="28" customHeight="1">
      <x:c r="A125" s="16" t="str">
        <x:v>Барнаульская ТЭЦ-3</x:v>
      </x:c>
      <x:c r="B125" s="16" t="str">
        <x:v>2000540132-W112</x:v>
      </x:c>
      <x:c r="C125" s="16" t="str">
        <x:v>КРАН СТ20 ПП ВОДА 200° М 32/40 РП A</x:v>
      </x:c>
      <x:c r="D125" s="16" t="str">
        <x:v>Краны шаров.стальн</x:v>
      </x:c>
      <x:c r="E125" s="16" t="str">
        <x:v>ШТ</x:v>
      </x:c>
      <x:c r="F125" s="25" t="n">
        <x:v>6</x:v>
      </x:c>
      <x:c r="G125" s="17" t="n">
        <x:v>875.7281999999999</x:v>
      </x:c>
      <x:c r="H125" s="17" t="n">
        <x:f>G125*F125</x:f>
        <x:v>5254.369199999999</x:v>
      </x:c>
      <x:c r="I125" s="26" t="str">
        <x:f>HYPERLINK("https://etp-aktiv.ru/catalog/materialy/truboprovodnaya-armatura-i-komplektuyushchie/2000540132-W112/","Открыть позицию")</x:f>
        <x:v>Открыть позицию</x:v>
      </x:c>
    </x:row>
    <x:row r="126" ht="28" customHeight="1">
      <x:c r="A126" s="16" t="str">
        <x:v>Барнаульская ТЭЦ-3</x:v>
      </x:c>
      <x:c r="B126" s="16" t="str">
        <x:v>2000540178-W112</x:v>
      </x:c>
      <x:c r="C126" s="16" t="str">
        <x:v>КРАН СТ20 ПП ВОДА 200° ПП 65/25 ЭП A</x:v>
      </x:c>
      <x:c r="D126" s="16" t="str">
        <x:v>Краны шаров.стальн</x:v>
      </x:c>
      <x:c r="E126" s="16" t="str">
        <x:v>ШТ</x:v>
      </x:c>
      <x:c r="F126" s="25" t="n">
        <x:v>1</x:v>
      </x:c>
      <x:c r="G126" s="17" t="n">
        <x:v>22418.0734</x:v>
      </x:c>
      <x:c r="H126" s="17" t="n">
        <x:f>G126*F126</x:f>
        <x:v>22418.0734</x:v>
      </x:c>
      <x:c r="I126" s="26" t="str">
        <x:f>HYPERLINK("https://etp-aktiv.ru/catalog/materialy/truboprovodnaya-armatura-i-komplektuyushchie/2000540178-W112/","Открыть позицию")</x:f>
        <x:v>Открыть позицию</x:v>
      </x:c>
    </x:row>
    <x:row r="127" ht="28" customHeight="1">
      <x:c r="A127" s="16" t="str">
        <x:v>Барнаульская ТЭЦ-3</x:v>
      </x:c>
      <x:c r="B127" s="16" t="str">
        <x:v>2000540141-W112</x:v>
      </x:c>
      <x:c r="C127" s="16" t="str">
        <x:v>КРАН СТ20 ПП ВОДА 200° ПП DN100PN25 ЭП A</x:v>
      </x:c>
      <x:c r="D127" s="16" t="str">
        <x:v>Краны шаров.стальн</x:v>
      </x:c>
      <x:c r="E127" s="16" t="str">
        <x:v>ШТ</x:v>
      </x:c>
      <x:c r="F127" s="25" t="n">
        <x:v>1</x:v>
      </x:c>
      <x:c r="G127" s="17" t="n">
        <x:v>29897.0516</x:v>
      </x:c>
      <x:c r="H127" s="17" t="n">
        <x:f>G127*F127</x:f>
        <x:v>29897.0516</x:v>
      </x:c>
      <x:c r="I127" s="26" t="str">
        <x:f>HYPERLINK("https://etp-aktiv.ru/catalog/materialy/truboprovodnaya-armatura-i-komplektuyushchie/2000540141-W112/","Открыть позицию")</x:f>
        <x:v>Открыть позицию</x:v>
      </x:c>
    </x:row>
    <x:row r="128" ht="28" customHeight="1">
      <x:c r="A128" s="16" t="str">
        <x:v>Барнаульская ТЭЦ-3</x:v>
      </x:c>
      <x:c r="B128" s="16" t="str">
        <x:v>2000540187-W112</x:v>
      </x:c>
      <x:c r="C128" s="16" t="str">
        <x:v>КРАН СТ20 ПП ВОДА 200° ФЛ 15/16 РП A</x:v>
      </x:c>
      <x:c r="D128" s="16" t="str">
        <x:v>Краны шаров.стальн</x:v>
      </x:c>
      <x:c r="E128" s="16" t="str">
        <x:v>ШТ</x:v>
      </x:c>
      <x:c r="F128" s="25" t="n">
        <x:v>30</x:v>
      </x:c>
      <x:c r="G128" s="17" t="n">
        <x:v>1200.9436</x:v>
      </x:c>
      <x:c r="H128" s="17" t="n">
        <x:f>G128*F128</x:f>
        <x:v>36028.308000000005</x:v>
      </x:c>
      <x:c r="I128" s="26" t="str">
        <x:f>HYPERLINK("https://etp-aktiv.ru/catalog/materialy/truboprovodnaya-armatura-i-komplektuyushchie/2000540187-W112/","Открыть позицию")</x:f>
        <x:v>Открыть позицию</x:v>
      </x:c>
    </x:row>
    <x:row r="129" ht="28" customHeight="1">
      <x:c r="A129" s="16" t="str">
        <x:v>Барнаульская ТЭЦ-3</x:v>
      </x:c>
      <x:c r="B129" s="16" t="str">
        <x:v>2000540191-W112</x:v>
      </x:c>
      <x:c r="C129" s="16" t="str">
        <x:v>КРАН СТ20 ПП ВОДА 200° ФЛ 150/25 РП A</x:v>
      </x:c>
      <x:c r="D129" s="16" t="str">
        <x:v>Краны шаров.стальн</x:v>
      </x:c>
      <x:c r="E129" s="16" t="str">
        <x:v>ШТ</x:v>
      </x:c>
      <x:c r="F129" s="25" t="n">
        <x:v>4</x:v>
      </x:c>
      <x:c r="G129" s="17" t="n">
        <x:v>5705.94</x:v>
      </x:c>
      <x:c r="H129" s="17" t="n">
        <x:f>G129*F129</x:f>
        <x:v>22823.76</x:v>
      </x:c>
      <x:c r="I129" s="26" t="str">
        <x:f>HYPERLINK("https://etp-aktiv.ru/catalog/materialy/truboprovodnaya-armatura-i-komplektuyushchie/2000540191-W112/","Открыть позицию")</x:f>
        <x:v>Открыть позицию</x:v>
      </x:c>
    </x:row>
    <x:row r="130" ht="28" customHeight="1">
      <x:c r="A130" s="16" t="str">
        <x:v>Барнаульская ТЭЦ-3</x:v>
      </x:c>
      <x:c r="B130" s="16" t="str">
        <x:v>2000540207-W112</x:v>
      </x:c>
      <x:c r="C130" s="16" t="str">
        <x:v>КРАН СТ20 РЕГ ВОДА 200° ПП DN100 PN25 РП</x:v>
      </x:c>
      <x:c r="D130" s="16" t="str">
        <x:v>Краны шаров.стальн</x:v>
      </x:c>
      <x:c r="E130" s="16" t="str">
        <x:v>ШТ</x:v>
      </x:c>
      <x:c r="F130" s="25" t="n">
        <x:v>1</x:v>
      </x:c>
      <x:c r="G130" s="17" t="n">
        <x:v>10296.4096</x:v>
      </x:c>
      <x:c r="H130" s="17" t="n">
        <x:f>G130*F130</x:f>
        <x:v>10296.4096</x:v>
      </x:c>
      <x:c r="I130" s="26" t="str">
        <x:f>HYPERLINK("https://etp-aktiv.ru/catalog/materialy/truboprovodnaya-armatura-i-komplektuyushchie/2000540207-W112/","Открыть позицию")</x:f>
        <x:v>Открыть позицию</x:v>
      </x:c>
    </x:row>
    <x:row r="131" ht="28" customHeight="1">
      <x:c r="A131" s="16" t="str">
        <x:v>Барнаульская ТЭЦ-3</x:v>
      </x:c>
      <x:c r="B131" s="16" t="str">
        <x:v>2000206866-W112</x:v>
      </x:c>
      <x:c r="C131" s="16" t="str">
        <x:v>КРАН ШАРОВЫЙ 11Б27П1 DN40 PN16</x:v>
      </x:c>
      <x:c r="D131" s="16" t="str">
        <x:v>Армат из медн сплав</x:v>
      </x:c>
      <x:c r="E131" s="16" t="str">
        <x:v>ШТ</x:v>
      </x:c>
      <x:c r="F131" s="25" t="n">
        <x:v>4</x:v>
      </x:c>
      <x:c r="G131" s="17" t="n">
        <x:v>523.014</x:v>
      </x:c>
      <x:c r="H131" s="17" t="n">
        <x:f>G131*F131</x:f>
        <x:v>2092.056</x:v>
      </x:c>
      <x:c r="I131" s="26" t="str">
        <x:f>HYPERLINK("https://etp-aktiv.ru/catalog/materialy/truboprovodnaya-armatura-i-komplektuyushchie/2000206866-W112/","Открыть позицию")</x:f>
        <x:v>Открыть позицию</x:v>
      </x:c>
    </x:row>
    <x:row r="132" ht="28" customHeight="1">
      <x:c r="A132" s="16" t="str">
        <x:v>Барнаульская ТЭЦ-3</x:v>
      </x:c>
      <x:c r="B132" s="16" t="str">
        <x:v>2000632679-W112</x:v>
      </x:c>
      <x:c r="C132" s="16" t="str">
        <x:v>КРАН ШАРОВЫЙ СП СТ20 ВОДА ПП 200/25 ЭП</x:v>
      </x:c>
      <x:c r="D132" s="16" t="str">
        <x:v>Краны шаров.стальн</x:v>
      </x:c>
      <x:c r="E132" s="16" t="str">
        <x:v>ШТ</x:v>
      </x:c>
      <x:c r="F132" s="25" t="n">
        <x:v>1</x:v>
      </x:c>
      <x:c r="G132" s="17" t="n">
        <x:v>98886.0508</x:v>
      </x:c>
      <x:c r="H132" s="17" t="n">
        <x:f>G132*F132</x:f>
        <x:v>98886.0508</x:v>
      </x:c>
      <x:c r="I132" s="26" t="str">
        <x:f>HYPERLINK("https://etp-aktiv.ru/catalog/materialy/truboprovodnaya-armatura-i-komplektuyushchie/2000632679-W112/","Открыть позицию")</x:f>
        <x:v>Открыть позицию</x:v>
      </x:c>
    </x:row>
    <x:row r="133" ht="28" customHeight="1">
      <x:c r="A133" s="16" t="str">
        <x:v>Барнаульская ТЭЦ-3</x:v>
      </x:c>
      <x:c r="B133" s="16" t="str">
        <x:v>2000559388-W112</x:v>
      </x:c>
      <x:c r="C133" s="16" t="str">
        <x:v>МУФТА СОЕДИНИТЕЛЬНАЯ ПВХ 63ММ MIV063</x:v>
      </x:c>
      <x:c r="D133" s="16" t="str">
        <x:v>Фитинги труб полимер</x:v>
      </x:c>
      <x:c r="E133" s="16" t="str">
        <x:v>ШТ</x:v>
      </x:c>
      <x:c r="F133" s="25" t="n">
        <x:v>3</x:v>
      </x:c>
      <x:c r="G133" s="17" t="n">
        <x:v>73.91980000000001</x:v>
      </x:c>
      <x:c r="H133" s="17" t="n">
        <x:f>G133*F133</x:f>
        <x:v>221.75940000000003</x:v>
      </x:c>
      <x:c r="I133" s="26" t="str">
        <x:f>HYPERLINK("https://etp-aktiv.ru/catalog/materialy/truboprovody/2000559388-W112/","Открыть позицию")</x:f>
        <x:v>Открыть позицию</x:v>
      </x:c>
    </x:row>
    <x:row r="134" ht="28" customHeight="1">
      <x:c r="A134" s="16" t="str">
        <x:v>Барнаульская ТЭЦ-3</x:v>
      </x:c>
      <x:c r="B134" s="16" t="str">
        <x:v>2000638607-W112</x:v>
      </x:c>
      <x:c r="C134" s="16" t="str">
        <x:v>ПАТРУБОК ТЕРМОСТАТА 50-1306028-Б2</x:v>
      </x:c>
      <x:c r="D134" s="16" t="str">
        <x:v>ЗЧ к ДСТ менее 20т</x:v>
      </x:c>
      <x:c r="E134" s="16" t="str">
        <x:v>ШТ</x:v>
      </x:c>
      <x:c r="F134" s="25" t="n">
        <x:v>1</x:v>
      </x:c>
      <x:c r="G134" s="17" t="n">
        <x:v>516.0234</x:v>
      </x:c>
      <x:c r="H134" s="17" t="n">
        <x:f>G134*F134</x:f>
        <x:v>516.0234</x:v>
      </x:c>
      <x:c r="I134" s="26" t="str">
        <x:f>HYPERLINK("https://etp-aktiv.ru/catalog/materialy/zapasnye-chasti-k-dorozhno-stroitelnoj-tekhnike/2000638607-W112/","Открыть позицию")</x:f>
        <x:v>Открыть позицию</x:v>
      </x:c>
    </x:row>
    <x:row r="135" ht="28" customHeight="1">
      <x:c r="A135" s="16" t="str">
        <x:v>Барнаульская ТЭЦ-3</x:v>
      </x:c>
      <x:c r="B135" s="16" t="str">
        <x:v>2000563347-W112</x:v>
      </x:c>
      <x:c r="C135" s="16" t="str">
        <x:v>ПРОБКА КОНИЧЕСКАЯ ТУ-6402</x:v>
      </x:c>
      <x:c r="D135" s="16" t="str">
        <x:v>Труб/элем ТИ и Футер</x:v>
      </x:c>
      <x:c r="E135" s="16" t="str">
        <x:v>ШТ</x:v>
      </x:c>
      <x:c r="F135" s="25" t="n">
        <x:v>500</x:v>
      </x:c>
      <x:c r="G135" s="17" t="n">
        <x:v>109.8</x:v>
      </x:c>
      <x:c r="H135" s="17" t="n">
        <x:f>G135*F135</x:f>
        <x:v>54900</x:v>
      </x:c>
      <x:c r="I135" s="26" t="str">
        <x:f>HYPERLINK("https://etp-aktiv.ru/catalog/materialy/truboprovody/2000563347-W112/","Открыть позицию")</x:f>
        <x:v>Открыть позицию</x:v>
      </x:c>
    </x:row>
    <x:row r="136" ht="28" customHeight="1">
      <x:c r="A136" s="16" t="str">
        <x:v>Барнаульская ТЭЦ-3</x:v>
      </x:c>
      <x:c r="B136" s="16" t="str">
        <x:v>2000559274-W112</x:v>
      </x:c>
      <x:c r="C136" s="16" t="str">
        <x:v>ТРОЙНИК 20 12Х1МФ 203521 (К-5980)</x:v>
      </x:c>
      <x:c r="D136" s="16" t="str">
        <x:v>Труб/элем ВД</x:v>
      </x:c>
      <x:c r="E136" s="16" t="str">
        <x:v>ШТ</x:v>
      </x:c>
      <x:c r="F136" s="25" t="n">
        <x:v>2</x:v>
      </x:c>
      <x:c r="G136" s="17" t="n">
        <x:v>1276.425</x:v>
      </x:c>
      <x:c r="H136" s="17" t="n">
        <x:f>G136*F136</x:f>
        <x:v>2552.85</x:v>
      </x:c>
      <x:c r="I136" s="26" t="str">
        <x:f>HYPERLINK("https://etp-aktiv.ru/catalog/materialy/truboprovody/2000559274-W112/","Открыть позицию")</x:f>
        <x:v>Открыть позицию</x:v>
      </x:c>
    </x:row>
    <x:row r="137" ht="28" customHeight="1">
      <x:c r="A137" s="16" t="str">
        <x:v>Барнаульская ТЭЦ-3</x:v>
      </x:c>
      <x:c r="B137" s="16" t="str">
        <x:v>2000552902-W112</x:v>
      </x:c>
      <x:c r="C137" s="16" t="str">
        <x:v>ТРОЙНИК PP 87,5° 50*50ММ</x:v>
      </x:c>
      <x:c r="D137" s="16" t="str">
        <x:v>Детали фасонные</x:v>
      </x:c>
      <x:c r="E137" s="16" t="str">
        <x:v>ШТ</x:v>
      </x:c>
      <x:c r="F137" s="25" t="n">
        <x:v>1</x:v>
      </x:c>
      <x:c r="G137" s="17" t="n">
        <x:v>48.043600000000005</x:v>
      </x:c>
      <x:c r="H137" s="17" t="n">
        <x:f>G137*F137</x:f>
        <x:v>48.043600000000005</x:v>
      </x:c>
      <x:c r="I137" s="26" t="str">
        <x:f>HYPERLINK("https://etp-aktiv.ru/catalog/materialy/truboprovody/2000552902-W112/","Открыть позицию")</x:f>
        <x:v>Открыть позицию</x:v>
      </x:c>
    </x:row>
    <x:row r="138" ht="28" customHeight="1">
      <x:c r="A138" s="16" t="str">
        <x:v>Барнаульская ТЭЦ-3</x:v>
      </x:c>
      <x:c r="B138" s="16" t="str">
        <x:v>2000552905-W112</x:v>
      </x:c>
      <x:c r="C138" s="16" t="str">
        <x:v>ТРОЙНИК РР 87° 110*110</x:v>
      </x:c>
      <x:c r="D138" s="16" t="str">
        <x:v>Детали фасонные</x:v>
      </x:c>
      <x:c r="E138" s="16" t="str">
        <x:v>ШТ</x:v>
      </x:c>
      <x:c r="F138" s="25" t="n">
        <x:v>1</x:v>
      </x:c>
      <x:c r="G138" s="17" t="n">
        <x:v>109.8</x:v>
      </x:c>
      <x:c r="H138" s="17" t="n">
        <x:f>G138*F138</x:f>
        <x:v>109.8</x:v>
      </x:c>
      <x:c r="I138" s="26" t="str">
        <x:f>HYPERLINK("https://etp-aktiv.ru/catalog/materialy/truboprovody/2000552905-W112/","Открыть позицию")</x:f>
        <x:v>Открыть позицию</x:v>
      </x:c>
    </x:row>
    <x:row r="139" ht="28" customHeight="1">
      <x:c r="A139" s="16" t="str">
        <x:v>Барнаульская ТЭЦ-3</x:v>
      </x:c>
      <x:c r="B139" s="16" t="str">
        <x:v>2000670112-W112</x:v>
      </x:c>
      <x:c r="C139" s="16" t="str">
        <x:v>ТРОЙНИК СТ20 42,4*5 42,4 ГОСТ17376-01</x:v>
      </x:c>
      <x:c r="D139" s="16" t="str">
        <x:v>Детали фасонные</x:v>
      </x:c>
      <x:c r="E139" s="16" t="str">
        <x:v>ШТ</x:v>
      </x:c>
      <x:c r="F139" s="25" t="n">
        <x:v>4</x:v>
      </x:c>
      <x:c r="G139" s="17" t="n">
        <x:v>227.49339999999998</x:v>
      </x:c>
      <x:c r="H139" s="17" t="n">
        <x:f>G139*F139</x:f>
        <x:v>909.9735999999999</x:v>
      </x:c>
      <x:c r="I139" s="26" t="str">
        <x:f>HYPERLINK("https://etp-aktiv.ru/catalog/materialy/truboprovody/2000670112-W112/","Открыть позицию")</x:f>
        <x:v>Открыть позицию</x:v>
      </x:c>
    </x:row>
    <x:row r="140" ht="28" customHeight="1">
      <x:c r="A140" s="16" t="str">
        <x:v>Барнаульская ТЭЦ-3</x:v>
      </x:c>
      <x:c r="B140" s="16" t="str">
        <x:v>2000560630-W112</x:v>
      </x:c>
      <x:c r="C140" s="16" t="str">
        <x:v>ТРУБА 08Х18Н10Т 10*2,5 ГОСТ9941-81</x:v>
      </x:c>
      <x:c r="D140" s="16" t="str">
        <x:v>ТрбНж(свр/бш)КрмКтВД</x:v>
      </x:c>
      <x:c r="E140" s="16" t="str">
        <x:v>Т</x:v>
      </x:c>
      <x:c r="F140" s="30" t="n">
        <x:v>0.037</x:v>
      </x:c>
      <x:c r="G140" s="17" t="n">
        <x:v>173618.34639999998</x:v>
      </x:c>
      <x:c r="H140" s="17" t="n">
        <x:f>G140*F140</x:f>
        <x:v>6423.878816799999</x:v>
      </x:c>
      <x:c r="I140" s="26" t="str">
        <x:f>HYPERLINK("https://etp-aktiv.ru/catalog/materialy/truby-stalnye-i-polimernye/2000560630-W112/","Открыть позицию")</x:f>
        <x:v>Открыть позицию</x:v>
      </x:c>
    </x:row>
    <x:row r="141" ht="28" customHeight="1">
      <x:c r="A141" s="16" t="str">
        <x:v>Барнаульская ТЭЦ-3</x:v>
      </x:c>
      <x:c r="B141" s="16" t="str">
        <x:v>2000545963-W112</x:v>
      </x:c>
      <x:c r="C141" s="16" t="str">
        <x:v>ТРУБА 12Х1МФ 28*4 ТУ14-3Р-55-01</x:v>
      </x:c>
      <x:c r="D141" s="16" t="str">
        <x:v>Трубы котельные в/д</x:v>
      </x:c>
      <x:c r="E141" s="16" t="str">
        <x:v>Т</x:v>
      </x:c>
      <x:c r="F141" s="30" t="n">
        <x:v>0.222</x:v>
      </x:c>
      <x:c r="G141" s="17" t="n">
        <x:v>69695.39140000001</x:v>
      </x:c>
      <x:c r="H141" s="17" t="n">
        <x:f>G141*F141</x:f>
        <x:v>15472.376890800002</x:v>
      </x:c>
      <x:c r="I141" s="26" t="str">
        <x:f>HYPERLINK("https://etp-aktiv.ru/catalog/materialy/truby-stalnye-i-polimernye/2000545963-W112/","Открыть позицию")</x:f>
        <x:v>Открыть позицию</x:v>
      </x:c>
    </x:row>
    <x:row r="142" ht="28" customHeight="1">
      <x:c r="A142" s="16" t="str">
        <x:v>Барнаульская ТЭЦ-3</x:v>
      </x:c>
      <x:c r="B142" s="16" t="str">
        <x:v>2000545981-W112</x:v>
      </x:c>
      <x:c r="C142" s="16" t="str">
        <x:v>ТРУБА 12Х1МФ 60*6 ТУ14-3Р-55-01</x:v>
      </x:c>
      <x:c r="D142" s="16" t="str">
        <x:v>Трубы котельные в/д</x:v>
      </x:c>
      <x:c r="E142" s="16" t="str">
        <x:v>Т</x:v>
      </x:c>
      <x:c r="F142" s="30" t="n">
        <x:v>0.822</x:v>
      </x:c>
      <x:c r="G142" s="17" t="n">
        <x:v>175450.10319999998</x:v>
      </x:c>
      <x:c r="H142" s="17" t="n">
        <x:f>G142*F142</x:f>
        <x:v>144219.98483039998</x:v>
      </x:c>
      <x:c r="I142" s="26" t="str">
        <x:f>HYPERLINK("https://etp-aktiv.ru/catalog/materialy/truby-stalnye-i-polimernye/2000545981-W112/","Открыть позицию")</x:f>
        <x:v>Открыть позицию</x:v>
      </x:c>
    </x:row>
    <x:row r="143" ht="28" customHeight="1">
      <x:c r="A143" s="16" t="str">
        <x:v>Барнаульская ТЭЦ-3</x:v>
      </x:c>
      <x:c r="B143" s="16" t="str">
        <x:v>2000546118-W112</x:v>
      </x:c>
      <x:c r="C143" s="16" t="str">
        <x:v>ТРУБА 12Х1МФ Г 159*22 ТУ14-3Р-55-01</x:v>
      </x:c>
      <x:c r="D143" s="16" t="str">
        <x:v>Трубы котельные в/д</x:v>
      </x:c>
      <x:c r="E143" s="16" t="str">
        <x:v>Т</x:v>
      </x:c>
      <x:c r="F143" s="30" t="n">
        <x:v>0.35</x:v>
      </x:c>
      <x:c r="G143" s="17" t="n">
        <x:v>121371.2974</x:v>
      </x:c>
      <x:c r="H143" s="17" t="n">
        <x:f>G143*F143</x:f>
        <x:v>42479.95409</x:v>
      </x:c>
      <x:c r="I143" s="26" t="str">
        <x:f>HYPERLINK("https://etp-aktiv.ru/catalog/materialy/truby-stalnye-i-polimernye/2000546118-W112/","Открыть позицию")</x:f>
        <x:v>Открыть позицию</x:v>
      </x:c>
    </x:row>
    <x:row r="144" ht="28" customHeight="1">
      <x:c r="A144" s="16" t="str">
        <x:v>Барнаульская ТЭЦ-3</x:v>
      </x:c>
      <x:c r="B144" s="16" t="str">
        <x:v>2000546115-W112</x:v>
      </x:c>
      <x:c r="C144" s="16" t="str">
        <x:v>ТРУБА 12Х1МФ Г 159*26 ТУ14-3Р-55-01</x:v>
      </x:c>
      <x:c r="D144" s="16" t="str">
        <x:v>Трубы котельные в/д</x:v>
      </x:c>
      <x:c r="E144" s="16" t="str">
        <x:v>Т</x:v>
      </x:c>
      <x:c r="F144" s="30" t="n">
        <x:v>0.096</x:v>
      </x:c>
      <x:c r="G144" s="17" t="n">
        <x:v>123068.7932</x:v>
      </x:c>
      <x:c r="H144" s="17" t="n">
        <x:f>G144*F144</x:f>
        <x:v>11814.6041472</x:v>
      </x:c>
      <x:c r="I144" s="26" t="str">
        <x:f>HYPERLINK("https://etp-aktiv.ru/catalog/materialy/truby-stalnye-i-polimernye/2000546115-W112/","Открыть позицию")</x:f>
        <x:v>Открыть позицию</x:v>
      </x:c>
    </x:row>
    <x:row r="145" ht="28" customHeight="1">
      <x:c r="A145" s="16" t="str">
        <x:v>Барнаульская ТЭЦ-3</x:v>
      </x:c>
      <x:c r="B145" s="16" t="str">
        <x:v>2000546076-W112</x:v>
      </x:c>
      <x:c r="C145" s="16" t="str">
        <x:v>ТРУБА 15ГС 133*10 ТУ14-3-460-75</x:v>
      </x:c>
      <x:c r="D145" s="16" t="str">
        <x:v>Трубы котельные в/д</x:v>
      </x:c>
      <x:c r="E145" s="16" t="str">
        <x:v>Т</x:v>
      </x:c>
      <x:c r="F145" s="30" t="n">
        <x:v>0.095</x:v>
      </x:c>
      <x:c r="G145" s="17" t="n">
        <x:v>23083.351599999998</x:v>
      </x:c>
      <x:c r="H145" s="17" t="n">
        <x:f>G145*F145</x:f>
        <x:v>2192.918402</x:v>
      </x:c>
      <x:c r="I145" s="26" t="str">
        <x:f>HYPERLINK("https://etp-aktiv.ru/catalog/materialy/truby-stalnye-i-polimernye/2000546076-W112/","Открыть позицию")</x:f>
        <x:v>Открыть позицию</x:v>
      </x:c>
    </x:row>
    <x:row r="146" ht="28" customHeight="1">
      <x:c r="A146" s="16" t="str">
        <x:v>Барнаульская ТЭЦ-3</x:v>
      </x:c>
      <x:c r="B146" s="16" t="str">
        <x:v>2000546082-W112</x:v>
      </x:c>
      <x:c r="C146" s="16" t="str">
        <x:v>ТРУБА 15ГС 325*28 ТУ14-3Р-55-01</x:v>
      </x:c>
      <x:c r="D146" s="16" t="str">
        <x:v>Трубы котельные в/д</x:v>
      </x:c>
      <x:c r="E146" s="16" t="str">
        <x:v>Т</x:v>
      </x:c>
      <x:c r="F146" s="24" t="n">
        <x:v>1.974</x:v>
      </x:c>
      <x:c r="G146" s="17" t="n">
        <x:v>149945.6128</x:v>
      </x:c>
      <x:c r="H146" s="17" t="n">
        <x:f>G146*F146</x:f>
        <x:v>295992.6396672</x:v>
      </x:c>
      <x:c r="I146" s="26" t="str">
        <x:f>HYPERLINK("https://etp-aktiv.ru/catalog/materialy/truby-stalnye-i-polimernye/2000546082-W112/","Открыть позицию")</x:f>
        <x:v>Открыть позицию</x:v>
      </x:c>
    </x:row>
    <x:row r="147" ht="28" customHeight="1">
      <x:c r="A147" s="16" t="str">
        <x:v>Барнаульская ТЭЦ-3</x:v>
      </x:c>
      <x:c r="B147" s="16" t="str">
        <x:v>2000546087-W112</x:v>
      </x:c>
      <x:c r="C147" s="16" t="str">
        <x:v>ТРУБА 15Х1МФ 377*50 ТУ14-3Р-55-01</x:v>
      </x:c>
      <x:c r="D147" s="16" t="str">
        <x:v>Трубы котельные в/д</x:v>
      </x:c>
      <x:c r="E147" s="16" t="str">
        <x:v>Т</x:v>
      </x:c>
      <x:c r="F147" s="30" t="n">
        <x:v>0.772</x:v>
      </x:c>
      <x:c r="G147" s="17" t="n">
        <x:v>317156.55580000003</x:v>
      </x:c>
      <x:c r="H147" s="17" t="n">
        <x:f>G147*F147</x:f>
        <x:v>244844.86107760004</x:v>
      </x:c>
      <x:c r="I147" s="26" t="str">
        <x:f>HYPERLINK("https://etp-aktiv.ru/catalog/materialy/truby-stalnye-i-polimernye/2000546087-W112/","Открыть позицию")</x:f>
        <x:v>Открыть позицию</x:v>
      </x:c>
    </x:row>
    <x:row r="148" ht="28" customHeight="1">
      <x:c r="A148" s="16" t="str">
        <x:v>Барнаульская ТЭЦ-3</x:v>
      </x:c>
      <x:c r="B148" s="16" t="str">
        <x:v>2000560568-W112</x:v>
      </x:c>
      <x:c r="C148" s="16" t="str">
        <x:v>ТРУБА 17Г1С 1020*12 ГОСТ20295-85</x:v>
      </x:c>
      <x:c r="D148" s="16" t="str">
        <x:v>ТрубЧерСварБольшДиам</x:v>
      </x:c>
      <x:c r="E148" s="16" t="str">
        <x:v>Т</x:v>
      </x:c>
      <x:c r="F148" s="24" t="n">
        <x:v>2.975</x:v>
      </x:c>
      <x:c r="G148" s="17" t="n">
        <x:v>62235.96979999999</x:v>
      </x:c>
      <x:c r="H148" s="17" t="n">
        <x:f>G148*F148</x:f>
        <x:v>185152.01015499997</x:v>
      </x:c>
      <x:c r="I148" s="26" t="str">
        <x:f>HYPERLINK("https://etp-aktiv.ru/catalog/materialy/truby-stalnye-i-polimernye/2000560568-W112/","Открыть позицию")</x:f>
        <x:v>Открыть позицию</x:v>
      </x:c>
    </x:row>
    <x:row r="149" ht="28" customHeight="1">
      <x:c r="A149" s="16" t="str">
        <x:v>Барнаульская ТЭЦ-3</x:v>
      </x:c>
      <x:c r="B149" s="16" t="str">
        <x:v>2000191173-W112</x:v>
      </x:c>
      <x:c r="C149" s="16" t="str">
        <x:v>ТРУБА Б/Ш СТ3 Г/Д 40*3,5 ГОСТ3262-75</x:v>
      </x:c>
      <x:c r="D149" s="16" t="str">
        <x:v>ТрбЧерСварМалСрдДиам</x:v>
      </x:c>
      <x:c r="E149" s="16" t="str">
        <x:v>Т</x:v>
      </x:c>
      <x:c r="F149" s="24" t="n">
        <x:v>1.83</x:v>
      </x:c>
      <x:c r="G149" s="17" t="n">
        <x:v>59876.5996</x:v>
      </x:c>
      <x:c r="H149" s="17" t="n">
        <x:f>G149*F149</x:f>
        <x:v>109574.17726800001</x:v>
      </x:c>
      <x:c r="I149" s="26" t="str">
        <x:f>HYPERLINK("https://etp-aktiv.ru/catalog/materialy/truby-stalnye-i-polimernye/2000191173-W112/","Открыть позицию")</x:f>
        <x:v>Открыть позицию</x:v>
      </x:c>
    </x:row>
    <x:row r="150" ht="28" customHeight="1">
      <x:c r="A150" s="16" t="str">
        <x:v>Барнаульская ТЭЦ-3</x:v>
      </x:c>
      <x:c r="B150" s="16" t="str">
        <x:v>2000560542-W112</x:v>
      </x:c>
      <x:c r="C150" s="16" t="str">
        <x:v>ТРУБА В-СТ10 76*4 ГОСТ10705-80</x:v>
      </x:c>
      <x:c r="D150" s="16" t="str">
        <x:v>ТрбЧерСварМалСрдДиам</x:v>
      </x:c>
      <x:c r="E150" s="16" t="str">
        <x:v>Т</x:v>
      </x:c>
      <x:c r="F150" s="30" t="n">
        <x:v>0.02</x:v>
      </x:c>
      <x:c r="G150" s="17" t="n">
        <x:v>40717.621999999996</x:v>
      </x:c>
      <x:c r="H150" s="17" t="n">
        <x:f>G150*F150</x:f>
        <x:v>814.3524399999999</x:v>
      </x:c>
      <x:c r="I150" s="26" t="str">
        <x:f>HYPERLINK("https://etp-aktiv.ru/catalog/materialy/truby-stalnye-i-polimernye/2000560542-W112/","Открыть позицию")</x:f>
        <x:v>Открыть позицию</x:v>
      </x:c>
    </x:row>
    <x:row r="151" ht="28" customHeight="1">
      <x:c r="A151" s="16" t="str">
        <x:v>Барнаульская ТЭЦ-3</x:v>
      </x:c>
      <x:c r="B151" s="16" t="str">
        <x:v>2000560297-W112</x:v>
      </x:c>
      <x:c r="C151" s="16" t="str">
        <x:v>ТРУБА В-СТ10 76*6 ГОСТ8731-74</x:v>
      </x:c>
      <x:c r="D151" s="16" t="str">
        <x:v>Трубы черные бесшов</x:v>
      </x:c>
      <x:c r="E151" s="16" t="str">
        <x:v>Т</x:v>
      </x:c>
      <x:c r="F151" s="30" t="n">
        <x:v>0.253</x:v>
      </x:c>
      <x:c r="G151" s="17" t="n">
        <x:v>95480.0548</x:v>
      </x:c>
      <x:c r="H151" s="17" t="n">
        <x:f>G151*F151</x:f>
        <x:v>24156.4538644</x:v>
      </x:c>
      <x:c r="I151" s="26" t="str">
        <x:f>HYPERLINK("https://etp-aktiv.ru/catalog/materialy/truby-stalnye-i-polimernye/2000560297-W112/","Открыть позицию")</x:f>
        <x:v>Открыть позицию</x:v>
      </x:c>
    </x:row>
    <x:row r="152" ht="28" customHeight="1">
      <x:c r="A152" s="16" t="str">
        <x:v>Барнаульская ТЭЦ-3</x:v>
      </x:c>
      <x:c r="B152" s="16" t="str">
        <x:v>2000560252-W112</x:v>
      </x:c>
      <x:c r="C152" s="16" t="str">
        <x:v>ТРУБА В-СТ20 42*5 ГОСТ8731-74</x:v>
      </x:c>
      <x:c r="D152" s="16" t="str">
        <x:v>Трубы черные бесшов</x:v>
      </x:c>
      <x:c r="E152" s="16" t="str">
        <x:v>Т</x:v>
      </x:c>
      <x:c r="F152" s="30" t="n">
        <x:v>0.059</x:v>
      </x:c>
      <x:c r="G152" s="17" t="n">
        <x:v>130827.96879999999</x:v>
      </x:c>
      <x:c r="H152" s="17" t="n">
        <x:f>G152*F152</x:f>
        <x:v>7718.850159199999</x:v>
      </x:c>
      <x:c r="I152" s="26" t="str">
        <x:f>HYPERLINK("https://etp-aktiv.ru/catalog/materialy/truby-stalnye-i-polimernye/2000560252-W112/","Открыть позицию")</x:f>
        <x:v>Открыть позицию</x:v>
      </x:c>
    </x:row>
    <x:row r="153" ht="28" customHeight="1">
      <x:c r="A153" s="16" t="str">
        <x:v>Барнаульская ТЭЦ-3</x:v>
      </x:c>
      <x:c r="B153" s="16" t="str">
        <x:v>2000566591-W112</x:v>
      </x:c>
      <x:c r="C153" s="16" t="str">
        <x:v>ТРУБА В-СТ4СП 76*4 ГОСТ8731-74</x:v>
      </x:c>
      <x:c r="D153" s="16" t="str">
        <x:v>Трубы черные бесшов</x:v>
      </x:c>
      <x:c r="E153" s="16" t="str">
        <x:v>Т</x:v>
      </x:c>
      <x:c r="F153" s="30" t="n">
        <x:v>0.035</x:v>
      </x:c>
      <x:c r="G153" s="17" t="n">
        <x:v>48323.3704</x:v>
      </x:c>
      <x:c r="H153" s="17" t="n">
        <x:f>G153*F153</x:f>
        <x:v>1691.317964</x:v>
      </x:c>
      <x:c r="I153" s="26" t="str">
        <x:f>HYPERLINK("https://etp-aktiv.ru/catalog/materialy/truby-stalnye-i-polimernye/2000566591-W112/","Открыть позицию")</x:f>
        <x:v>Открыть позицию</x:v>
      </x:c>
    </x:row>
    <x:row r="154" ht="28" customHeight="1">
      <x:c r="A154" s="16" t="str">
        <x:v>Барнаульская ТЭЦ-3</x:v>
      </x:c>
      <x:c r="B154" s="16" t="str">
        <x:v>2000284896-W112</x:v>
      </x:c>
      <x:c r="C154" s="16" t="str">
        <x:v>ТРУБА ВГП ОЦ СТ3 15*2,8 ГОСТ3262-75</x:v>
      </x:c>
      <x:c r="D154" s="16" t="str">
        <x:v>ТрбЧерСварМалСрдДиам</x:v>
      </x:c>
      <x:c r="E154" s="16" t="str">
        <x:v>Т</x:v>
      </x:c>
      <x:c r="F154" s="30" t="n">
        <x:v>0.031</x:v>
      </x:c>
      <x:c r="G154" s="17" t="n">
        <x:v>68597.55</x:v>
      </x:c>
      <x:c r="H154" s="17" t="n">
        <x:f>G154*F154</x:f>
        <x:v>2126.52405</x:v>
      </x:c>
      <x:c r="I154" s="26" t="str">
        <x:f>HYPERLINK("https://etp-aktiv.ru/catalog/materialy/truby-stalnye-i-polimernye/2000284896-W112/","Открыть позицию")</x:f>
        <x:v>Открыть позицию</x:v>
      </x:c>
    </x:row>
    <x:row r="155" ht="28" customHeight="1">
      <x:c r="A155" s="16" t="str">
        <x:v>Барнаульская ТЭЦ-3</x:v>
      </x:c>
      <x:c r="B155" s="16" t="str">
        <x:v>2000284897-W112</x:v>
      </x:c>
      <x:c r="C155" s="16" t="str">
        <x:v>ТРУБА ВГП ОЦ СТ3 20*2,8 ГОСТ3262-75</x:v>
      </x:c>
      <x:c r="D155" s="16" t="str">
        <x:v>ТрбЧерСварМалСрдДиам</x:v>
      </x:c>
      <x:c r="E155" s="16" t="str">
        <x:v>Т</x:v>
      </x:c>
      <x:c r="F155" s="30" t="n">
        <x:v>0.052</x:v>
      </x:c>
      <x:c r="G155" s="17" t="n">
        <x:v>68597.55</x:v>
      </x:c>
      <x:c r="H155" s="17" t="n">
        <x:f>G155*F155</x:f>
        <x:v>3567.0726</x:v>
      </x:c>
      <x:c r="I155" s="26" t="str">
        <x:f>HYPERLINK("https://etp-aktiv.ru/catalog/materialy/truby-stalnye-i-polimernye/2000284897-W112/","Открыть позицию")</x:f>
        <x:v>Открыть позицию</x:v>
      </x:c>
    </x:row>
    <x:row r="156" ht="28" customHeight="1">
      <x:c r="A156" s="16" t="str">
        <x:v>Барнаульская ТЭЦ-3</x:v>
      </x:c>
      <x:c r="B156" s="16" t="str">
        <x:v>2000582118-W112</x:v>
      </x:c>
      <x:c r="C156" s="16" t="str">
        <x:v>ТРУБА ВГП СТ20 32*4 ГОСТ3262-75</x:v>
      </x:c>
      <x:c r="D156" s="16" t="str">
        <x:v>ТрбЧерСварМалСрдДиам</x:v>
      </x:c>
      <x:c r="E156" s="16" t="str">
        <x:v>Т</x:v>
      </x:c>
      <x:c r="F156" s="30" t="n">
        <x:v>0.018</x:v>
      </x:c>
      <x:c r="G156" s="17" t="n">
        <x:v>41861.25</x:v>
      </x:c>
      <x:c r="H156" s="17" t="n">
        <x:f>G156*F156</x:f>
        <x:v>753.5024999999999</x:v>
      </x:c>
      <x:c r="I156" s="26" t="str">
        <x:f>HYPERLINK("https://etp-aktiv.ru/catalog/materialy/truby-stalnye-i-polimernye/2000582118-W112/","Открыть позицию")</x:f>
        <x:v>Открыть позицию</x:v>
      </x:c>
    </x:row>
    <x:row r="157" ht="28" customHeight="1">
      <x:c r="A157" s="16" t="str">
        <x:v>Барнаульская ТЭЦ-3</x:v>
      </x:c>
      <x:c r="B157" s="16" t="str">
        <x:v>2000546097-W112</x:v>
      </x:c>
      <x:c r="C157" s="16" t="str">
        <x:v>ТРУБА КВД 12Х1МФ 159*17 ТУ14-3Р-55-01</x:v>
      </x:c>
      <x:c r="D157" s="16" t="str">
        <x:v>Трубы котельные в/д</x:v>
      </x:c>
      <x:c r="E157" s="16" t="str">
        <x:v>Т</x:v>
      </x:c>
      <x:c r="F157" s="30" t="n">
        <x:v>0.054</x:v>
      </x:c>
      <x:c r="G157" s="17" t="n">
        <x:v>24770.611599999997</x:v>
      </x:c>
      <x:c r="H157" s="17" t="n">
        <x:f>G157*F157</x:f>
        <x:v>1337.6130263999999</x:v>
      </x:c>
      <x:c r="I157" s="26" t="str">
        <x:f>HYPERLINK("https://etp-aktiv.ru/catalog/materialy/truby-stalnye-i-polimernye/2000546097-W112/","Открыть позицию")</x:f>
        <x:v>Открыть позицию</x:v>
      </x:c>
    </x:row>
    <x:row r="158" ht="28" customHeight="1">
      <x:c r="A158" s="16" t="str">
        <x:v>Барнаульская ТЭЦ-3</x:v>
      </x:c>
      <x:c r="B158" s="16" t="str">
        <x:v>2000546198-W112</x:v>
      </x:c>
      <x:c r="C158" s="16" t="str">
        <x:v>ТРУБА КВД 12Х1МФ 219*28 ТУ14-3Р-55-01</x:v>
      </x:c>
      <x:c r="D158" s="16" t="str">
        <x:v>Трубы котельные в/д</x:v>
      </x:c>
      <x:c r="E158" s="16" t="str">
        <x:v>Т</x:v>
      </x:c>
      <x:c r="F158" s="30" t="n">
        <x:v>0.246</x:v>
      </x:c>
      <x:c r="G158" s="17" t="n">
        <x:v>233138.3644</x:v>
      </x:c>
      <x:c r="H158" s="17" t="n">
        <x:f>G158*F158</x:f>
        <x:v>57352.0376424</x:v>
      </x:c>
      <x:c r="I158" s="26" t="str">
        <x:f>HYPERLINK("https://etp-aktiv.ru/catalog/materialy/truby-stalnye-i-polimernye/2000546198-W112/","Открыть позицию")</x:f>
        <x:v>Открыть позицию</x:v>
      </x:c>
    </x:row>
    <x:row r="159" ht="28" customHeight="1">
      <x:c r="A159" s="16" t="str">
        <x:v>Барнаульская ТЭЦ-3</x:v>
      </x:c>
      <x:c r="B159" s="16" t="str">
        <x:v>2000546176-W112</x:v>
      </x:c>
      <x:c r="C159" s="16" t="str">
        <x:v>ТРУБА КВД 15ГС 325*26 ТУ14-3Р-55-01</x:v>
      </x:c>
      <x:c r="D159" s="16" t="str">
        <x:v>Трубы котельные в/д</x:v>
      </x:c>
      <x:c r="E159" s="16" t="str">
        <x:v>Т</x:v>
      </x:c>
      <x:c r="F159" s="24" t="n">
        <x:v>1.462</x:v>
      </x:c>
      <x:c r="G159" s="17" t="n">
        <x:v>229794.4176</x:v>
      </x:c>
      <x:c r="H159" s="17" t="n">
        <x:f>G159*F159</x:f>
        <x:v>335959.4385312</x:v>
      </x:c>
      <x:c r="I159" s="26" t="str">
        <x:f>HYPERLINK("https://etp-aktiv.ru/catalog/materialy/truby-stalnye-i-polimernye/2000546176-W112/","Открыть позицию")</x:f>
        <x:v>Открыть позицию</x:v>
      </x:c>
    </x:row>
    <x:row r="160" ht="28" customHeight="1">
      <x:c r="A160" s="16" t="str">
        <x:v>Барнаульская ТЭЦ-3</x:v>
      </x:c>
      <x:c r="B160" s="16" t="str">
        <x:v>2000546195-W112</x:v>
      </x:c>
      <x:c r="C160" s="16" t="str">
        <x:v>ТРУБА КВД СТ20 219*25 ТУ14-3Р-55-01</x:v>
      </x:c>
      <x:c r="D160" s="16" t="str">
        <x:v>Трубы котельные в/д</x:v>
      </x:c>
      <x:c r="E160" s="16" t="str">
        <x:v>Т</x:v>
      </x:c>
      <x:c r="F160" s="30" t="n">
        <x:v>0.122</x:v>
      </x:c>
      <x:c r="G160" s="17" t="n">
        <x:v>105341.96139999999</x:v>
      </x:c>
      <x:c r="H160" s="17" t="n">
        <x:f>G160*F160</x:f>
        <x:v>12851.719290799998</x:v>
      </x:c>
      <x:c r="I160" s="26" t="str">
        <x:f>HYPERLINK("https://etp-aktiv.ru/catalog/materialy/truby-stalnye-i-polimernye/2000546195-W112/","Открыть позицию")</x:f>
        <x:v>Открыть позицию</x:v>
      </x:c>
    </x:row>
    <x:row r="161" ht="28" customHeight="1">
      <x:c r="A161" s="16" t="str">
        <x:v>Барнаульская ТЭЦ-3</x:v>
      </x:c>
      <x:c r="B161" s="16" t="str">
        <x:v>2000546184-W112</x:v>
      </x:c>
      <x:c r="C161" s="16" t="str">
        <x:v>ТРУБА КВД СТ20 76*7,5 ТУ14-3Р-55-01</x:v>
      </x:c>
      <x:c r="D161" s="16" t="str">
        <x:v>Трубы котельные в/д</x:v>
      </x:c>
      <x:c r="E161" s="16" t="str">
        <x:v>Т</x:v>
      </x:c>
      <x:c r="F161" s="24" t="n">
        <x:v>1.333</x:v>
      </x:c>
      <x:c r="G161" s="17" t="n">
        <x:v>142053.75</x:v>
      </x:c>
      <x:c r="H161" s="17" t="n">
        <x:f>G161*F161</x:f>
        <x:v>189357.64875</x:v>
      </x:c>
      <x:c r="I161" s="26" t="str">
        <x:f>HYPERLINK("https://etp-aktiv.ru/catalog/materialy/truby-stalnye-i-polimernye/2000546184-W112/","Открыть позицию")</x:f>
        <x:v>Открыть позицию</x:v>
      </x:c>
    </x:row>
    <x:row r="162" ht="28" customHeight="1">
      <x:c r="A162" s="16" t="str">
        <x:v>Барнаульская ТЭЦ-3</x:v>
      </x:c>
      <x:c r="B162" s="16" t="str">
        <x:v>2000546206-W112</x:v>
      </x:c>
      <x:c r="C162" s="16" t="str">
        <x:v>ТРУБА КВД СТ20 83*3,5 ТУ14-3Р-55-01</x:v>
      </x:c>
      <x:c r="D162" s="16" t="str">
        <x:v>Трубы котельные в/д</x:v>
      </x:c>
      <x:c r="E162" s="16" t="str">
        <x:v>Т</x:v>
      </x:c>
      <x:c r="F162" s="30" t="n">
        <x:v>0.144</x:v>
      </x:c>
      <x:c r="G162" s="17" t="n">
        <x:v>91897.1222</x:v>
      </x:c>
      <x:c r="H162" s="17" t="n">
        <x:f>G162*F162</x:f>
        <x:v>13233.185596799998</x:v>
      </x:c>
      <x:c r="I162" s="26" t="str">
        <x:f>HYPERLINK("https://etp-aktiv.ru/catalog/materialy/truby-stalnye-i-polimernye/2000546206-W112/","Открыть позицию")</x:f>
        <x:v>Открыть позицию</x:v>
      </x:c>
    </x:row>
    <x:row r="163" ht="28" customHeight="1">
      <x:c r="A163" s="16" t="str">
        <x:v>Барнаульская ТЭЦ-3</x:v>
      </x:c>
      <x:c r="B163" s="16" t="str">
        <x:v>2000546058-W112</x:v>
      </x:c>
      <x:c r="C163" s="16" t="str">
        <x:v>ТРУБА СТ20 133*10 ТУ14-3Р-55-01</x:v>
      </x:c>
      <x:c r="D163" s="16" t="str">
        <x:v>Трубы котельные в/д</x:v>
      </x:c>
      <x:c r="E163" s="16" t="str">
        <x:v>Т</x:v>
      </x:c>
      <x:c r="F163" s="30" t="n">
        <x:v>0.291</x:v>
      </x:c>
      <x:c r="G163" s="17" t="n">
        <x:v>24083.727199999998</x:v>
      </x:c>
      <x:c r="H163" s="17" t="n">
        <x:f>G163*F163</x:f>
        <x:v>7008.364615199999</x:v>
      </x:c>
      <x:c r="I163" s="26" t="str">
        <x:f>HYPERLINK("https://etp-aktiv.ru/catalog/materialy/truby-stalnye-i-polimernye/2000546058-W112/","Открыть позицию")</x:f>
        <x:v>Открыть позицию</x:v>
      </x:c>
    </x:row>
    <x:row r="164" ht="28" customHeight="1">
      <x:c r="A164" s="16" t="str">
        <x:v>Барнаульская ТЭЦ-3</x:v>
      </x:c>
      <x:c r="B164" s="16" t="str">
        <x:v>2000546034-W112</x:v>
      </x:c>
      <x:c r="C164" s="16" t="str">
        <x:v>ТРУБА СТ20 159*10 ТУ14-3-190-04</x:v>
      </x:c>
      <x:c r="D164" s="16" t="str">
        <x:v>Трубы котельные в/д</x:v>
      </x:c>
      <x:c r="E164" s="16" t="str">
        <x:v>Т</x:v>
      </x:c>
      <x:c r="F164" s="30" t="n">
        <x:v>0.36</x:v>
      </x:c>
      <x:c r="G164" s="17" t="n">
        <x:v>71484.375</x:v>
      </x:c>
      <x:c r="H164" s="17" t="n">
        <x:f>G164*F164</x:f>
        <x:v>25734.375</x:v>
      </x:c>
      <x:c r="I164" s="26" t="str">
        <x:f>HYPERLINK("https://etp-aktiv.ru/catalog/materialy/truby-stalnye-i-polimernye/2000546034-W112/","Открыть позицию")</x:f>
        <x:v>Открыть позицию</x:v>
      </x:c>
    </x:row>
    <x:row r="165" ht="28" customHeight="1">
      <x:c r="A165" s="16" t="str">
        <x:v>Барнаульская ТЭЦ-3</x:v>
      </x:c>
      <x:c r="B165" s="16" t="str">
        <x:v>2000545961-W112</x:v>
      </x:c>
      <x:c r="C165" s="16" t="str">
        <x:v>ТРУБА СТ20 28*3 ТУ14-3Р-55-01</x:v>
      </x:c>
      <x:c r="D165" s="16" t="str">
        <x:v>Трубы котельные в/д</x:v>
      </x:c>
      <x:c r="E165" s="16" t="str">
        <x:v>Т</x:v>
      </x:c>
      <x:c r="F165" s="24" t="n">
        <x:v>2.123</x:v>
      </x:c>
      <x:c r="G165" s="17" t="n">
        <x:v>70177.96239999999</x:v>
      </x:c>
      <x:c r="H165" s="17" t="n">
        <x:f>G165*F165</x:f>
        <x:v>148987.81417519998</x:v>
      </x:c>
      <x:c r="I165" s="26" t="str">
        <x:f>HYPERLINK("https://etp-aktiv.ru/catalog/materialy/truby-stalnye-i-polimernye/2000545961-W112/","Открыть позицию")</x:f>
        <x:v>Открыть позицию</x:v>
      </x:c>
    </x:row>
    <x:row r="166" ht="28" customHeight="1">
      <x:c r="A166" s="16" t="str">
        <x:v>Барнаульская ТЭЦ-3</x:v>
      </x:c>
      <x:c r="B166" s="16" t="str">
        <x:v>2000693946-W112</x:v>
      </x:c>
      <x:c r="C166" s="16" t="str">
        <x:v>ТРУБА СТ20 28*6 ТУ14-3Р-55-01</x:v>
      </x:c>
      <x:c r="D166" s="16" t="str">
        <x:v>Трубы котельные в/д</x:v>
      </x:c>
      <x:c r="E166" s="16" t="str">
        <x:v>Т</x:v>
      </x:c>
      <x:c r="F166" s="30" t="n">
        <x:v>0.467</x:v>
      </x:c>
      <x:c r="G166" s="17" t="n">
        <x:v>118710.47739999999</x:v>
      </x:c>
      <x:c r="H166" s="17" t="n">
        <x:f>G166*F166</x:f>
        <x:v>55437.7929458</x:v>
      </x:c>
      <x:c r="I166" s="26" t="str">
        <x:f>HYPERLINK("https://etp-aktiv.ru/catalog/materialy/truby-stalnye-i-polimernye/2000693946-W112/","Открыть позицию")</x:f>
        <x:v>Открыть позицию</x:v>
      </x:c>
    </x:row>
    <x:row r="167" ht="28" customHeight="1">
      <x:c r="A167" s="16" t="str">
        <x:v>Барнаульская ТЭЦ-3</x:v>
      </x:c>
      <x:c r="B167" s="16" t="str">
        <x:v>2000140846-W112</x:v>
      </x:c>
      <x:c r="C167" s="16" t="str">
        <x:v>ТРУБА СТ20 42*4 ГОСТ8734-78</x:v>
      </x:c>
      <x:c r="D167" s="16" t="str">
        <x:v>Трубы черные бесшов</x:v>
      </x:c>
      <x:c r="E167" s="16" t="str">
        <x:v>Т</x:v>
      </x:c>
      <x:c r="F167" s="30" t="n">
        <x:v>0.346</x:v>
      </x:c>
      <x:c r="G167" s="17" t="n">
        <x:v>155550</x:v>
      </x:c>
      <x:c r="H167" s="17" t="n">
        <x:f>G167*F167</x:f>
        <x:v>53820.299999999996</x:v>
      </x:c>
      <x:c r="I167" s="26" t="str">
        <x:f>HYPERLINK("https://etp-aktiv.ru/catalog/materialy/truby-stalnye-i-polimernye/2000140846-W112/","Открыть позицию")</x:f>
        <x:v>Открыть позицию</x:v>
      </x:c>
    </x:row>
    <x:row r="168" ht="28" customHeight="1">
      <x:c r="A168" s="16" t="str">
        <x:v>Барнаульская ТЭЦ-3</x:v>
      </x:c>
      <x:c r="B168" s="16" t="str">
        <x:v>2000225182-W112</x:v>
      </x:c>
      <x:c r="C168" s="16" t="str">
        <x:v>ТРУБА СТ20 76*10 ТУ14-3Р-55-2001</x:v>
      </x:c>
      <x:c r="D168" s="16" t="str">
        <x:v>Трубы котельные в/д</x:v>
      </x:c>
      <x:c r="E168" s="16" t="str">
        <x:v>Т</x:v>
      </x:c>
      <x:c r="F168" s="30" t="n">
        <x:v>0.04</x:v>
      </x:c>
      <x:c r="G168" s="17" t="n">
        <x:v>120702.1152</x:v>
      </x:c>
      <x:c r="H168" s="17" t="n">
        <x:f>G168*F168</x:f>
        <x:v>4828.084608</x:v>
      </x:c>
      <x:c r="I168" s="26" t="str">
        <x:f>HYPERLINK("https://etp-aktiv.ru/catalog/materialy/truby-stalnye-i-polimernye/2000225182-W112/","Открыть позицию")</x:f>
        <x:v>Открыть позицию</x:v>
      </x:c>
    </x:row>
    <x:row r="169" ht="28" customHeight="1">
      <x:c r="A169" s="16" t="str">
        <x:v>Барнаульская ТЭЦ-3</x:v>
      </x:c>
      <x:c r="B169" s="16" t="str">
        <x:v>2000545976-W112</x:v>
      </x:c>
      <x:c r="C169" s="16" t="str">
        <x:v>ТРУБА СТ20 83*4 ТУ14-3Р-55-01</x:v>
      </x:c>
      <x:c r="D169" s="16" t="str">
        <x:v>Трубы котельные в/д</x:v>
      </x:c>
      <x:c r="E169" s="16" t="str">
        <x:v>Т</x:v>
      </x:c>
      <x:c r="F169" s="30" t="n">
        <x:v>0.628</x:v>
      </x:c>
      <x:c r="G169" s="17" t="n">
        <x:v>15909.568599999999</x:v>
      </x:c>
      <x:c r="H169" s="17" t="n">
        <x:f>G169*F169</x:f>
        <x:v>9991.2090808</x:v>
      </x:c>
      <x:c r="I169" s="26" t="str">
        <x:f>HYPERLINK("https://etp-aktiv.ru/catalog/materialy/truby-stalnye-i-polimernye/2000545976-W112/","Открыть позицию")</x:f>
        <x:v>Открыть позицию</x:v>
      </x:c>
    </x:row>
    <x:row r="170" ht="28" customHeight="1">
      <x:c r="A170" s="16" t="str">
        <x:v>Барнаульская ТЭЦ-3</x:v>
      </x:c>
      <x:c r="B170" s="16" t="str">
        <x:v>2000546011-W112</x:v>
      </x:c>
      <x:c r="C170" s="16" t="str">
        <x:v>ТРУБА СТ20ПВ 108*6 ТУ14-3Р-55-01</x:v>
      </x:c>
      <x:c r="D170" s="16" t="str">
        <x:v>Трубы котельные в/д</x:v>
      </x:c>
      <x:c r="E170" s="16" t="str">
        <x:v>Т</x:v>
      </x:c>
      <x:c r="F170" s="24" t="n">
        <x:v>1.627</x:v>
      </x:c>
      <x:c r="G170" s="17" t="n">
        <x:v>142053.75</x:v>
      </x:c>
      <x:c r="H170" s="17" t="n">
        <x:f>G170*F170</x:f>
        <x:v>231121.45125</x:v>
      </x:c>
      <x:c r="I170" s="26" t="str">
        <x:f>HYPERLINK("https://etp-aktiv.ru/catalog/materialy/truby-stalnye-i-polimernye/2000546011-W112/","Открыть позицию")</x:f>
        <x:v>Открыть позицию</x:v>
      </x:c>
    </x:row>
    <x:row r="171" ht="28" customHeight="1">
      <x:c r="A171" s="16" t="str">
        <x:v>Барнаульская ТЭЦ-3</x:v>
      </x:c>
      <x:c r="B171" s="16" t="str">
        <x:v>2000978371-W112</x:v>
      </x:c>
      <x:c r="C171" s="16" t="str">
        <x:v>ТРУБА СТ3 114*5,5 ГОСТ10705-80</x:v>
      </x:c>
      <x:c r="D171" s="16" t="str">
        <x:v>ТрбЧерСварМалСрдДиам</x:v>
      </x:c>
      <x:c r="E171" s="16" t="str">
        <x:v>Т</x:v>
      </x:c>
      <x:c r="F171" s="30" t="n">
        <x:v>0.18</x:v>
      </x:c>
      <x:c r="G171" s="17" t="n">
        <x:v>53273.28859999999</x:v>
      </x:c>
      <x:c r="H171" s="17" t="n">
        <x:f>G171*F171</x:f>
        <x:v>9589.191947999998</x:v>
      </x:c>
      <x:c r="I171" s="26" t="str">
        <x:f>HYPERLINK("https://etp-aktiv.ru/catalog/materialy/truby-stalnye-i-polimernye/2000978371-W112/","Открыть позицию")</x:f>
        <x:v>Открыть позицию</x:v>
      </x:c>
    </x:row>
    <x:row r="172" ht="28" customHeight="1">
      <x:c r="A172" s="16" t="str">
        <x:v>Барнаульская ТЭЦ-3</x:v>
      </x:c>
      <x:c r="B172" s="16" t="str">
        <x:v>2000560543-W112</x:v>
      </x:c>
      <x:c r="C172" s="16" t="str">
        <x:v>ТРУБА СТ3 76*6 ГОСТ10705-80</x:v>
      </x:c>
      <x:c r="D172" s="16" t="str">
        <x:v>ТрбЧерСварМалСрдДиам</x:v>
      </x:c>
      <x:c r="E172" s="16" t="str">
        <x:v>Т</x:v>
      </x:c>
      <x:c r="F172" s="30" t="n">
        <x:v>0.322</x:v>
      </x:c>
      <x:c r="G172" s="17" t="n">
        <x:v>48323.4436</x:v>
      </x:c>
      <x:c r="H172" s="17" t="n">
        <x:f>G172*F172</x:f>
        <x:v>15560.1488392</x:v>
      </x:c>
      <x:c r="I172" s="26" t="str">
        <x:f>HYPERLINK("https://etp-aktiv.ru/catalog/materialy/truby-stalnye-i-polimernye/2000560543-W112/","Открыть позицию")</x:f>
        <x:v>Открыть позицию</x:v>
      </x:c>
    </x:row>
    <x:row r="173" ht="28" customHeight="1">
      <x:c r="A173" s="16" t="str">
        <x:v>Барнаульская ТЭЦ-3</x:v>
      </x:c>
      <x:c r="B173" s="16" t="str">
        <x:v>2000560482-W112</x:v>
      </x:c>
      <x:c r="C173" s="16" t="str">
        <x:v>ТРУБА СТ3СП5 159*5 ГОСТ10705-80</x:v>
      </x:c>
      <x:c r="D173" s="16" t="str">
        <x:v>ТрбЧерСварМалСрдДиам</x:v>
      </x:c>
      <x:c r="E173" s="16" t="str">
        <x:v>Т</x:v>
      </x:c>
      <x:c r="F173" s="24" t="n">
        <x:v>1.161</x:v>
      </x:c>
      <x:c r="G173" s="17" t="n">
        <x:v>28307.818600000002</x:v>
      </x:c>
      <x:c r="H173" s="17" t="n">
        <x:f>G173*F173</x:f>
        <x:v>32865.3773946</x:v>
      </x:c>
      <x:c r="I173" s="26" t="str">
        <x:f>HYPERLINK("https://etp-aktiv.ru/catalog/materialy/truby-stalnye-i-polimernye/2000560482-W112/","Открыть позицию")</x:f>
        <x:v>Открыть позицию</x:v>
      </x:c>
    </x:row>
    <x:row r="174" ht="28" customHeight="1">
      <x:c r="A174" s="16" t="str">
        <x:v>Барнаульская ТЭЦ-3</x:v>
      </x:c>
      <x:c r="B174" s="16" t="str">
        <x:v>2000004918-W112</x:v>
      </x:c>
      <x:c r="C174" s="16" t="str">
        <x:v>ТРУБКА 8БП 724.124 ВМПЭ-10-630</x:v>
      </x:c>
      <x:c r="D174" s="16" t="str">
        <x:v>Проч э/технич мат-лы</x:v>
      </x:c>
      <x:c r="E174" s="16" t="str">
        <x:v>ШТ</x:v>
      </x:c>
      <x:c r="F174" s="25" t="n">
        <x:v>41</x:v>
      </x:c>
      <x:c r="G174" s="17" t="n">
        <x:v>128.3562</x:v>
      </x:c>
      <x:c r="H174" s="17" t="n">
        <x:f>G174*F174</x:f>
        <x:v>5262.6042</x:v>
      </x:c>
      <x:c r="I174" s="26" t="str">
        <x:f>HYPERLINK("https://etp-aktiv.ru/catalog/materialy/ehlektrotekhnicheskie-materialy/2000004918-W112/","Открыть позицию")</x:f>
        <x:v>Открыть позицию</x:v>
      </x:c>
    </x:row>
    <x:row r="175" ht="28" customHeight="1">
      <x:c r="A175" s="16" t="str">
        <x:v>Барнаульская ТЭЦ-3</x:v>
      </x:c>
      <x:c r="B175" s="16" t="str">
        <x:v>2000559480-W112</x:v>
      </x:c>
      <x:c r="C175" s="16" t="str">
        <x:v>УГОЛ 45° ПВХ 63ММ PN16 HIV063</x:v>
      </x:c>
      <x:c r="D175" s="16" t="str">
        <x:v>Фитинги труб полимер</x:v>
      </x:c>
      <x:c r="E175" s="16" t="str">
        <x:v>ШТ</x:v>
      </x:c>
      <x:c r="F175" s="25" t="n">
        <x:v>8</x:v>
      </x:c>
      <x:c r="G175" s="17" t="n">
        <x:v>37.6858</x:v>
      </x:c>
      <x:c r="H175" s="17" t="n">
        <x:f>G175*F175</x:f>
        <x:v>301.4864</x:v>
      </x:c>
      <x:c r="I175" s="26" t="str">
        <x:f>HYPERLINK("https://etp-aktiv.ru/catalog/materialy/truboprovody/2000559480-W112/","Открыть позицию")</x:f>
        <x:v>Открыть позицию</x:v>
      </x:c>
    </x:row>
    <x:row r="176" ht="28" customHeight="1">
      <x:c r="A176" s="16" t="str">
        <x:v>Барнаульская ТЭЦ-3</x:v>
      </x:c>
      <x:c r="B176" s="16" t="str">
        <x:v>2000773876-W112</x:v>
      </x:c>
      <x:c r="C176" s="16" t="str">
        <x:v>ШЕСТЕРНЯ ТУ-6386 30С541НЖ DN500 PN16</x:v>
      </x:c>
      <x:c r="D176" s="16" t="str">
        <x:v>ЗЧ трубопр арматуры</x:v>
      </x:c>
      <x:c r="E176" s="16" t="str">
        <x:v>ШТ</x:v>
      </x:c>
      <x:c r="F176" s="25" t="n">
        <x:v>10</x:v>
      </x:c>
      <x:c r="G176" s="17" t="n">
        <x:v>11004.4244</x:v>
      </x:c>
      <x:c r="H176" s="17" t="n">
        <x:f>G176*F176</x:f>
        <x:v>110044.244</x:v>
      </x:c>
      <x:c r="I176" s="26" t="str">
        <x:f>HYPERLINK("https://etp-aktiv.ru/catalog/materialy/truboprovodnaya-armatura-i-komplektuyushchie/2000773876-W112/","Открыть позицию")</x:f>
        <x:v>Открыть позицию</x:v>
      </x:c>
    </x:row>
    <x:row r="177" ht="28" customHeight="1">
      <x:c r="A177" s="16" t="str">
        <x:v>Барнаульская ТЭЦ-3</x:v>
      </x:c>
      <x:c r="B177" s="16" t="str">
        <x:v>2000707093-W112</x:v>
      </x:c>
      <x:c r="C177" s="16" t="str">
        <x:v>ШТОК 870-300-5 1Х17Н2 870-300-Э</x:v>
      </x:c>
      <x:c r="D177" s="16" t="str">
        <x:v>ЗЧ трубопр арматуры</x:v>
      </x:c>
      <x:c r="E177" s="16" t="str">
        <x:v>ШТ</x:v>
      </x:c>
      <x:c r="F177" s="25" t="n">
        <x:v>1</x:v>
      </x:c>
      <x:c r="G177" s="17" t="n">
        <x:v>8218.2494</x:v>
      </x:c>
      <x:c r="H177" s="17" t="n">
        <x:f>G177*F177</x:f>
        <x:v>8218.2494</x:v>
      </x:c>
      <x:c r="I177" s="26" t="str">
        <x:f>HYPERLINK("https://etp-aktiv.ru/catalog/materialy/truboprovodnaya-armatura-i-komplektuyushchie/2000707093-W112/","Открыть позицию")</x:f>
        <x:v>Открыть позицию</x:v>
      </x:c>
    </x:row>
    <x:row r="178" ht="28" customHeight="1">
      <x:c r="A178" s="16" t="str">
        <x:v>Барнаульская ТЭЦ-3</x:v>
      </x:c>
      <x:c r="B178" s="16" t="str">
        <x:v>2000552790-W112</x:v>
      </x:c>
      <x:c r="C178" s="16" t="str">
        <x:v>ЭЛЕКТРОПРИВОД В-А2-11К У2</x:v>
      </x:c>
      <x:c r="D178" s="16" t="str">
        <x:v>Приводы арматуры</x:v>
      </x:c>
      <x:c r="E178" s="16" t="str">
        <x:v>ШТ</x:v>
      </x:c>
      <x:c r="F178" s="25" t="n">
        <x:v>2</x:v>
      </x:c>
      <x:c r="G178" s="17" t="n">
        <x:v>51468.75</x:v>
      </x:c>
      <x:c r="H178" s="17" t="n">
        <x:f>G178*F178</x:f>
        <x:v>102937.5</x:v>
      </x:c>
      <x:c r="I178" s="26" t="str">
        <x:f>HYPERLINK("https://etp-aktiv.ru/catalog/materialy/truboprovodnaya-armatura-i-komplektuyushchie/2000552790-W112/","Открыть позицию")</x:f>
        <x:v>Открыть позицию</x:v>
      </x:c>
    </x:row>
    <x:row r="179" ht="28" customHeight="1">
      <x:c r="A179" s="16" t="str">
        <x:v>Барнаульская ТЭЦ-3</x:v>
      </x:c>
      <x:c r="B179" s="16" t="str">
        <x:v>2000579317-W112</x:v>
      </x:c>
      <x:c r="C179" s="16" t="str">
        <x:v>ЭЛЕКТРОПРИВОД В-Г-02 У2</x:v>
      </x:c>
      <x:c r="D179" s="16" t="str">
        <x:v>Приводы арматуры</x:v>
      </x:c>
      <x:c r="E179" s="16" t="str">
        <x:v>ШТ</x:v>
      </x:c>
      <x:c r="F179" s="25" t="n">
        <x:v>1</x:v>
      </x:c>
      <x:c r="G179" s="17" t="n">
        <x:v>152500</x:v>
      </x:c>
      <x:c r="H179" s="17" t="n">
        <x:f>G179*F179</x:f>
        <x:v>152500</x:v>
      </x:c>
      <x:c r="I179" s="26" t="str">
        <x:f>HYPERLINK("https://etp-aktiv.ru/catalog/materialy/truboprovodnaya-armatura-i-komplektuyushchie/2000579317-W112/","Открыть позицию")</x:f>
        <x:v>Открыть позицию</x:v>
      </x:c>
    </x:row>
    <x:row r="180" ht="28" customHeight="1">
      <x:c r="A180" s="16" t="str">
        <x:v>Бийскэнерго</x:v>
      </x:c>
      <x:c r="B180" s="16" t="str">
        <x:v>2000126194-W113</x:v>
      </x:c>
      <x:c r="C180" s="16" t="str">
        <x:v>АРМАТУРА А-I СТ3 D16ММ ГОСТ5781-82</x:v>
      </x:c>
      <x:c r="D180" s="16" t="str">
        <x:v>М/прокат черный</x:v>
      </x:c>
      <x:c r="E180" s="16" t="str">
        <x:v>Т</x:v>
      </x:c>
      <x:c r="F180" s="30" t="n">
        <x:v>0.011</x:v>
      </x:c>
      <x:c r="G180" s="17" t="n">
        <x:v>75627.8</x:v>
      </x:c>
      <x:c r="H180" s="17" t="n">
        <x:f>G180*F180</x:f>
        <x:v>831.9058</x:v>
      </x:c>
      <x:c r="I180" s="26" t="str">
        <x:f>HYPERLINK("https://etp-aktiv.ru/catalog/materialy/metalloprodukciya/2000126194-W113/","Открыть позицию")</x:f>
        <x:v>Открыть позицию</x:v>
      </x:c>
    </x:row>
    <x:row r="181" ht="28" customHeight="1">
      <x:c r="A181" s="16" t="str">
        <x:v>Бийскэнерго</x:v>
      </x:c>
      <x:c r="B181" s="16" t="str">
        <x:v>2000719996-W113</x:v>
      </x:c>
      <x:c r="C181" s="16" t="str">
        <x:v>АРМАТУРА А-III СТ3 D16ММ ГОСТ5781-82</x:v>
      </x:c>
      <x:c r="D181" s="16" t="str">
        <x:v>М/прокат черный</x:v>
      </x:c>
      <x:c r="E181" s="16" t="str">
        <x:v>Т</x:v>
      </x:c>
      <x:c r="F181" s="30" t="n">
        <x:v>0.029</x:v>
      </x:c>
      <x:c r="G181" s="17" t="n">
        <x:v>62685.076199999996</x:v>
      </x:c>
      <x:c r="H181" s="17" t="n">
        <x:f>G181*F181</x:f>
        <x:v>1817.8672098</x:v>
      </x:c>
      <x:c r="I181" s="26" t="str">
        <x:f>HYPERLINK("https://etp-aktiv.ru/catalog/materialy/metalloprodukciya/2000719996-W113/","Открыть позицию")</x:f>
        <x:v>Открыть позицию</x:v>
      </x:c>
    </x:row>
    <x:row r="182" ht="28" customHeight="1">
      <x:c r="A182" s="16" t="str">
        <x:v>Бийскэнерго</x:v>
      </x:c>
      <x:c r="B182" s="16" t="str">
        <x:v>2000019514-W113</x:v>
      </x:c>
      <x:c r="C182" s="16" t="str">
        <x:v>АРМАТУРА А3 А400С D14ММ СТО АСЧМ7-93</x:v>
      </x:c>
      <x:c r="D182" s="16" t="str">
        <x:v>М/прокат черный</x:v>
      </x:c>
      <x:c r="E182" s="16" t="str">
        <x:v>Т</x:v>
      </x:c>
      <x:c r="F182" s="30" t="n">
        <x:v>0.011</x:v>
      </x:c>
      <x:c r="G182" s="17" t="n">
        <x:v>87437.4</x:v>
      </x:c>
      <x:c r="H182" s="17" t="n">
        <x:f>G182*F182</x:f>
        <x:v>961.8113999999999</x:v>
      </x:c>
      <x:c r="I182" s="26" t="str">
        <x:f>HYPERLINK("https://etp-aktiv.ru/catalog/materialy/metalloprodukciya/2000019514-W113/","Открыть позицию")</x:f>
        <x:v>Открыть позицию</x:v>
      </x:c>
    </x:row>
    <x:row r="183" ht="28" customHeight="1">
      <x:c r="A183" s="16" t="str">
        <x:v>Бийскэнерго</x:v>
      </x:c>
      <x:c r="B183" s="16" t="str">
        <x:v>2000553020-W113</x:v>
      </x:c>
      <x:c r="C183" s="16" t="str">
        <x:v>БЛОК ПРУЖИННЫЙ 06 ОСТ108.275.60-80</x:v>
      </x:c>
      <x:c r="D183" s="16" t="str">
        <x:v>Система опорн-подвес</x:v>
      </x:c>
      <x:c r="E183" s="16" t="str">
        <x:v>ШТ</x:v>
      </x:c>
      <x:c r="F183" s="25" t="n">
        <x:v>20</x:v>
      </x:c>
      <x:c r="G183" s="17" t="n">
        <x:v>704.7085999999999</x:v>
      </x:c>
      <x:c r="H183" s="17" t="n">
        <x:f>G183*F183</x:f>
        <x:v>14094.171999999999</x:v>
      </x:c>
      <x:c r="I183" s="26" t="str">
        <x:f>HYPERLINK("https://etp-aktiv.ru/catalog/materialy/truboprovody/2000553020-W113/","Открыть позицию")</x:f>
        <x:v>Открыть позицию</x:v>
      </x:c>
    </x:row>
    <x:row r="184" ht="28" customHeight="1">
      <x:c r="A184" s="16" t="str">
        <x:v>Бийскэнерго</x:v>
      </x:c>
      <x:c r="B184" s="16" t="str">
        <x:v>M2000552541-W113</x:v>
      </x:c>
      <x:c r="C184" s="16" t="str">
        <x:v>ВЕНТИЛЬ 1С-11-3Э DN20 PN100 Э/П П/П 425°</x:v>
      </x:c>
      <x:c r="D184" s="16" t="str">
        <x:v>Трубопр арматура в/д</x:v>
      </x:c>
      <x:c r="E184" s="16" t="str">
        <x:v>ШТ</x:v>
      </x:c>
      <x:c r="F184" s="25" t="n">
        <x:v>1</x:v>
      </x:c>
      <x:c r="G184" s="17" t="n">
        <x:v>7583.0686</x:v>
      </x:c>
      <x:c r="H184" s="17" t="n">
        <x:f>G184*F184</x:f>
        <x:v>7583.0686</x:v>
      </x:c>
      <x:c r="I184" s="26" t="str">
        <x:f>HYPERLINK("https://etp-aktiv.ru/catalog/materialy/truboprovodnaya-armatura-i-komplektuyushchie/M2000552541-W113/","Открыть позицию")</x:f>
        <x:v>Открыть позицию</x:v>
      </x:c>
    </x:row>
    <x:row r="185" ht="28" customHeight="1">
      <x:c r="A185" s="16" t="str">
        <x:v>Бийскэнерго</x:v>
      </x:c>
      <x:c r="B185" s="16" t="str">
        <x:v>2000559210-W113</x:v>
      </x:c>
      <x:c r="C185" s="16" t="str">
        <x:v>ДОНЫШКО 250 СТ15ГС 15 СТО ЦКТИ 504.01-09</x:v>
      </x:c>
      <x:c r="D185" s="16" t="str">
        <x:v>Труб/элем ВД</x:v>
      </x:c>
      <x:c r="E185" s="16" t="str">
        <x:v>ШТ</x:v>
      </x:c>
      <x:c r="F185" s="25" t="n">
        <x:v>1</x:v>
      </x:c>
      <x:c r="G185" s="17" t="n">
        <x:v>16497.376800000002</x:v>
      </x:c>
      <x:c r="H185" s="17" t="n">
        <x:f>G185*F185</x:f>
        <x:v>16497.376800000002</x:v>
      </x:c>
      <x:c r="I185" s="26" t="str">
        <x:f>HYPERLINK("https://etp-aktiv.ru/catalog/materialy/truboprovody/2000559210-W113/","Открыть позицию")</x:f>
        <x:v>Открыть позицию</x:v>
      </x:c>
    </x:row>
    <x:row r="186" ht="28" customHeight="1">
      <x:c r="A186" s="16" t="str">
        <x:v>Бийскэнерго</x:v>
      </x:c>
      <x:c r="B186" s="16" t="str">
        <x:v>2000815328-W113</x:v>
      </x:c>
      <x:c r="C186" s="16" t="str">
        <x:v>ЗАТВОР 2Н 200/16 ВЧ ВЧ EPDM МФ РП</x:v>
      </x:c>
      <x:c r="D186" s="16" t="str">
        <x:v>ЗатворЧугунПоворотн</x:v>
      </x:c>
      <x:c r="E186" s="16" t="str">
        <x:v>ШТ</x:v>
      </x:c>
      <x:c r="F186" s="25" t="n">
        <x:v>10</x:v>
      </x:c>
      <x:c r="G186" s="17" t="n">
        <x:v>6674.693200000001</x:v>
      </x:c>
      <x:c r="H186" s="17" t="n">
        <x:f>G186*F186</x:f>
        <x:v>66746.932</x:v>
      </x:c>
      <x:c r="I186" s="26" t="str">
        <x:f>HYPERLINK("https://etp-aktiv.ru/catalog/materialy/truboprovodnaya-armatura-i-komplektuyushchie/2000815328-W113/","Открыть позицию")</x:f>
        <x:v>Открыть позицию</x:v>
      </x:c>
    </x:row>
    <x:row r="187" ht="28" customHeight="1">
      <x:c r="A187" s="16" t="str">
        <x:v>Бийскэнерго</x:v>
      </x:c>
      <x:c r="B187" s="16" t="str">
        <x:v>2000473139-W113</x:v>
      </x:c>
      <x:c r="C187" s="16" t="str">
        <x:v>ЗАТВОР ДИСКОВЫЙ ЗДП-150 DN150 PN16</x:v>
      </x:c>
      <x:c r="D187" s="16" t="str">
        <x:v>ЗатворЧугунПоворотн</x:v>
      </x:c>
      <x:c r="E187" s="16" t="str">
        <x:v>ШТ</x:v>
      </x:c>
      <x:c r="F187" s="25" t="n">
        <x:v>1</x:v>
      </x:c>
      <x:c r="G187" s="17" t="n">
        <x:v>6244.875</x:v>
      </x:c>
      <x:c r="H187" s="17" t="n">
        <x:f>G187*F187</x:f>
        <x:v>6244.875</x:v>
      </x:c>
      <x:c r="I187" s="26" t="str">
        <x:f>HYPERLINK("https://etp-aktiv.ru/catalog/materialy/truboprovodnaya-armatura-i-komplektuyushchie/2000473139-W113/","Открыть позицию")</x:f>
        <x:v>Открыть позицию</x:v>
      </x:c>
    </x:row>
    <x:row r="188" ht="28" customHeight="1">
      <x:c r="A188" s="16" t="str">
        <x:v>Бийскэнерго</x:v>
      </x:c>
      <x:c r="B188" s="16" t="str">
        <x:v>2000539522-W113</x:v>
      </x:c>
      <x:c r="C188" s="16" t="str">
        <x:v>КЛАПАН 15C52НЖ11М DN20 PN63 Р/П П/П А</x:v>
      </x:c>
      <x:c r="D188" s="16" t="str">
        <x:v>Задвиж/клапан стальн</x:v>
      </x:c>
      <x:c r="E188" s="16" t="str">
        <x:v>ШТ</x:v>
      </x:c>
      <x:c r="F188" s="25" t="n">
        <x:v>20</x:v>
      </x:c>
      <x:c r="G188" s="17" t="n">
        <x:v>1168.0524</x:v>
      </x:c>
      <x:c r="H188" s="17" t="n">
        <x:f>G188*F188</x:f>
        <x:v>23361.048000000003</x:v>
      </x:c>
      <x:c r="I188" s="26" t="str">
        <x:f>HYPERLINK("https://etp-aktiv.ru/catalog/materialy/truboprovodnaya-armatura-i-komplektuyushchie/2000539522-W113/","Открыть позицию")</x:f>
        <x:v>Открыть позицию</x:v>
      </x:c>
    </x:row>
    <x:row r="189" ht="28" customHeight="1">
      <x:c r="A189" s="16" t="str">
        <x:v>Бийскэнерго</x:v>
      </x:c>
      <x:c r="B189" s="16" t="str">
        <x:v>2000539558-W113</x:v>
      </x:c>
      <x:c r="C189" s="16" t="str">
        <x:v>КЛАПАН 15КЧ18П DN32 PN16 Р/П</x:v>
      </x:c>
      <x:c r="D189" s="16" t="str">
        <x:v>ЧугунАрмат (кр.затв)</x:v>
      </x:c>
      <x:c r="E189" s="16" t="str">
        <x:v>ШТ</x:v>
      </x:c>
      <x:c r="F189" s="25" t="n">
        <x:v>8</x:v>
      </x:c>
      <x:c r="G189" s="17" t="n">
        <x:v>39.4914</x:v>
      </x:c>
      <x:c r="H189" s="17" t="n">
        <x:f>G189*F189</x:f>
        <x:v>315.9312</x:v>
      </x:c>
      <x:c r="I189" s="26" t="str">
        <x:f>HYPERLINK("https://etp-aktiv.ru/catalog/materialy/truboprovodnaya-armatura-i-komplektuyushchie/2000539558-W113/","Открыть позицию")</x:f>
        <x:v>Открыть позицию</x:v>
      </x:c>
    </x:row>
    <x:row r="190" ht="28" customHeight="1">
      <x:c r="A190" s="16" t="str">
        <x:v>Бийскэнерго</x:v>
      </x:c>
      <x:c r="B190" s="16" t="str">
        <x:v>2000539567-W113</x:v>
      </x:c>
      <x:c r="C190" s="16" t="str">
        <x:v>КЛАПАН 15КЧ19П DN50 PN16 ФЛАНЦЕВ</x:v>
      </x:c>
      <x:c r="D190" s="16" t="str">
        <x:v>ЧугунАрмат (кр.затв)</x:v>
      </x:c>
      <x:c r="E190" s="16" t="str">
        <x:v>ШТ</x:v>
      </x:c>
      <x:c r="F190" s="25" t="n">
        <x:v>34</x:v>
      </x:c>
      <x:c r="G190" s="17" t="n">
        <x:v>246.4888</x:v>
      </x:c>
      <x:c r="H190" s="17" t="n">
        <x:f>G190*F190</x:f>
        <x:v>8380.6192</x:v>
      </x:c>
      <x:c r="I190" s="26" t="str">
        <x:f>HYPERLINK("https://etp-aktiv.ru/catalog/materialy/truboprovodnaya-armatura-i-komplektuyushchie/2000539567-W113/","Открыть позицию")</x:f>
        <x:v>Открыть позицию</x:v>
      </x:c>
    </x:row>
    <x:row r="191" ht="28" customHeight="1">
      <x:c r="A191" s="16" t="str">
        <x:v>Бийскэнерго</x:v>
      </x:c>
      <x:c r="B191" s="16" t="str">
        <x:v>2000539603-W113</x:v>
      </x:c>
      <x:c r="C191" s="16" t="str">
        <x:v>КЛАПАН 15С22НЖ 80/40 РУЧ/ПР МАХОВИК ФЛ А</x:v>
      </x:c>
      <x:c r="D191" s="16" t="str">
        <x:v>Задвиж/клапан стальн</x:v>
      </x:c>
      <x:c r="E191" s="16" t="str">
        <x:v>ШТ</x:v>
      </x:c>
      <x:c r="F191" s="25" t="n">
        <x:v>6</x:v>
      </x:c>
      <x:c r="G191" s="17" t="n">
        <x:v>2495.998</x:v>
      </x:c>
      <x:c r="H191" s="17" t="n">
        <x:f>G191*F191</x:f>
        <x:v>14975.988000000001</x:v>
      </x:c>
      <x:c r="I191" s="26" t="str">
        <x:f>HYPERLINK("https://etp-aktiv.ru/catalog/materialy/truboprovodnaya-armatura-i-komplektuyushchie/2000539603-W113/","Открыть позицию")</x:f>
        <x:v>Открыть позицию</x:v>
      </x:c>
    </x:row>
    <x:row r="192" ht="28" customHeight="1">
      <x:c r="A192" s="16" t="str">
        <x:v>Бийскэнерго</x:v>
      </x:c>
      <x:c r="B192" s="16" t="str">
        <x:v>2000539615-W113</x:v>
      </x:c>
      <x:c r="C192" s="16" t="str">
        <x:v>КЛАПАН 15С52НЖ11 DN20 PN63 Р/П П/П А</x:v>
      </x:c>
      <x:c r="D192" s="16" t="str">
        <x:v>Задвиж/клапан стальн</x:v>
      </x:c>
      <x:c r="E192" s="16" t="str">
        <x:v>ШТ</x:v>
      </x:c>
      <x:c r="F192" s="25" t="n">
        <x:v>2</x:v>
      </x:c>
      <x:c r="G192" s="17" t="n">
        <x:v>3793.9316000000003</x:v>
      </x:c>
      <x:c r="H192" s="17" t="n">
        <x:f>G192*F192</x:f>
        <x:v>7587.863200000001</x:v>
      </x:c>
      <x:c r="I192" s="26" t="str">
        <x:f>HYPERLINK("https://etp-aktiv.ru/catalog/materialy/truboprovodnaya-armatura-i-komplektuyushchie/2000539615-W113/","Открыть позицию")</x:f>
        <x:v>Открыть позицию</x:v>
      </x:c>
    </x:row>
    <x:row r="193" ht="28" customHeight="1">
      <x:c r="A193" s="16" t="str">
        <x:v>Бийскэнерго</x:v>
      </x:c>
      <x:c r="B193" s="16" t="str">
        <x:v>2000843304-W113</x:v>
      </x:c>
      <x:c r="C193" s="16" t="str">
        <x:v>КЛАПАН 15С65НЖ DN50 PN16 РП ФЛ</x:v>
      </x:c>
      <x:c r="D193" s="16" t="str">
        <x:v>Задвиж/клапан стальн</x:v>
      </x:c>
      <x:c r="E193" s="16" t="str">
        <x:v>ШТ</x:v>
      </x:c>
      <x:c r="F193" s="25" t="n">
        <x:v>3</x:v>
      </x:c>
      <x:c r="G193" s="17" t="n">
        <x:v>5351.6032000000005</x:v>
      </x:c>
      <x:c r="H193" s="17" t="n">
        <x:f>G193*F193</x:f>
        <x:v>16054.8096</x:v>
      </x:c>
      <x:c r="I193" s="26" t="str">
        <x:f>HYPERLINK("https://etp-aktiv.ru/catalog/materialy/truboprovodnaya-armatura-i-komplektuyushchie/2000843304-W113/","Открыть позицию")</x:f>
        <x:v>Открыть позицию</x:v>
      </x:c>
    </x:row>
    <x:row r="194" ht="28" customHeight="1">
      <x:c r="A194" s="16" t="str">
        <x:v>Бийскэнерго</x:v>
      </x:c>
      <x:c r="B194" s="16" t="str">
        <x:v>2000595258-W113</x:v>
      </x:c>
      <x:c r="C194" s="16" t="str">
        <x:v>КЛАПАН 15Ч74П1М DN50 PN16 РП ФЛ А</x:v>
      </x:c>
      <x:c r="D194" s="16" t="str">
        <x:v>ЧугунАрмат (кр.затв)</x:v>
      </x:c>
      <x:c r="E194" s="16" t="str">
        <x:v>ШТ</x:v>
      </x:c>
      <x:c r="F194" s="25" t="n">
        <x:v>2</x:v>
      </x:c>
      <x:c r="G194" s="17" t="n">
        <x:v>14296.875</x:v>
      </x:c>
      <x:c r="H194" s="17" t="n">
        <x:f>G194*F194</x:f>
        <x:v>28593.75</x:v>
      </x:c>
      <x:c r="I194" s="26" t="str">
        <x:f>HYPERLINK("https://etp-aktiv.ru/catalog/materialy/truboprovodnaya-armatura-i-komplektuyushchie/2000595258-W113/","Открыть позицию")</x:f>
        <x:v>Открыть позицию</x:v>
      </x:c>
    </x:row>
    <x:row r="195" ht="28" customHeight="1">
      <x:c r="A195" s="16" t="str">
        <x:v>Бийскэнерго</x:v>
      </x:c>
      <x:c r="B195" s="16" t="str">
        <x:v>2000588008-W113</x:v>
      </x:c>
      <x:c r="C195" s="16" t="str">
        <x:v>КЛАПАН 15Ч75П2М DN25 PN10 РП ФЛ КОФ</x:v>
      </x:c>
      <x:c r="D195" s="16" t="str">
        <x:v>ЧугунАрмат (кр.затв)</x:v>
      </x:c>
      <x:c r="E195" s="16" t="str">
        <x:v>ШТ</x:v>
      </x:c>
      <x:c r="F195" s="25" t="n">
        <x:v>1</x:v>
      </x:c>
      <x:c r="G195" s="17" t="n">
        <x:v>103.4926</x:v>
      </x:c>
      <x:c r="H195" s="17" t="n">
        <x:f>G195*F195</x:f>
        <x:v>103.4926</x:v>
      </x:c>
      <x:c r="I195" s="26" t="str">
        <x:f>HYPERLINK("https://etp-aktiv.ru/catalog/materialy/truboprovodnaya-armatura-i-komplektuyushchie/2000588008-W113/","Открыть позицию")</x:f>
        <x:v>Открыть позицию</x:v>
      </x:c>
    </x:row>
    <x:row r="196" ht="28" customHeight="1">
      <x:c r="A196" s="16" t="str">
        <x:v>Бийскэнерго</x:v>
      </x:c>
      <x:c r="B196" s="16" t="str">
        <x:v>2000539655-W113</x:v>
      </x:c>
      <x:c r="C196" s="16" t="str">
        <x:v>КЛАПАН 15Ч75П2М DN40 PN10 Р/П ФЛ А</x:v>
      </x:c>
      <x:c r="D196" s="16" t="str">
        <x:v>ЧугунАрмат (кр.затв)</x:v>
      </x:c>
      <x:c r="E196" s="16" t="str">
        <x:v>ШТ</x:v>
      </x:c>
      <x:c r="F196" s="25" t="n">
        <x:v>3</x:v>
      </x:c>
      <x:c r="G196" s="17" t="n">
        <x:v>6534.9788</x:v>
      </x:c>
      <x:c r="H196" s="17" t="n">
        <x:f>G196*F196</x:f>
        <x:v>19604.9364</x:v>
      </x:c>
      <x:c r="I196" s="26" t="str">
        <x:f>HYPERLINK("https://etp-aktiv.ru/catalog/materialy/truboprovodnaya-armatura-i-komplektuyushchie/2000539655-W113/","Открыть позицию")</x:f>
        <x:v>Открыть позицию</x:v>
      </x:c>
    </x:row>
    <x:row r="197" ht="28" customHeight="1">
      <x:c r="A197" s="16" t="str">
        <x:v>Бийскэнерго</x:v>
      </x:c>
      <x:c r="B197" s="16" t="str">
        <x:v>2000539656-W113</x:v>
      </x:c>
      <x:c r="C197" s="16" t="str">
        <x:v>КЛАПАН 15Ч75П2М DN50 PN10 Р/П ФЛ А</x:v>
      </x:c>
      <x:c r="D197" s="16" t="str">
        <x:v>ЧугунАрмат (кр.затв)</x:v>
      </x:c>
      <x:c r="E197" s="16" t="str">
        <x:v>ШТ</x:v>
      </x:c>
      <x:c r="F197" s="25" t="n">
        <x:v>1</x:v>
      </x:c>
      <x:c r="G197" s="17" t="n">
        <x:v>7994.8186</x:v>
      </x:c>
      <x:c r="H197" s="17" t="n">
        <x:f>G197*F197</x:f>
        <x:v>7994.8186</x:v>
      </x:c>
      <x:c r="I197" s="26" t="str">
        <x:f>HYPERLINK("https://etp-aktiv.ru/catalog/materialy/truboprovodnaya-armatura-i-komplektuyushchie/2000539656-W113/","Открыть позицию")</x:f>
        <x:v>Открыть позицию</x:v>
      </x:c>
    </x:row>
    <x:row r="198" ht="28" customHeight="1">
      <x:c r="A198" s="16" t="str">
        <x:v>Бийскэнерго</x:v>
      </x:c>
      <x:c r="B198" s="16" t="str">
        <x:v>2000176794-W113</x:v>
      </x:c>
      <x:c r="C198" s="16" t="str">
        <x:v>КЛАПАН 720-20-ОА-01 DN20 PN250 ПП</x:v>
      </x:c>
      <x:c r="D198" s="16" t="str">
        <x:v>Трубопр арматура в/д</x:v>
      </x:c>
      <x:c r="E198" s="16" t="str">
        <x:v>ШТ</x:v>
      </x:c>
      <x:c r="F198" s="25" t="n">
        <x:v>2</x:v>
      </x:c>
      <x:c r="G198" s="17" t="n">
        <x:v>4374.8468</x:v>
      </x:c>
      <x:c r="H198" s="17" t="n">
        <x:f>G198*F198</x:f>
        <x:v>8749.6936</x:v>
      </x:c>
      <x:c r="I198" s="26" t="str">
        <x:f>HYPERLINK("https://etp-aktiv.ru/catalog/materialy/truboprovodnaya-armatura-i-komplektuyushchie/2000176794-W113/","Открыть позицию")</x:f>
        <x:v>Открыть позицию</x:v>
      </x:c>
    </x:row>
    <x:row r="199" ht="28" customHeight="1">
      <x:c r="A199" s="16" t="str">
        <x:v>Бийскэнерго</x:v>
      </x:c>
      <x:c r="B199" s="16" t="str">
        <x:v>2000572743-W113</x:v>
      </x:c>
      <x:c r="C199" s="16" t="str">
        <x:v>КЛАПАН 843-40-ОА-03 DN65 PN235 Б/П П/П</x:v>
      </x:c>
      <x:c r="D199" s="16" t="str">
        <x:v>Трубопр арматура в/д</x:v>
      </x:c>
      <x:c r="E199" s="16" t="str">
        <x:v>ШТ</x:v>
      </x:c>
      <x:c r="F199" s="25" t="n">
        <x:v>2</x:v>
      </x:c>
      <x:c r="G199" s="17" t="n">
        <x:v>9178.426</x:v>
      </x:c>
      <x:c r="H199" s="17" t="n">
        <x:f>G199*F199</x:f>
        <x:v>18356.852</x:v>
      </x:c>
      <x:c r="I199" s="26" t="str">
        <x:f>HYPERLINK("https://etp-aktiv.ru/catalog/materialy/truboprovodnaya-armatura-i-komplektuyushchie/2000572743-W113/","Открыть позицию")</x:f>
        <x:v>Открыть позицию</x:v>
      </x:c>
    </x:row>
    <x:row r="200" ht="28" customHeight="1">
      <x:c r="A200" s="16" t="str">
        <x:v>Бийскэнерго</x:v>
      </x:c>
      <x:c r="B200" s="16" t="str">
        <x:v>2000806685-W113</x:v>
      </x:c>
      <x:c r="C200" s="16" t="str">
        <x:v>КЛАПАН ОБРАТ 1524-32-0 DN32 PN100 РП ПП</x:v>
      </x:c>
      <x:c r="D200" s="16" t="str">
        <x:v>Трубопр арматура в/д</x:v>
      </x:c>
      <x:c r="E200" s="16" t="str">
        <x:v>ШТ</x:v>
      </x:c>
      <x:c r="F200" s="25" t="n">
        <x:v>3</x:v>
      </x:c>
      <x:c r="G200" s="17" t="n">
        <x:v>16584.375</x:v>
      </x:c>
      <x:c r="H200" s="17" t="n">
        <x:f>G200*F200</x:f>
        <x:v>49753.125</x:v>
      </x:c>
      <x:c r="I200" s="26" t="str">
        <x:f>HYPERLINK("https://etp-aktiv.ru/catalog/materialy/truboprovodnaya-armatura-i-komplektuyushchie/2000806685-W113/","Открыть позицию")</x:f>
        <x:v>Открыть позицию</x:v>
      </x:c>
    </x:row>
    <x:row r="201" ht="28" customHeight="1">
      <x:c r="A201" s="16" t="str">
        <x:v>Бийскэнерго</x:v>
      </x:c>
      <x:c r="B201" s="16" t="str">
        <x:v>2000539753-W113</x:v>
      </x:c>
      <x:c r="C201" s="16" t="str">
        <x:v>КЛАПАН ОБРАТ 19Ч21БР DN200 PN16</x:v>
      </x:c>
      <x:c r="D201" s="16" t="str">
        <x:v>ЧугунАрмат (кр.затв)</x:v>
      </x:c>
      <x:c r="E201" s="16" t="str">
        <x:v>ШТ</x:v>
      </x:c>
      <x:c r="F201" s="25" t="n">
        <x:v>1</x:v>
      </x:c>
      <x:c r="G201" s="17" t="n">
        <x:v>10499.625</x:v>
      </x:c>
      <x:c r="H201" s="17" t="n">
        <x:f>G201*F201</x:f>
        <x:v>10499.625</x:v>
      </x:c>
      <x:c r="I201" s="26" t="str">
        <x:f>HYPERLINK("https://etp-aktiv.ru/catalog/materialy/truboprovodnaya-armatura-i-komplektuyushchie/2000539753-W113/","Открыть позицию")</x:f>
        <x:v>Открыть позицию</x:v>
      </x:c>
    </x:row>
    <x:row r="202" ht="28" customHeight="1">
      <x:c r="A202" s="16" t="str">
        <x:v>Бийскэнерго</x:v>
      </x:c>
      <x:c r="B202" s="16" t="str">
        <x:v>2000320080-W113</x:v>
      </x:c>
      <x:c r="C202" s="16" t="str">
        <x:v>КЛАПАН ОБРАТНЫЙ 16С10П DN25 PN16</x:v>
      </x:c>
      <x:c r="D202" s="16" t="str">
        <x:v>Обратная арматура</x:v>
      </x:c>
      <x:c r="E202" s="16" t="str">
        <x:v>ШТ</x:v>
      </x:c>
      <x:c r="F202" s="25" t="n">
        <x:v>9</x:v>
      </x:c>
      <x:c r="G202" s="17" t="n">
        <x:v>6416.4436</x:v>
      </x:c>
      <x:c r="H202" s="17" t="n">
        <x:f>G202*F202</x:f>
        <x:v>57747.992399999996</x:v>
      </x:c>
      <x:c r="I202" s="26" t="str">
        <x:f>HYPERLINK("https://etp-aktiv.ru/catalog/materialy/truboprovodnaya-armatura-i-komplektuyushchie/2000320080-W113/","Открыть позицию")</x:f>
        <x:v>Открыть позицию</x:v>
      </x:c>
    </x:row>
    <x:row r="203" ht="28" customHeight="1">
      <x:c r="A203" s="16" t="str">
        <x:v>Бийскэнерго</x:v>
      </x:c>
      <x:c r="B203" s="16" t="str">
        <x:v>2000028382-W113</x:v>
      </x:c>
      <x:c r="C203" s="16" t="str">
        <x:v>КРАН 11Б27П1 DN25 PN16</x:v>
      </x:c>
      <x:c r="D203" s="16" t="str">
        <x:v>Армат из медн сплав</x:v>
      </x:c>
      <x:c r="E203" s="16" t="str">
        <x:v>ШТ</x:v>
      </x:c>
      <x:c r="F203" s="25" t="n">
        <x:v>3</x:v>
      </x:c>
      <x:c r="G203" s="17" t="n">
        <x:v>373.32</x:v>
      </x:c>
      <x:c r="H203" s="17" t="n">
        <x:f>G203*F203</x:f>
        <x:v>1119.96</x:v>
      </x:c>
      <x:c r="I203" s="26" t="str">
        <x:f>HYPERLINK("https://etp-aktiv.ru/catalog/materialy/truboprovodnaya-armatura-i-komplektuyushchie/2000028382-W113/","Открыть позицию")</x:f>
        <x:v>Открыть позицию</x:v>
      </x:c>
    </x:row>
    <x:row r="204" ht="28" customHeight="1">
      <x:c r="A204" s="16" t="str">
        <x:v>Бийскэнерго</x:v>
      </x:c>
      <x:c r="B204" s="16" t="str">
        <x:v>2000540345-W113</x:v>
      </x:c>
      <x:c r="C204" s="16" t="str">
        <x:v>КРАН 11Б38БК 3Х ВОДА 200° ВВ 15/16 РП С</x:v>
      </x:c>
      <x:c r="D204" s="16" t="str">
        <x:v>Армат из медн сплав</x:v>
      </x:c>
      <x:c r="E204" s="16" t="str">
        <x:v>ШТ</x:v>
      </x:c>
      <x:c r="F204" s="25" t="n">
        <x:v>17</x:v>
      </x:c>
      <x:c r="G204" s="17" t="n">
        <x:v>67.2098</x:v>
      </x:c>
      <x:c r="H204" s="17" t="n">
        <x:f>G204*F204</x:f>
        <x:v>1142.5666</x:v>
      </x:c>
      <x:c r="I204" s="26" t="str">
        <x:f>HYPERLINK("https://etp-aktiv.ru/catalog/materialy/truboprovodnaya-armatura-i-komplektuyushchie/2000540345-W113/","Открыть позицию")</x:f>
        <x:v>Открыть позицию</x:v>
      </x:c>
    </x:row>
    <x:row r="205" ht="28" customHeight="1">
      <x:c r="A205" s="16" t="str">
        <x:v>Бийскэнерго</x:v>
      </x:c>
      <x:c r="B205" s="16" t="str">
        <x:v>2000540261-W113</x:v>
      </x:c>
      <x:c r="C205" s="16" t="str">
        <x:v>КРАН СТ20 СП ВОДА 200° М 15/40 РП A</x:v>
      </x:c>
      <x:c r="D205" s="16" t="str">
        <x:v>Краны шаров.стальн</x:v>
      </x:c>
      <x:c r="E205" s="16" t="str">
        <x:v>ШТ</x:v>
      </x:c>
      <x:c r="F205" s="25" t="n">
        <x:v>9</x:v>
      </x:c>
      <x:c r="G205" s="17" t="n">
        <x:v>591.4804</x:v>
      </x:c>
      <x:c r="H205" s="17" t="n">
        <x:f>G205*F205</x:f>
        <x:v>5323.323600000001</x:v>
      </x:c>
      <x:c r="I205" s="26" t="str">
        <x:f>HYPERLINK("https://etp-aktiv.ru/catalog/materialy/truboprovodnaya-armatura-i-komplektuyushchie/2000540261-W113/","Открыть позицию")</x:f>
        <x:v>Открыть позицию</x:v>
      </x:c>
    </x:row>
    <x:row r="206" ht="28" customHeight="1">
      <x:c r="A206" s="16" t="str">
        <x:v>Бийскэнерго</x:v>
      </x:c>
      <x:c r="B206" s="16" t="str">
        <x:v>2000540274-W113</x:v>
      </x:c>
      <x:c r="C206" s="16" t="str">
        <x:v>КРАН СТ20 СП ВОДА 200° ПП 125/25 РП A</x:v>
      </x:c>
      <x:c r="D206" s="16" t="str">
        <x:v>Краны шаров.стальн</x:v>
      </x:c>
      <x:c r="E206" s="16" t="str">
        <x:v>ШТ</x:v>
      </x:c>
      <x:c r="F206" s="25" t="n">
        <x:v>3</x:v>
      </x:c>
      <x:c r="G206" s="17" t="n">
        <x:v>803.8824</x:v>
      </x:c>
      <x:c r="H206" s="17" t="n">
        <x:f>G206*F206</x:f>
        <x:v>2411.6472</x:v>
      </x:c>
      <x:c r="I206" s="26" t="str">
        <x:f>HYPERLINK("https://etp-aktiv.ru/catalog/materialy/truboprovodnaya-armatura-i-komplektuyushchie/2000540274-W113/","Открыть позицию")</x:f>
        <x:v>Открыть позицию</x:v>
      </x:c>
    </x:row>
    <x:row r="207" ht="28" customHeight="1">
      <x:c r="A207" s="16" t="str">
        <x:v>Бийскэнерго</x:v>
      </x:c>
      <x:c r="B207" s="16" t="str">
        <x:v>2000557784-W113</x:v>
      </x:c>
      <x:c r="C207" s="16" t="str">
        <x:v>КРАН ШАРОВОЙ ПВХ DN50 PN16 VEELV200E</x:v>
      </x:c>
      <x:c r="D207" s="16" t="str">
        <x:v>Фитинги труб полимер</x:v>
      </x:c>
      <x:c r="E207" s="16" t="str">
        <x:v>ШТ</x:v>
      </x:c>
      <x:c r="F207" s="25" t="n">
        <x:v>2</x:v>
      </x:c>
      <x:c r="G207" s="17" t="n">
        <x:v>1769.0854</x:v>
      </x:c>
      <x:c r="H207" s="17" t="n">
        <x:f>G207*F207</x:f>
        <x:v>3538.1708</x:v>
      </x:c>
      <x:c r="I207" s="26" t="str">
        <x:f>HYPERLINK("https://etp-aktiv.ru/catalog/materialy/truboprovody/2000557784-W113/","Открыть позицию")</x:f>
        <x:v>Открыть позицию</x:v>
      </x:c>
    </x:row>
    <x:row r="208" ht="28" customHeight="1">
      <x:c r="A208" s="16" t="str">
        <x:v>Бийскэнерго</x:v>
      </x:c>
      <x:c r="B208" s="16" t="str">
        <x:v>2000259114-W113</x:v>
      </x:c>
      <x:c r="C208" s="16" t="str">
        <x:v>КРАН ШАРОВЫЙ 11Б27ПА11 DN15 PN16</x:v>
      </x:c>
      <x:c r="D208" s="16" t="str">
        <x:v>Армат из медн сплав</x:v>
      </x:c>
      <x:c r="E208" s="16" t="str">
        <x:v>ШТ</x:v>
      </x:c>
      <x:c r="F208" s="25" t="n">
        <x:v>4</x:v>
      </x:c>
      <x:c r="G208" s="17" t="n">
        <x:v>122.4514</x:v>
      </x:c>
      <x:c r="H208" s="17" t="n">
        <x:f>G208*F208</x:f>
        <x:v>489.8056</x:v>
      </x:c>
      <x:c r="I208" s="26" t="str">
        <x:f>HYPERLINK("https://etp-aktiv.ru/catalog/materialy/truboprovodnaya-armatura-i-komplektuyushchie/2000259114-W113/","Открыть позицию")</x:f>
        <x:v>Открыть позицию</x:v>
      </x:c>
    </x:row>
    <x:row r="209" ht="28" customHeight="1">
      <x:c r="A209" s="16" t="str">
        <x:v>Бийскэнерго</x:v>
      </x:c>
      <x:c r="B209" s="16" t="str">
        <x:v>2000578933-W113</x:v>
      </x:c>
      <x:c r="C209" s="16" t="str">
        <x:v>МЕМБРАНА Ф-4 D85ММ 15Ч75П DN25 PN10</x:v>
      </x:c>
      <x:c r="D209" s="16" t="str">
        <x:v>ЗЧ трубопр арматуры</x:v>
      </x:c>
      <x:c r="E209" s="16" t="str">
        <x:v>ШТ</x:v>
      </x:c>
      <x:c r="F209" s="25" t="n">
        <x:v>17</x:v>
      </x:c>
      <x:c r="G209" s="17" t="n">
        <x:v>178.7178</x:v>
      </x:c>
      <x:c r="H209" s="17" t="n">
        <x:f>G209*F209</x:f>
        <x:v>3038.2026</x:v>
      </x:c>
      <x:c r="I209" s="26" t="str">
        <x:f>HYPERLINK("https://etp-aktiv.ru/catalog/materialy/truboprovodnaya-armatura-i-komplektuyushchie/2000578933-W113/","Открыть позицию")</x:f>
        <x:v>Открыть позицию</x:v>
      </x:c>
    </x:row>
    <x:row r="210" ht="28" customHeight="1">
      <x:c r="A210" s="16" t="str">
        <x:v>Бийскэнерго</x:v>
      </x:c>
      <x:c r="B210" s="16" t="str">
        <x:v>2000578934-W113</x:v>
      </x:c>
      <x:c r="C210" s="16" t="str">
        <x:v>МЕМБРАНА Ф-4 D96ММ 15Ч75П DN32 PN10</x:v>
      </x:c>
      <x:c r="D210" s="16" t="str">
        <x:v>ЗЧ трубопр арматуры</x:v>
      </x:c>
      <x:c r="E210" s="16" t="str">
        <x:v>ШТ</x:v>
      </x:c>
      <x:c r="F210" s="25" t="n">
        <x:v>3</x:v>
      </x:c>
      <x:c r="G210" s="17" t="n">
        <x:v>218.746</x:v>
      </x:c>
      <x:c r="H210" s="17" t="n">
        <x:f>G210*F210</x:f>
        <x:v>656.238</x:v>
      </x:c>
      <x:c r="I210" s="26" t="str">
        <x:f>HYPERLINK("https://etp-aktiv.ru/catalog/materialy/truboprovodnaya-armatura-i-komplektuyushchie/2000578934-W113/","Открыть позицию")</x:f>
        <x:v>Открыть позицию</x:v>
      </x:c>
    </x:row>
    <x:row r="211" ht="28" customHeight="1">
      <x:c r="A211" s="16" t="str">
        <x:v>Бийскэнерго</x:v>
      </x:c>
      <x:c r="B211" s="16" t="str">
        <x:v>2000654733-W113</x:v>
      </x:c>
      <x:c r="C211" s="16" t="str">
        <x:v>МЕМБРАНА Ф4 М80.02 DN50 15Ч75П2М</x:v>
      </x:c>
      <x:c r="D211" s="16" t="str">
        <x:v>ЗЧ трубопр арматуры</x:v>
      </x:c>
      <x:c r="E211" s="16" t="str">
        <x:v>ШТ</x:v>
      </x:c>
      <x:c r="F211" s="25" t="n">
        <x:v>10</x:v>
      </x:c>
      <x:c r="G211" s="17" t="n">
        <x:v>965.9716</x:v>
      </x:c>
      <x:c r="H211" s="17" t="n">
        <x:f>G211*F211</x:f>
        <x:v>9659.716</x:v>
      </x:c>
      <x:c r="I211" s="26" t="str">
        <x:f>HYPERLINK("https://etp-aktiv.ru/catalog/materialy/truboprovodnaya-armatura-i-komplektuyushchie/2000654733-W113/","Открыть позицию")</x:f>
        <x:v>Открыть позицию</x:v>
      </x:c>
    </x:row>
    <x:row r="212" ht="28" customHeight="1">
      <x:c r="A212" s="16" t="str">
        <x:v>Бийскэнерго</x:v>
      </x:c>
      <x:c r="B212" s="16" t="str">
        <x:v>2000627781-W113</x:v>
      </x:c>
      <x:c r="C212" s="16" t="str">
        <x:v>МУФТА СТ20 DN20 PN16 ИСП1 ГОСТ8966-75</x:v>
      </x:c>
      <x:c r="D212" s="16" t="str">
        <x:v>Детали фасонные</x:v>
      </x:c>
      <x:c r="E212" s="16" t="str">
        <x:v>ШТ</x:v>
      </x:c>
      <x:c r="F212" s="25" t="n">
        <x:v>296</x:v>
      </x:c>
      <x:c r="G212" s="17" t="n">
        <x:v>11.211799999999998</x:v>
      </x:c>
      <x:c r="H212" s="17" t="n">
        <x:f>G212*F212</x:f>
        <x:v>3318.6927999999994</x:v>
      </x:c>
      <x:c r="I212" s="26" t="str">
        <x:f>HYPERLINK("https://etp-aktiv.ru/catalog/materialy/truboprovody/2000627781-W113/","Открыть позицию")</x:f>
        <x:v>Открыть позицию</x:v>
      </x:c>
    </x:row>
    <x:row r="213" ht="28" customHeight="1">
      <x:c r="A213" s="16" t="str">
        <x:v>Бийскэнерго</x:v>
      </x:c>
      <x:c r="B213" s="16" t="str">
        <x:v>2000649681-W113</x:v>
      </x:c>
      <x:c r="C213" s="16" t="str">
        <x:v>ОТВОД 45° 76 13 250 636 1036 R300 12Х1МФ</x:v>
      </x:c>
      <x:c r="D213" s="16" t="str">
        <x:v>Труб/элем ВД</x:v>
      </x:c>
      <x:c r="E213" s="16" t="str">
        <x:v>ШТ</x:v>
      </x:c>
      <x:c r="F213" s="25" t="n">
        <x:v>1</x:v>
      </x:c>
      <x:c r="G213" s="17" t="n">
        <x:v>17555.373</x:v>
      </x:c>
      <x:c r="H213" s="17" t="n">
        <x:f>G213*F213</x:f>
        <x:v>17555.373</x:v>
      </x:c>
      <x:c r="I213" s="26" t="str">
        <x:f>HYPERLINK("https://etp-aktiv.ru/catalog/materialy/truboprovody/2000649681-W113/","Открыть позицию")</x:f>
        <x:v>Открыть позицию</x:v>
      </x:c>
    </x:row>
    <x:row r="214" ht="28" customHeight="1">
      <x:c r="A214" s="16" t="str">
        <x:v>Бийскэнерго</x:v>
      </x:c>
      <x:c r="B214" s="16" t="str">
        <x:v>2000220759-W113</x:v>
      </x:c>
      <x:c r="C214" s="16" t="str">
        <x:v>ОТВОД 60° СТ20 DN89 4,5 ГОСТ17375-01</x:v>
      </x:c>
      <x:c r="D214" s="16" t="str">
        <x:v>Детали фасонные</x:v>
      </x:c>
      <x:c r="E214" s="16" t="str">
        <x:v>ШТ</x:v>
      </x:c>
      <x:c r="F214" s="25" t="n">
        <x:v>2</x:v>
      </x:c>
      <x:c r="G214" s="17" t="n">
        <x:v>396.195</x:v>
      </x:c>
      <x:c r="H214" s="17" t="n">
        <x:f>G214*F214</x:f>
        <x:v>792.39</x:v>
      </x:c>
      <x:c r="I214" s="26" t="str">
        <x:f>HYPERLINK("https://etp-aktiv.ru/catalog/materialy/truboprovody/2000220759-W113/","Открыть позицию")</x:f>
        <x:v>Открыть позицию</x:v>
      </x:c>
    </x:row>
    <x:row r="215" ht="28" customHeight="1">
      <x:c r="A215" s="16" t="str">
        <x:v>Бийскэнерго</x:v>
      </x:c>
      <x:c r="B215" s="16" t="str">
        <x:v>2000575310-W113</x:v>
      </x:c>
      <x:c r="C215" s="16" t="str">
        <x:v>ОТВОД 90° СТ20 133*6 ГОСТ30753-2001</x:v>
      </x:c>
      <x:c r="D215" s="16" t="str">
        <x:v>Детали фасонные</x:v>
      </x:c>
      <x:c r="E215" s="16" t="str">
        <x:v>ШТ</x:v>
      </x:c>
      <x:c r="F215" s="25" t="n">
        <x:v>2</x:v>
      </x:c>
      <x:c r="G215" s="17" t="n">
        <x:v>410.9204</x:v>
      </x:c>
      <x:c r="H215" s="17" t="n">
        <x:f>G215*F215</x:f>
        <x:v>821.8408</x:v>
      </x:c>
      <x:c r="I215" s="26" t="str">
        <x:f>HYPERLINK("https://etp-aktiv.ru/catalog/materialy/truboprovody/2000575310-W113/","Открыть позицию")</x:f>
        <x:v>Открыть позицию</x:v>
      </x:c>
    </x:row>
    <x:row r="216" ht="28" customHeight="1">
      <x:c r="A216" s="16" t="str">
        <x:v>Бийскэнерго</x:v>
      </x:c>
      <x:c r="B216" s="16" t="str">
        <x:v>2000032713-W113</x:v>
      </x:c>
      <x:c r="C216" s="16" t="str">
        <x:v>ОТВОД 90° СТ20 DN20 ГОСТ17375-01</x:v>
      </x:c>
      <x:c r="D216" s="16" t="str">
        <x:v>Детали фасонные</x:v>
      </x:c>
      <x:c r="E216" s="16" t="str">
        <x:v>ШТ</x:v>
      </x:c>
      <x:c r="F216" s="25" t="n">
        <x:v>7</x:v>
      </x:c>
      <x:c r="G216" s="17" t="n">
        <x:v>5.7462</x:v>
      </x:c>
      <x:c r="H216" s="17" t="n">
        <x:f>G216*F216</x:f>
        <x:v>40.2234</x:v>
      </x:c>
      <x:c r="I216" s="26" t="str">
        <x:f>HYPERLINK("https://etp-aktiv.ru/catalog/materialy/truboprovody/2000032713-W113/","Открыть позицию")</x:f>
        <x:v>Открыть позицию</x:v>
      </x:c>
    </x:row>
    <x:row r="217" ht="28" customHeight="1">
      <x:c r="A217" s="16" t="str">
        <x:v>Бийскэнерго</x:v>
      </x:c>
      <x:c r="B217" s="16" t="str">
        <x:v>2000259679-W113</x:v>
      </x:c>
      <x:c r="C217" s="16" t="str">
        <x:v>ОТВОД 90° СТ20 DN60,3 5,6 ГОСТ17375-01</x:v>
      </x:c>
      <x:c r="D217" s="16" t="str">
        <x:v>Детали фасонные</x:v>
      </x:c>
      <x:c r="E217" s="16" t="str">
        <x:v>ШТ</x:v>
      </x:c>
      <x:c r="F217" s="25" t="n">
        <x:v>12</x:v>
      </x:c>
      <x:c r="G217" s="17" t="n">
        <x:v>291.65319999999997</x:v>
      </x:c>
      <x:c r="H217" s="17" t="n">
        <x:f>G217*F217</x:f>
        <x:v>3499.8383999999996</x:v>
      </x:c>
      <x:c r="I217" s="26" t="str">
        <x:f>HYPERLINK("https://etp-aktiv.ru/catalog/materialy/truboprovody/2000259679-W113/","Открыть позицию")</x:f>
        <x:v>Открыть позицию</x:v>
      </x:c>
    </x:row>
    <x:row r="218" ht="28" customHeight="1">
      <x:c r="A218" s="16" t="str">
        <x:v>Бийскэнерго</x:v>
      </x:c>
      <x:c r="B218" s="16" t="str">
        <x:v>2000554525-W113</x:v>
      </x:c>
      <x:c r="C218" s="16" t="str">
        <x:v>ОТВОД 90° СТ20 DN76*6 ГОСТ30753-2001</x:v>
      </x:c>
      <x:c r="D218" s="16" t="str">
        <x:v>Детали фасонные</x:v>
      </x:c>
      <x:c r="E218" s="16" t="str">
        <x:v>ШТ</x:v>
      </x:c>
      <x:c r="F218" s="25" t="n">
        <x:v>4</x:v>
      </x:c>
      <x:c r="G218" s="17" t="n">
        <x:v>12461.555799999998</x:v>
      </x:c>
      <x:c r="H218" s="17" t="n">
        <x:f>G218*F218</x:f>
        <x:v>49846.22319999999</x:v>
      </x:c>
      <x:c r="I218" s="26" t="str">
        <x:f>HYPERLINK("https://etp-aktiv.ru/catalog/materialy/truboprovody/2000554525-W113/","Открыть позицию")</x:f>
        <x:v>Открыть позицию</x:v>
      </x:c>
    </x:row>
    <x:row r="219" ht="28" customHeight="1">
      <x:c r="A219" s="16" t="str">
        <x:v>Бийскэнерго</x:v>
      </x:c>
      <x:c r="B219" s="16" t="str">
        <x:v>2000554634-W113</x:v>
      </x:c>
      <x:c r="C219" s="16" t="str">
        <x:v>ОТВОД П 90° СТ20 DN32*5 ГОСТ17375-01</x:v>
      </x:c>
      <x:c r="D219" s="16" t="str">
        <x:v>Детали фасонные</x:v>
      </x:c>
      <x:c r="E219" s="16" t="str">
        <x:v>ШТ</x:v>
      </x:c>
      <x:c r="F219" s="25" t="n">
        <x:v>22</x:v>
      </x:c>
      <x:c r="G219" s="17" t="n">
        <x:v>4.452999999999999</x:v>
      </x:c>
      <x:c r="H219" s="17" t="n">
        <x:f>G219*F219</x:f>
        <x:v>97.96599999999998</x:v>
      </x:c>
      <x:c r="I219" s="26" t="str">
        <x:f>HYPERLINK("https://etp-aktiv.ru/catalog/materialy/truboprovody/2000554634-W113/","Открыть позицию")</x:f>
        <x:v>Открыть позицию</x:v>
      </x:c>
    </x:row>
    <x:row r="220" ht="28" customHeight="1">
      <x:c r="A220" s="16" t="str">
        <x:v>Бийскэнерго</x:v>
      </x:c>
      <x:c r="B220" s="16" t="str">
        <x:v>2000554916-W113</x:v>
      </x:c>
      <x:c r="C220" s="16" t="str">
        <x:v>ПЕРЕХОД К СТ20 159*6-133*5 ГОСТ17378-01</x:v>
      </x:c>
      <x:c r="D220" s="16" t="str">
        <x:v>Детали фасонные</x:v>
      </x:c>
      <x:c r="E220" s="16" t="str">
        <x:v>ШТ</x:v>
      </x:c>
      <x:c r="F220" s="25" t="n">
        <x:v>9</x:v>
      </x:c>
      <x:c r="G220" s="17" t="n">
        <x:v>267.6436</x:v>
      </x:c>
      <x:c r="H220" s="17" t="n">
        <x:f>G220*F220</x:f>
        <x:v>2408.7924</x:v>
      </x:c>
      <x:c r="I220" s="26" t="str">
        <x:f>HYPERLINK("https://etp-aktiv.ru/catalog/materialy/truboprovody/2000554916-W113/","Открыть позицию")</x:f>
        <x:v>Открыть позицию</x:v>
      </x:c>
    </x:row>
    <x:row r="221" ht="28" customHeight="1">
      <x:c r="A221" s="16" t="str">
        <x:v>Бийскэнерго</x:v>
      </x:c>
      <x:c r="B221" s="16" t="str">
        <x:v>2000633363-W113</x:v>
      </x:c>
      <x:c r="C221" s="16" t="str">
        <x:v>ТРОЙНИК 10 СТ20 04 ОСТ108.720.01-82</x:v>
      </x:c>
      <x:c r="D221" s="16" t="str">
        <x:v>Труб/элем ВД</x:v>
      </x:c>
      <x:c r="E221" s="16" t="str">
        <x:v>ШТ</x:v>
      </x:c>
      <x:c r="F221" s="25" t="n">
        <x:v>24</x:v>
      </x:c>
      <x:c r="G221" s="17" t="n">
        <x:v>82.5574</x:v>
      </x:c>
      <x:c r="H221" s="17" t="n">
        <x:f>G221*F221</x:f>
        <x:v>1981.3776</x:v>
      </x:c>
      <x:c r="I221" s="26" t="str">
        <x:f>HYPERLINK("https://etp-aktiv.ru/catalog/materialy/truboprovody/2000633363-W113/","Открыть позицию")</x:f>
        <x:v>Открыть позицию</x:v>
      </x:c>
    </x:row>
    <x:row r="222" ht="28" customHeight="1">
      <x:c r="A222" s="16" t="str">
        <x:v>Бийскэнерго</x:v>
      </x:c>
      <x:c r="B222" s="16" t="str">
        <x:v>2000882363-W113</x:v>
      </x:c>
      <x:c r="C222" s="16" t="str">
        <x:v>ТРОЙНИК 4-15*15-100 СТ20 ГОСТ22822-83</x:v>
      </x:c>
      <x:c r="D222" s="16" t="str">
        <x:v>Труб/элем ВД</x:v>
      </x:c>
      <x:c r="E222" s="16" t="str">
        <x:v>ШТ</x:v>
      </x:c>
      <x:c r="F222" s="25" t="n">
        <x:v>5</x:v>
      </x:c>
      <x:c r="G222" s="17" t="n">
        <x:v>5946.2922</x:v>
      </x:c>
      <x:c r="H222" s="17" t="n">
        <x:f>G222*F222</x:f>
        <x:v>29731.461</x:v>
      </x:c>
      <x:c r="I222" s="26" t="str">
        <x:f>HYPERLINK("https://etp-aktiv.ru/catalog/materialy/truboprovody/2000882363-W113/","Открыть позицию")</x:f>
        <x:v>Открыть позицию</x:v>
      </x:c>
    </x:row>
    <x:row r="223" ht="28" customHeight="1">
      <x:c r="A223" s="16" t="str">
        <x:v>Бийскэнерго</x:v>
      </x:c>
      <x:c r="B223" s="16" t="str">
        <x:v>2000882364-W113</x:v>
      </x:c>
      <x:c r="C223" s="16" t="str">
        <x:v>ТРОЙНИК 4-15*6-100 СТ20 ГОСТ22822-83</x:v>
      </x:c>
      <x:c r="D223" s="16" t="str">
        <x:v>Труб/элем ВД</x:v>
      </x:c>
      <x:c r="E223" s="16" t="str">
        <x:v>ШТ</x:v>
      </x:c>
      <x:c r="F223" s="25" t="n">
        <x:v>5</x:v>
      </x:c>
      <x:c r="G223" s="17" t="n">
        <x:v>5946.2922</x:v>
      </x:c>
      <x:c r="H223" s="17" t="n">
        <x:f>G223*F223</x:f>
        <x:v>29731.461</x:v>
      </x:c>
      <x:c r="I223" s="26" t="str">
        <x:f>HYPERLINK("https://etp-aktiv.ru/catalog/materialy/truboprovody/2000882364-W113/","Открыть позицию")</x:f>
        <x:v>Открыть позицию</x:v>
      </x:c>
    </x:row>
    <x:row r="224" ht="28" customHeight="1">
      <x:c r="A224" s="16" t="str">
        <x:v>Бийскэнерго</x:v>
      </x:c>
      <x:c r="B224" s="16" t="str">
        <x:v>2000893544-W113</x:v>
      </x:c>
      <x:c r="C224" s="16" t="str">
        <x:v>ТРОЙНИК DN15 12Х1МФ 02 ОСТ108.720.05-82</x:v>
      </x:c>
      <x:c r="D224" s="16" t="str">
        <x:v>Труб/элем ВД</x:v>
      </x:c>
      <x:c r="E224" s="16" t="str">
        <x:v>ШТ</x:v>
      </x:c>
      <x:c r="F224" s="25" t="n">
        <x:v>5</x:v>
      </x:c>
      <x:c r="G224" s="17" t="n">
        <x:v>3146.3922000000002</x:v>
      </x:c>
      <x:c r="H224" s="17" t="n">
        <x:f>G224*F224</x:f>
        <x:v>15731.961000000001</x:v>
      </x:c>
      <x:c r="I224" s="26" t="str">
        <x:f>HYPERLINK("https://etp-aktiv.ru/catalog/materialy/truboprovody/2000893544-W113/","Открыть позицию")</x:f>
        <x:v>Открыть позицию</x:v>
      </x:c>
    </x:row>
    <x:row r="225" ht="28" customHeight="1">
      <x:c r="A225" s="16" t="str">
        <x:v>Бийскэнерго</x:v>
      </x:c>
      <x:c r="B225" s="16" t="str">
        <x:v>2000555152-W113</x:v>
      </x:c>
      <x:c r="C225" s="16" t="str">
        <x:v>ТРОЙНИК СТ20 108*4-76*3,5 ГОСТ17376-01</x:v>
      </x:c>
      <x:c r="D225" s="16" t="str">
        <x:v>Детали фасонные</x:v>
      </x:c>
      <x:c r="E225" s="16" t="str">
        <x:v>ШТ</x:v>
      </x:c>
      <x:c r="F225" s="25" t="n">
        <x:v>2</x:v>
      </x:c>
      <x:c r="G225" s="17" t="n">
        <x:v>36.6854</x:v>
      </x:c>
      <x:c r="H225" s="17" t="n">
        <x:f>G225*F225</x:f>
        <x:v>73.3708</x:v>
      </x:c>
      <x:c r="I225" s="26" t="str">
        <x:f>HYPERLINK("https://etp-aktiv.ru/catalog/materialy/truboprovody/2000555152-W113/","Открыть позицию")</x:f>
        <x:v>Открыть позицию</x:v>
      </x:c>
    </x:row>
    <x:row r="226" ht="28" customHeight="1">
      <x:c r="A226" s="16" t="str">
        <x:v>Бийскэнерго</x:v>
      </x:c>
      <x:c r="B226" s="16" t="str">
        <x:v>2000680430-W113</x:v>
      </x:c>
      <x:c r="C226" s="16" t="str">
        <x:v>ТРУБА 09Г2С 42*5 ГОСТ8732-78</x:v>
      </x:c>
      <x:c r="D226" s="16" t="str">
        <x:v>Трубы черные бесшов</x:v>
      </x:c>
      <x:c r="E226" s="16" t="str">
        <x:v>Т</x:v>
      </x:c>
      <x:c r="F226" s="30" t="n">
        <x:v>0.086</x:v>
      </x:c>
      <x:c r="G226" s="17" t="n">
        <x:v>276574</x:v>
      </x:c>
      <x:c r="H226" s="17" t="n">
        <x:f>G226*F226</x:f>
        <x:v>23785.363999999998</x:v>
      </x:c>
      <x:c r="I226" s="26" t="str">
        <x:f>HYPERLINK("https://etp-aktiv.ru/catalog/materialy/truby-stalnye-i-polimernye/2000680430-W113/","Открыть позицию")</x:f>
        <x:v>Открыть позицию</x:v>
      </x:c>
    </x:row>
    <x:row r="227" ht="28" customHeight="1">
      <x:c r="A227" s="16" t="str">
        <x:v>Бийскэнерго</x:v>
      </x:c>
      <x:c r="B227" s="16" t="str">
        <x:v>2000702063-W113</x:v>
      </x:c>
      <x:c r="C227" s="16" t="str">
        <x:v>ТРУБА 12Х18Н10Т 10*3 ГОСТ9941-81</x:v>
      </x:c>
      <x:c r="D227" s="16" t="str">
        <x:v>ТрбНж(свр/бш)КрмКтВД</x:v>
      </x:c>
      <x:c r="E227" s="16" t="str">
        <x:v>Т</x:v>
      </x:c>
      <x:c r="F227" s="30" t="n">
        <x:v>0.012</x:v>
      </x:c>
      <x:c r="G227" s="17" t="n">
        <x:v>521550</x:v>
      </x:c>
      <x:c r="H227" s="17" t="n">
        <x:f>G227*F227</x:f>
        <x:v>6258.6</x:v>
      </x:c>
      <x:c r="I227" s="26" t="str">
        <x:f>HYPERLINK("https://etp-aktiv.ru/catalog/materialy/truby-stalnye-i-polimernye/2000702063-W113/","Открыть позицию")</x:f>
        <x:v>Открыть позицию</x:v>
      </x:c>
    </x:row>
    <x:row r="228" ht="28" customHeight="1">
      <x:c r="A228" s="16" t="str">
        <x:v>Бийскэнерго</x:v>
      </x:c>
      <x:c r="B228" s="16" t="str">
        <x:v>2000242992-W113</x:v>
      </x:c>
      <x:c r="C228" s="16" t="str">
        <x:v>ТРУБА 12Х18Н10Т 40*4 ГОСТ9941-81</x:v>
      </x:c>
      <x:c r="D228" s="16" t="str">
        <x:v>ТрбНж(свр/бш)КрмКтВД</x:v>
      </x:c>
      <x:c r="E228" s="16" t="str">
        <x:v>Т</x:v>
      </x:c>
      <x:c r="F228" s="30" t="n">
        <x:v>0.039</x:v>
      </x:c>
      <x:c r="G228" s="17" t="n">
        <x:v>681431</x:v>
      </x:c>
      <x:c r="H228" s="17" t="n">
        <x:f>G228*F228</x:f>
        <x:v>26575.809</x:v>
      </x:c>
      <x:c r="I228" s="26" t="str">
        <x:f>HYPERLINK("https://etp-aktiv.ru/catalog/materialy/truby-stalnye-i-polimernye/2000242992-W113/","Открыть позицию")</x:f>
        <x:v>Открыть позицию</x:v>
      </x:c>
    </x:row>
    <x:row r="229" ht="28" customHeight="1">
      <x:c r="A229" s="16" t="str">
        <x:v>Бийскэнерго</x:v>
      </x:c>
      <x:c r="B229" s="16" t="str">
        <x:v>2000560694-W113</x:v>
      </x:c>
      <x:c r="C229" s="16" t="str">
        <x:v>ТРУБА 12Х18Н10Т 50*5 ГОСТ9941-81</x:v>
      </x:c>
      <x:c r="D229" s="16" t="str">
        <x:v>ТрбНж(свр/бш)КрмКтВД</x:v>
      </x:c>
      <x:c r="E229" s="16" t="str">
        <x:v>Т</x:v>
      </x:c>
      <x:c r="F229" s="30" t="n">
        <x:v>0.036</x:v>
      </x:c>
      <x:c r="G229" s="17" t="n">
        <x:v>719489.4124</x:v>
      </x:c>
      <x:c r="H229" s="17" t="n">
        <x:f>G229*F229</x:f>
        <x:v>25901.6188464</x:v>
      </x:c>
      <x:c r="I229" s="26" t="str">
        <x:f>HYPERLINK("https://etp-aktiv.ru/catalog/materialy/truby-stalnye-i-polimernye/2000560694-W113/","Открыть позицию")</x:f>
        <x:v>Открыть позицию</x:v>
      </x:c>
    </x:row>
    <x:row r="230" ht="28" customHeight="1">
      <x:c r="A230" s="16" t="str">
        <x:v>Бийскэнерго</x:v>
      </x:c>
      <x:c r="B230" s="16" t="str">
        <x:v>2000560695-W113</x:v>
      </x:c>
      <x:c r="C230" s="16" t="str">
        <x:v>ТРУБА 12Х18Н10Т 51*4 ГОСТ9941-81</x:v>
      </x:c>
      <x:c r="D230" s="16" t="str">
        <x:v>ТрбНж(свр/бш)КрмКтВД</x:v>
      </x:c>
      <x:c r="E230" s="16" t="str">
        <x:v>Т</x:v>
      </x:c>
      <x:c r="F230" s="30" t="n">
        <x:v>0.059</x:v>
      </x:c>
      <x:c r="G230" s="17" t="n">
        <x:v>648735</x:v>
      </x:c>
      <x:c r="H230" s="17" t="n">
        <x:f>G230*F230</x:f>
        <x:v>38275.365</x:v>
      </x:c>
      <x:c r="I230" s="26" t="str">
        <x:f>HYPERLINK("https://etp-aktiv.ru/catalog/materialy/truby-stalnye-i-polimernye/2000560695-W113/","Открыть позицию")</x:f>
        <x:v>Открыть позицию</x:v>
      </x:c>
    </x:row>
    <x:row r="231" ht="28" customHeight="1">
      <x:c r="A231" s="16" t="str">
        <x:v>Бийскэнерго</x:v>
      </x:c>
      <x:c r="B231" s="16" t="str">
        <x:v>2000742683-W113</x:v>
      </x:c>
      <x:c r="C231" s="16" t="str">
        <x:v>ТРУБА ВГП ВСТ2СП2 25*3,2 ГОСТ3262-75</x:v>
      </x:c>
      <x:c r="D231" s="16" t="str">
        <x:v>ТрбЧерСварМалСрдДиам</x:v>
      </x:c>
      <x:c r="E231" s="16" t="str">
        <x:v>Т</x:v>
      </x:c>
      <x:c r="F231" s="30" t="n">
        <x:v>0.069</x:v>
      </x:c>
      <x:c r="G231" s="17" t="n">
        <x:v>51381.032</x:v>
      </x:c>
      <x:c r="H231" s="17" t="n">
        <x:f>G231*F231</x:f>
        <x:v>3545.291208</x:v>
      </x:c>
      <x:c r="I231" s="26" t="str">
        <x:f>HYPERLINK("https://etp-aktiv.ru/catalog/materialy/truby-stalnye-i-polimernye/2000742683-W113/","Открыть позицию")</x:f>
        <x:v>Открыть позицию</x:v>
      </x:c>
    </x:row>
    <x:row r="232" ht="28" customHeight="1">
      <x:c r="A232" s="16" t="str">
        <x:v>Бийскэнерго</x:v>
      </x:c>
      <x:c r="B232" s="16" t="str">
        <x:v>2000546240-W113</x:v>
      </x:c>
      <x:c r="C232" s="16" t="str">
        <x:v>ТРУБА КВД 12Х1МФ 36*6 ТУ14-3Р-55-01</x:v>
      </x:c>
      <x:c r="D232" s="16" t="str">
        <x:v>Трубы котельные в/д</x:v>
      </x:c>
      <x:c r="E232" s="16" t="str">
        <x:v>Т</x:v>
      </x:c>
      <x:c r="F232" s="30" t="n">
        <x:v>0.18</x:v>
      </x:c>
      <x:c r="G232" s="17" t="n">
        <x:v>21518.3112</x:v>
      </x:c>
      <x:c r="H232" s="17" t="n">
        <x:f>G232*F232</x:f>
        <x:v>3873.296016</x:v>
      </x:c>
      <x:c r="I232" s="26" t="str">
        <x:f>HYPERLINK("https://etp-aktiv.ru/catalog/materialy/truby-stalnye-i-polimernye/2000546240-W113/","Открыть позицию")</x:f>
        <x:v>Открыть позицию</x:v>
      </x:c>
    </x:row>
    <x:row r="233" ht="28" customHeight="1">
      <x:c r="A233" s="16" t="str">
        <x:v>Бийскэнерго</x:v>
      </x:c>
      <x:c r="B233" s="16" t="str">
        <x:v>2000545858-W113</x:v>
      </x:c>
      <x:c r="C233" s="16" t="str">
        <x:v>ТРУБА КВД СТ20 32*4 ТУ14-3Р-55-01</x:v>
      </x:c>
      <x:c r="D233" s="16" t="str">
        <x:v>Трубы котельные в/д</x:v>
      </x:c>
      <x:c r="E233" s="16" t="str">
        <x:v>Т</x:v>
      </x:c>
      <x:c r="F233" s="30" t="n">
        <x:v>0.003</x:v>
      </x:c>
      <x:c r="G233" s="17" t="n">
        <x:v>140642.5516</x:v>
      </x:c>
      <x:c r="H233" s="17" t="n">
        <x:f>G233*F233</x:f>
        <x:v>421.9276548</x:v>
      </x:c>
      <x:c r="I233" s="26" t="str">
        <x:f>HYPERLINK("https://etp-aktiv.ru/catalog/materialy/truby-stalnye-i-polimernye/2000545858-W113/","Открыть позицию")</x:f>
        <x:v>Открыть позицию</x:v>
      </x:c>
    </x:row>
    <x:row r="234" ht="28" customHeight="1">
      <x:c r="A234" s="16" t="str">
        <x:v>Бийскэнерго</x:v>
      </x:c>
      <x:c r="B234" s="16" t="str">
        <x:v>2000647708-W113</x:v>
      </x:c>
      <x:c r="C234" s="16" t="str">
        <x:v>ТРУБА ПРОФ В10 20*20*1,5 ГОСТ8639-82</x:v>
      </x:c>
      <x:c r="D234" s="16" t="str">
        <x:v>Трубы профильные</x:v>
      </x:c>
      <x:c r="E234" s="16" t="str">
        <x:v>Т</x:v>
      </x:c>
      <x:c r="F234" s="30" t="n">
        <x:v>0.02</x:v>
      </x:c>
      <x:c r="G234" s="17" t="n">
        <x:v>73200</x:v>
      </x:c>
      <x:c r="H234" s="17" t="n">
        <x:f>G234*F234</x:f>
        <x:v>1464</x:v>
      </x:c>
      <x:c r="I234" s="26" t="str">
        <x:f>HYPERLINK("https://etp-aktiv.ru/catalog/materialy/truby-stalnye-i-polimernye/2000647708-W113/","Открыть позицию")</x:f>
        <x:v>Открыть позицию</x:v>
      </x:c>
    </x:row>
    <x:row r="235" ht="28" customHeight="1">
      <x:c r="A235" s="16" t="str">
        <x:v>Бийскэнерго</x:v>
      </x:c>
      <x:c r="B235" s="16" t="str">
        <x:v>2000560204-W113</x:v>
      </x:c>
      <x:c r="C235" s="16" t="str">
        <x:v>ТРУБА СТ20 28*4 ГОСТ8733-74</x:v>
      </x:c>
      <x:c r="D235" s="16" t="str">
        <x:v>Трубы черные бесшов</x:v>
      </x:c>
      <x:c r="E235" s="16" t="str">
        <x:v>Т</x:v>
      </x:c>
      <x:c r="F235" s="30" t="n">
        <x:v>0.189</x:v>
      </x:c>
      <x:c r="G235" s="17" t="n">
        <x:v>215281.19999999998</x:v>
      </x:c>
      <x:c r="H235" s="17" t="n">
        <x:f>G235*F235</x:f>
        <x:v>40688.146799999995</x:v>
      </x:c>
      <x:c r="I235" s="26" t="str">
        <x:f>HYPERLINK("https://etp-aktiv.ru/catalog/materialy/truby-stalnye-i-polimernye/2000560204-W113/","Открыть позицию")</x:f>
        <x:v>Открыть позицию</x:v>
      </x:c>
    </x:row>
    <x:row r="236" ht="28" customHeight="1">
      <x:c r="A236" s="16" t="str">
        <x:v>Бийскэнерго</x:v>
      </x:c>
      <x:c r="B236" s="16" t="str">
        <x:v>2000140841-W113</x:v>
      </x:c>
      <x:c r="C236" s="16" t="str">
        <x:v>ТРУБА СТ20 32*4 ГОСТ8734-78</x:v>
      </x:c>
      <x:c r="D236" s="16" t="str">
        <x:v>Трубы черные бесшов</x:v>
      </x:c>
      <x:c r="E236" s="16" t="str">
        <x:v>Т</x:v>
      </x:c>
      <x:c r="F236" s="30" t="n">
        <x:v>0.004</x:v>
      </x:c>
      <x:c r="G236" s="17" t="n">
        <x:v>164885.07400000002</x:v>
      </x:c>
      <x:c r="H236" s="17" t="n">
        <x:f>G236*F236</x:f>
        <x:v>659.5402960000001</x:v>
      </x:c>
      <x:c r="I236" s="26" t="str">
        <x:f>HYPERLINK("https://etp-aktiv.ru/catalog/materialy/truby-stalnye-i-polimernye/2000140841-W113/","Открыть позицию")</x:f>
        <x:v>Открыть позицию</x:v>
      </x:c>
    </x:row>
    <x:row r="237" ht="28" customHeight="1">
      <x:c r="A237" s="16" t="str">
        <x:v>Бийскэнерго</x:v>
      </x:c>
      <x:c r="B237" s="16" t="str">
        <x:v>2000254441-W113</x:v>
      </x:c>
      <x:c r="C237" s="16" t="str">
        <x:v>ТРУБА СТ20 42*5 ГОСТ8734-78</x:v>
      </x:c>
      <x:c r="D237" s="16" t="str">
        <x:v>Трубы черные бесшов</x:v>
      </x:c>
      <x:c r="E237" s="16" t="str">
        <x:v>Т</x:v>
      </x:c>
      <x:c r="F237" s="30" t="n">
        <x:v>0.393</x:v>
      </x:c>
      <x:c r="G237" s="17" t="n">
        <x:v>152500</x:v>
      </x:c>
      <x:c r="H237" s="17" t="n">
        <x:f>G237*F237</x:f>
        <x:v>59932.5</x:v>
      </x:c>
      <x:c r="I237" s="26" t="str">
        <x:f>HYPERLINK("https://etp-aktiv.ru/catalog/materialy/truby-stalnye-i-polimernye/2000254441-W113/","Открыть позицию")</x:f>
        <x:v>Открыть позицию</x:v>
      </x:c>
    </x:row>
    <x:row r="238" ht="28" customHeight="1">
      <x:c r="A238" s="16" t="str">
        <x:v>Бийскэнерго</x:v>
      </x:c>
      <x:c r="B238" s="16" t="str">
        <x:v>2000560584-W113</x:v>
      </x:c>
      <x:c r="C238" s="16" t="str">
        <x:v>ТРУБА СТ20 426*6 ГОСТ10705-80</x:v>
      </x:c>
      <x:c r="D238" s="16" t="str">
        <x:v>ТрбЧерСварМалСрдДиам</x:v>
      </x:c>
      <x:c r="E238" s="16" t="str">
        <x:v>Т</x:v>
      </x:c>
      <x:c r="F238" s="24" t="n">
        <x:v>8.412</x:v>
      </x:c>
      <x:c r="G238" s="17" t="n">
        <x:v>81827.0836</x:v>
      </x:c>
      <x:c r="H238" s="17" t="n">
        <x:f>G238*F238</x:f>
        <x:v>688329.4272432</x:v>
      </x:c>
      <x:c r="I238" s="26" t="str">
        <x:f>HYPERLINK("https://etp-aktiv.ru/catalog/materialy/truby-stalnye-i-polimernye/2000560584-W113/","Открыть позицию")</x:f>
        <x:v>Открыть позицию</x:v>
      </x:c>
    </x:row>
    <x:row r="239" ht="28" customHeight="1">
      <x:c r="A239" s="16" t="str">
        <x:v>Бийскэнерго</x:v>
      </x:c>
      <x:c r="B239" s="16" t="str">
        <x:v>2000560284-W113</x:v>
      </x:c>
      <x:c r="C239" s="16" t="str">
        <x:v>ТРУБА СТ20 60*4 ГОСТ8731-74</x:v>
      </x:c>
      <x:c r="D239" s="16" t="str">
        <x:v>Трубы черные бесшов</x:v>
      </x:c>
      <x:c r="E239" s="16" t="str">
        <x:v>Т</x:v>
      </x:c>
      <x:c r="F239" s="30" t="n">
        <x:v>0.624</x:v>
      </x:c>
      <x:c r="G239" s="17" t="n">
        <x:v>132675</x:v>
      </x:c>
      <x:c r="H239" s="17" t="n">
        <x:f>G239*F239</x:f>
        <x:v>82789.2</x:v>
      </x:c>
      <x:c r="I239" s="26" t="str">
        <x:f>HYPERLINK("https://etp-aktiv.ru/catalog/materialy/truby-stalnye-i-polimernye/2000560284-W113/","Открыть позицию")</x:f>
        <x:v>Открыть позицию</x:v>
      </x:c>
    </x:row>
    <x:row r="240" ht="28" customHeight="1">
      <x:c r="A240" s="16" t="str">
        <x:v>Бийскэнерго</x:v>
      </x:c>
      <x:c r="B240" s="16" t="str">
        <x:v>2000560466-W113</x:v>
      </x:c>
      <x:c r="C240" s="16" t="str">
        <x:v>ТРУБА СТ3 108*4,5 ГОСТ10705-80</x:v>
      </x:c>
      <x:c r="D240" s="16" t="str">
        <x:v>ТрбЧерСварМалСрдДиам</x:v>
      </x:c>
      <x:c r="E240" s="16" t="str">
        <x:v>Т</x:v>
      </x:c>
      <x:c r="F240" s="30" t="n">
        <x:v>0.327</x:v>
      </x:c>
      <x:c r="G240" s="17" t="n">
        <x:v>62554.914399999994</x:v>
      </x:c>
      <x:c r="H240" s="17" t="n">
        <x:f>G240*F240</x:f>
        <x:v>20455.4570088</x:v>
      </x:c>
      <x:c r="I240" s="26" t="str">
        <x:f>HYPERLINK("https://etp-aktiv.ru/catalog/materialy/truby-stalnye-i-polimernye/2000560466-W113/","Открыть позицию")</x:f>
        <x:v>Открыть позицию</x:v>
      </x:c>
    </x:row>
    <x:row r="241" ht="28" customHeight="1">
      <x:c r="A241" s="16" t="str">
        <x:v>Бийскэнерго</x:v>
      </x:c>
      <x:c r="B241" s="16" t="str">
        <x:v>2000560514-W113</x:v>
      </x:c>
      <x:c r="C241" s="16" t="str">
        <x:v>ТРУБА СТ3 377*10 ГОСТ10705-80</x:v>
      </x:c>
      <x:c r="D241" s="16" t="str">
        <x:v>ТрбЧерСварМалСрдДиам</x:v>
      </x:c>
      <x:c r="E241" s="16" t="str">
        <x:v>Т</x:v>
      </x:c>
      <x:c r="F241" s="30" t="n">
        <x:v>0.496</x:v>
      </x:c>
      <x:c r="G241" s="17" t="n">
        <x:v>97063.2</x:v>
      </x:c>
      <x:c r="H241" s="17" t="n">
        <x:f>G241*F241</x:f>
        <x:v>48143.3472</x:v>
      </x:c>
      <x:c r="I241" s="26" t="str">
        <x:f>HYPERLINK("https://etp-aktiv.ru/catalog/materialy/truby-stalnye-i-polimernye/2000560514-W113/","Открыть позицию")</x:f>
        <x:v>Открыть позицию</x:v>
      </x:c>
    </x:row>
    <x:row r="242" ht="28" customHeight="1">
      <x:c r="A242" s="16" t="str">
        <x:v>Бийскэнерго</x:v>
      </x:c>
      <x:c r="B242" s="16" t="str">
        <x:v>2000254049-W113</x:v>
      </x:c>
      <x:c r="C242" s="16" t="str">
        <x:v>ТРУБА СТ3 820*8 ГОСТ10705-80</x:v>
      </x:c>
      <x:c r="D242" s="16" t="str">
        <x:v>ТрубЧерСварБольшДиам</x:v>
      </x:c>
      <x:c r="E242" s="16" t="str">
        <x:v>Т</x:v>
      </x:c>
      <x:c r="F242" s="24" t="n">
        <x:v>1.074</x:v>
      </x:c>
      <x:c r="G242" s="17" t="n">
        <x:v>76250</x:v>
      </x:c>
      <x:c r="H242" s="17" t="n">
        <x:f>G242*F242</x:f>
        <x:v>81892.5</x:v>
      </x:c>
      <x:c r="I242" s="26" t="str">
        <x:f>HYPERLINK("https://etp-aktiv.ru/catalog/materialy/truby-stalnye-i-polimernye/2000254049-W113/","Открыть позицию")</x:f>
        <x:v>Открыть позицию</x:v>
      </x:c>
    </x:row>
    <x:row r="243" ht="28" customHeight="1">
      <x:c r="A243" s="16" t="str">
        <x:v>Бийскэнерго</x:v>
      </x:c>
      <x:c r="B243" s="16" t="str">
        <x:v>2000560583-W113</x:v>
      </x:c>
      <x:c r="C243" s="16" t="str">
        <x:v>ТРУБА СТ3ПС 426*5 ГОСТ10705-80</x:v>
      </x:c>
      <x:c r="D243" s="16" t="str">
        <x:v>ТрбЧерСварМалСрдДиам</x:v>
      </x:c>
      <x:c r="E243" s="16" t="str">
        <x:v>Т</x:v>
      </x:c>
      <x:c r="F243" s="24" t="n">
        <x:v>3.587</x:v>
      </x:c>
      <x:c r="G243" s="17" t="n">
        <x:v>80963.775</x:v>
      </x:c>
      <x:c r="H243" s="17" t="n">
        <x:f>G243*F243</x:f>
        <x:v>290417.060925</x:v>
      </x:c>
      <x:c r="I243" s="26" t="str">
        <x:f>HYPERLINK("https://etp-aktiv.ru/catalog/materialy/truby-stalnye-i-polimernye/2000560583-W113/","Открыть позицию")</x:f>
        <x:v>Открыть позицию</x:v>
      </x:c>
    </x:row>
    <x:row r="244" ht="28" customHeight="1">
      <x:c r="A244" s="16" t="str">
        <x:v>Бийскэнерго</x:v>
      </x:c>
      <x:c r="B244" s="16" t="str">
        <x:v>2000118605-W113</x:v>
      </x:c>
      <x:c r="C244" s="16" t="str">
        <x:v>ТРУБА Э/С СТ20 426*8 ГОСТ10705-80</x:v>
      </x:c>
      <x:c r="D244" s="16" t="str">
        <x:v>ТрбЧерСварМалСрдДиам</x:v>
      </x:c>
      <x:c r="E244" s="16" t="str">
        <x:v>Т</x:v>
      </x:c>
      <x:c r="F244" s="30" t="n">
        <x:v>0.2</x:v>
      </x:c>
      <x:c r="G244" s="17" t="n">
        <x:v>50267.8186</x:v>
      </x:c>
      <x:c r="H244" s="17" t="n">
        <x:f>G244*F244</x:f>
        <x:v>10053.56372</x:v>
      </x:c>
      <x:c r="I244" s="26" t="str">
        <x:f>HYPERLINK("https://etp-aktiv.ru/catalog/materialy/truby-stalnye-i-polimernye/2000118605-W113/","Открыть позицию")</x:f>
        <x:v>Открыть позицию</x:v>
      </x:c>
    </x:row>
    <x:row r="245" ht="28" customHeight="1">
      <x:c r="A245" s="16" t="str">
        <x:v>Бийскэнерго</x:v>
      </x:c>
      <x:c r="B245" s="16" t="str">
        <x:v>2000068185-W113</x:v>
      </x:c>
      <x:c r="C245" s="16" t="str">
        <x:v>ТРУБА Э/С СТ20 820*10 ГОСТ10706-76</x:v>
      </x:c>
      <x:c r="D245" s="16" t="str">
        <x:v>ТрубЧерСварБольшДиам</x:v>
      </x:c>
      <x:c r="E245" s="16" t="str">
        <x:v>Т</x:v>
      </x:c>
      <x:c r="F245" s="24" t="n">
        <x:v>1.121</x:v>
      </x:c>
      <x:c r="G245" s="17" t="n">
        <x:v>76530.59999999999</x:v>
      </x:c>
      <x:c r="H245" s="17" t="n">
        <x:f>G245*F245</x:f>
        <x:v>85790.8026</x:v>
      </x:c>
      <x:c r="I245" s="26" t="str">
        <x:f>HYPERLINK("https://etp-aktiv.ru/catalog/materialy/truby-stalnye-i-polimernye/2000068185-W113/","Открыть позицию")</x:f>
        <x:v>Открыть позицию</x:v>
      </x:c>
    </x:row>
    <x:row r="246" ht="28" customHeight="1">
      <x:c r="A246" s="16" t="str">
        <x:v>Бийскэнерго</x:v>
      </x:c>
      <x:c r="B246" s="16" t="str">
        <x:v>2000511571-W113</x:v>
      </x:c>
      <x:c r="C246" s="16" t="str">
        <x:v>ТРУБА Э/С СТ3 219*5 ГОСТ10705-80</x:v>
      </x:c>
      <x:c r="D246" s="16" t="str">
        <x:v>ТрбЧерСварМалСрдДиам</x:v>
      </x:c>
      <x:c r="E246" s="16" t="str">
        <x:v>Т</x:v>
      </x:c>
      <x:c r="F246" s="30" t="n">
        <x:v>0.247</x:v>
      </x:c>
      <x:c r="G246" s="17" t="n">
        <x:v>32082.157</x:v>
      </x:c>
      <x:c r="H246" s="17" t="n">
        <x:f>G246*F246</x:f>
        <x:v>7924.292778999999</x:v>
      </x:c>
      <x:c r="I246" s="26" t="str">
        <x:f>HYPERLINK("https://etp-aktiv.ru/catalog/materialy/truby-stalnye-i-polimernye/2000511571-W113/","Открыть позицию")</x:f>
        <x:v>Открыть позицию</x:v>
      </x:c>
    </x:row>
    <x:row r="247" ht="28" customHeight="1">
      <x:c r="A247" s="16" t="str">
        <x:v>Бийскэнерго</x:v>
      </x:c>
      <x:c r="B247" s="16" t="str">
        <x:v>2000796780-W113</x:v>
      </x:c>
      <x:c r="C247" s="16" t="str">
        <x:v>ТРУБКА ВАКУУМНАЯ РЕЗ 8*10 ТУ38.105881-85</x:v>
      </x:c>
      <x:c r="D247" s="16" t="str">
        <x:v>Проч резино-тех изд</x:v>
      </x:c>
      <x:c r="E247" s="16" t="str">
        <x:v>КГ</x:v>
      </x:c>
      <x:c r="F247" s="25" t="n">
        <x:v>3</x:v>
      </x:c>
      <x:c r="G247" s="17" t="n">
        <x:v>723.521</x:v>
      </x:c>
      <x:c r="H247" s="17" t="n">
        <x:f>G247*F247</x:f>
        <x:v>2170.563</x:v>
      </x:c>
      <x:c r="I247" s="26" t="str">
        <x:f>HYPERLINK("https://etp-aktiv.ru/catalog/materialy/rezino-tekhnicheskie-izdeliya/2000796780-W113/","Открыть позицию")</x:f>
        <x:v>Открыть позицию</x:v>
      </x:c>
    </x:row>
    <x:row r="248" ht="28" customHeight="1">
      <x:c r="A248" s="16" t="str">
        <x:v>Бийскэнерго</x:v>
      </x:c>
      <x:c r="B248" s="16" t="str">
        <x:v>2000548676-W113</x:v>
      </x:c>
      <x:c r="C248" s="16" t="str">
        <x:v>ТРУБКА ПВХ 305 ТВ-40 6ММ БЕЛЫЙ ГОСТ19034</x:v>
      </x:c>
      <x:c r="D248" s="16" t="str">
        <x:v>Э/изоляцион мат-лы</x:v>
      </x:c>
      <x:c r="E248" s="16" t="str">
        <x:v>КГ</x:v>
      </x:c>
      <x:c r="F248" s="24" t="n">
        <x:v>5.44</x:v>
      </x:c>
      <x:c r="G248" s="17" t="n">
        <x:v>70.0036</x:v>
      </x:c>
      <x:c r="H248" s="17" t="n">
        <x:f>G248*F248</x:f>
        <x:v>380.8195840000001</x:v>
      </x:c>
      <x:c r="I248" s="26" t="str">
        <x:f>HYPERLINK("https://etp-aktiv.ru/catalog/materialy/ehlektroizolyacionnye-materialy/2000548676-W113/","Открыть позицию")</x:f>
        <x:v>Открыть позицию</x:v>
      </x:c>
    </x:row>
    <x:row r="249" ht="28" customHeight="1">
      <x:c r="A249" s="16" t="str">
        <x:v>Бийскэнерго</x:v>
      </x:c>
      <x:c r="B249" s="16" t="str">
        <x:v>2000043297-W113</x:v>
      </x:c>
      <x:c r="C249" s="16" t="str">
        <x:v>ТРУБКА ПВХ ТВ-40 D4ММ</x:v>
      </x:c>
      <x:c r="D249" s="16" t="str">
        <x:v>Э/изоляцион мат-лы</x:v>
      </x:c>
      <x:c r="E249" s="16" t="str">
        <x:v>КГ</x:v>
      </x:c>
      <x:c r="F249" s="25" t="n">
        <x:v>4</x:v>
      </x:c>
      <x:c r="G249" s="17" t="n">
        <x:v>70.0036</x:v>
      </x:c>
      <x:c r="H249" s="17" t="n">
        <x:f>G249*F249</x:f>
        <x:v>280.0144</x:v>
      </x:c>
      <x:c r="I249" s="26" t="str">
        <x:f>HYPERLINK("https://etp-aktiv.ru/catalog/materialy/ehlektroizolyacionnye-materialy/2000043297-W113/","Открыть позицию")</x:f>
        <x:v>Открыть позицию</x:v>
      </x:c>
    </x:row>
    <x:row r="250" ht="28" customHeight="1">
      <x:c r="A250" s="16" t="str">
        <x:v>Бийскэнерго</x:v>
      </x:c>
      <x:c r="B250" s="16" t="str">
        <x:v>2000748874-W113</x:v>
      </x:c>
      <x:c r="C250" s="16" t="str">
        <x:v>ФЛАНЕЦ 12Х18Н10Т DN25 PN10 1 ГОСТ33259</x:v>
      </x:c>
      <x:c r="D250" s="16" t="str">
        <x:v>Детали фасонные</x:v>
      </x:c>
      <x:c r="E250" s="16" t="str">
        <x:v>ШТ</x:v>
      </x:c>
      <x:c r="F250" s="25" t="n">
        <x:v>2</x:v>
      </x:c>
      <x:c r="G250" s="17" t="n">
        <x:v>751.4468</x:v>
      </x:c>
      <x:c r="H250" s="17" t="n">
        <x:f>G250*F250</x:f>
        <x:v>1502.8936</x:v>
      </x:c>
      <x:c r="I250" s="26" t="str">
        <x:f>HYPERLINK("https://etp-aktiv.ru/catalog/materialy/truboprovody/2000748874-W113/","Открыть позицию")</x:f>
        <x:v>Открыть позицию</x:v>
      </x:c>
    </x:row>
    <x:row r="251" ht="28" customHeight="1">
      <x:c r="A251" s="16" t="str">
        <x:v>Бийскэнерго</x:v>
      </x:c>
      <x:c r="B251" s="16" t="str">
        <x:v>2000554839-W113</x:v>
      </x:c>
      <x:c r="C251" s="16" t="str">
        <x:v>ФЛАНЕЦ 12Х18Н10Т DN40 PN16 01-1-B-III</x:v>
      </x:c>
      <x:c r="D251" s="16" t="str">
        <x:v>Детали фасонные</x:v>
      </x:c>
      <x:c r="E251" s="16" t="str">
        <x:v>ШТ</x:v>
      </x:c>
      <x:c r="F251" s="25" t="n">
        <x:v>1</x:v>
      </x:c>
      <x:c r="G251" s="17" t="n">
        <x:v>1029.375</x:v>
      </x:c>
      <x:c r="H251" s="17" t="n">
        <x:f>G251*F251</x:f>
        <x:v>1029.375</x:v>
      </x:c>
      <x:c r="I251" s="26" t="str">
        <x:f>HYPERLINK("https://etp-aktiv.ru/catalog/materialy/truboprovody/2000554839-W113/","Открыть позицию")</x:f>
        <x:v>Открыть позицию</x:v>
      </x:c>
    </x:row>
    <x:row r="252" ht="28" customHeight="1">
      <x:c r="A252" s="16" t="str">
        <x:v>Бийскэнерго</x:v>
      </x:c>
      <x:c r="B252" s="16" t="str">
        <x:v>2000748887-W113</x:v>
      </x:c>
      <x:c r="C252" s="16" t="str">
        <x:v>ФЛАНЕЦ 12Х18Н10Т DN50 PN16 11-1-B</x:v>
      </x:c>
      <x:c r="D252" s="16" t="str">
        <x:v>Детали фасонные</x:v>
      </x:c>
      <x:c r="E252" s="16" t="str">
        <x:v>ШТ</x:v>
      </x:c>
      <x:c r="F252" s="25" t="n">
        <x:v>1</x:v>
      </x:c>
      <x:c r="G252" s="17" t="n">
        <x:v>2055.3218</x:v>
      </x:c>
      <x:c r="H252" s="17" t="n">
        <x:f>G252*F252</x:f>
        <x:v>2055.3218</x:v>
      </x:c>
      <x:c r="I252" s="26" t="str">
        <x:f>HYPERLINK("https://etp-aktiv.ru/catalog/materialy/truboprovody/2000748887-W113/","Открыть позицию")</x:f>
        <x:v>Открыть позицию</x:v>
      </x:c>
    </x:row>
    <x:row r="253" ht="28" customHeight="1">
      <x:c r="A253" s="16" t="str">
        <x:v>Бийскэнерго</x:v>
      </x:c>
      <x:c r="B253" s="16" t="str">
        <x:v>2000255026-W113</x:v>
      </x:c>
      <x:c r="C253" s="16" t="str">
        <x:v>ФЛАНЕЦ DN50 PN10 12Х18Н10Т ИСП1 ГОСТ1282</x:v>
      </x:c>
      <x:c r="D253" s="16" t="str">
        <x:v>Детали фасонные</x:v>
      </x:c>
      <x:c r="E253" s="16" t="str">
        <x:v>ШТ</x:v>
      </x:c>
      <x:c r="F253" s="25" t="n">
        <x:v>2</x:v>
      </x:c>
      <x:c r="G253" s="17" t="n">
        <x:v>1693.9456</x:v>
      </x:c>
      <x:c r="H253" s="17" t="n">
        <x:f>G253*F253</x:f>
        <x:v>3387.8912</x:v>
      </x:c>
      <x:c r="I253" s="26" t="str">
        <x:f>HYPERLINK("https://etp-aktiv.ru/catalog/materialy/truboprovody/2000255026-W113/","Открыть позицию")</x:f>
        <x:v>Открыть позицию</x:v>
      </x:c>
    </x:row>
    <x:row r="254" ht="28" customHeight="1">
      <x:c r="A254" s="16" t="str">
        <x:v>Бийскэнерго</x:v>
      </x:c>
      <x:c r="B254" s="16" t="str">
        <x:v>2000005122-W113</x:v>
      </x:c>
      <x:c r="C254" s="16" t="str">
        <x:v>ФЛАНЕЦ СТ DN50 PN16 ПЛОСК</x:v>
      </x:c>
      <x:c r="D254" s="16" t="str">
        <x:v>Детали фасонные</x:v>
      </x:c>
      <x:c r="E254" s="16" t="str">
        <x:v>ШТ</x:v>
      </x:c>
      <x:c r="F254" s="25" t="n">
        <x:v>27</x:v>
      </x:c>
      <x:c r="G254" s="17" t="n">
        <x:v>522.3796</x:v>
      </x:c>
      <x:c r="H254" s="17" t="n">
        <x:f>G254*F254</x:f>
        <x:v>14104.2492</x:v>
      </x:c>
      <x:c r="I254" s="26" t="str">
        <x:f>HYPERLINK("https://etp-aktiv.ru/catalog/materialy/truboprovody/2000005122-W113/","Открыть позицию")</x:f>
        <x:v>Открыть позицию</x:v>
      </x:c>
    </x:row>
    <x:row r="255" ht="28" customHeight="1">
      <x:c r="A255" s="16" t="str">
        <x:v>Бийскэнерго</x:v>
      </x:c>
      <x:c r="B255" s="16" t="str">
        <x:v>2000885448-W113</x:v>
      </x:c>
      <x:c r="C255" s="16" t="str">
        <x:v>ШТУЦЕР 20 12Х1МФ 04 ОСТ108.462.08-82</x:v>
      </x:c>
      <x:c r="D255" s="16" t="str">
        <x:v>Труб/элем ВД</x:v>
      </x:c>
      <x:c r="E255" s="16" t="str">
        <x:v>ШТ</x:v>
      </x:c>
      <x:c r="F255" s="25" t="n">
        <x:v>5</x:v>
      </x:c>
      <x:c r="G255" s="17" t="n">
        <x:v>1046.4672</x:v>
      </x:c>
      <x:c r="H255" s="17" t="n">
        <x:f>G255*F255</x:f>
        <x:v>5232.336</x:v>
      </x:c>
      <x:c r="I255" s="26" t="str">
        <x:f>HYPERLINK("https://etp-aktiv.ru/catalog/materialy/truboprovody/2000885448-W113/","Открыть позицию")</x:f>
        <x:v>Открыть позицию</x:v>
      </x:c>
    </x:row>
    <x:row r="256" ht="28" customHeight="1">
      <x:c r="A256" s="16" t="str">
        <x:v>БийскэнергоТеплоТранзит</x:v>
      </x:c>
      <x:c r="B256" s="16" t="str">
        <x:v>2000559337-W123</x:v>
      </x:c>
      <x:c r="C256" s="16" t="str">
        <x:v>БУРТ (ВТУЛКА) П/ФЛАНЕЦ PP-R D110 PA51110</x:v>
      </x:c>
      <x:c r="D256" s="16" t="str">
        <x:v>Фитинги труб полимер</x:v>
      </x:c>
      <x:c r="E256" s="16" t="str">
        <x:v>ШТ</x:v>
      </x:c>
      <x:c r="F256" s="25" t="n">
        <x:v>4</x:v>
      </x:c>
      <x:c r="G256" s="17" t="n">
        <x:v>190.41760000000002</x:v>
      </x:c>
      <x:c r="H256" s="17" t="n">
        <x:f>G256*F256</x:f>
        <x:v>761.6704000000001</x:v>
      </x:c>
      <x:c r="I256" s="26" t="str">
        <x:f>HYPERLINK("https://etp-aktiv.ru/catalog/materialy/truboprovody/2000559337-W123/","Открыть позицию")</x:f>
        <x:v>Открыть позицию</x:v>
      </x:c>
    </x:row>
    <x:row r="257" ht="28" customHeight="1">
      <x:c r="A257" s="16" t="str">
        <x:v>БийскэнергоТеплоТранзит</x:v>
      </x:c>
      <x:c r="B257" s="16" t="str">
        <x:v>2000455985-W123</x:v>
      </x:c>
      <x:c r="C257" s="16" t="str">
        <x:v>БУРТ PPR DN75 PN65</x:v>
      </x:c>
      <x:c r="D257" s="16" t="str">
        <x:v>Детали фасонные</x:v>
      </x:c>
      <x:c r="E257" s="16" t="str">
        <x:v>ШТ</x:v>
      </x:c>
      <x:c r="F257" s="25" t="n">
        <x:v>4</x:v>
      </x:c>
      <x:c r="G257" s="17" t="n">
        <x:v>232.7516</x:v>
      </x:c>
      <x:c r="H257" s="17" t="n">
        <x:f>G257*F257</x:f>
        <x:v>931.0064</x:v>
      </x:c>
      <x:c r="I257" s="26" t="str">
        <x:f>HYPERLINK("https://etp-aktiv.ru/catalog/materialy/truboprovody/2000455985-W123/","Открыть позицию")</x:f>
        <x:v>Открыть позицию</x:v>
      </x:c>
    </x:row>
    <x:row r="258" ht="28" customHeight="1">
      <x:c r="A258" s="16" t="str">
        <x:v>БийскэнергоТеплоТранзит</x:v>
      </x:c>
      <x:c r="B258" s="16" t="str">
        <x:v>2000455984-W123</x:v>
      </x:c>
      <x:c r="C258" s="16" t="str">
        <x:v>БУРТ PPR DN90 PN80</x:v>
      </x:c>
      <x:c r="D258" s="16" t="str">
        <x:v>Детали фасонные</x:v>
      </x:c>
      <x:c r="E258" s="16" t="str">
        <x:v>ШТ</x:v>
      </x:c>
      <x:c r="F258" s="25" t="n">
        <x:v>5</x:v>
      </x:c>
      <x:c r="G258" s="17" t="n">
        <x:v>366.0732</x:v>
      </x:c>
      <x:c r="H258" s="17" t="n">
        <x:f>G258*F258</x:f>
        <x:v>1830.366</x:v>
      </x:c>
      <x:c r="I258" s="26" t="str">
        <x:f>HYPERLINK("https://etp-aktiv.ru/catalog/materialy/truboprovody/2000455984-W123/","Открыть позицию")</x:f>
        <x:v>Открыть позицию</x:v>
      </x:c>
    </x:row>
    <x:row r="259" ht="28" customHeight="1">
      <x:c r="A259" s="16" t="str">
        <x:v>БийскэнергоТеплоТранзит</x:v>
      </x:c>
      <x:c r="B259" s="16" t="str">
        <x:v>2000650617-W123</x:v>
      </x:c>
      <x:c r="C259" s="16" t="str">
        <x:v>КЛАПАН 20-90VFG2 065B2406+AFT06 065-4391</x:v>
      </x:c>
      <x:c r="D259" s="16" t="str">
        <x:v>Армат из медн сплав</x:v>
      </x:c>
      <x:c r="E259" s="16" t="str">
        <x:v>КМП</x:v>
      </x:c>
      <x:c r="F259" s="25" t="n">
        <x:v>1</x:v>
      </x:c>
      <x:c r="G259" s="17" t="n">
        <x:v>552815.5499999999</x:v>
      </x:c>
      <x:c r="H259" s="17" t="n">
        <x:f>G259*F259</x:f>
        <x:v>552815.5499999999</x:v>
      </x:c>
      <x:c r="I259" s="26" t="str">
        <x:f>HYPERLINK("https://etp-aktiv.ru/catalog/materialy/truboprovodnaya-armatura-i-komplektuyushchie/2000650617-W123/","Открыть позицию")</x:f>
        <x:v>Открыть позицию</x:v>
      </x:c>
    </x:row>
    <x:row r="260" ht="28" customHeight="1">
      <x:c r="A260" s="16" t="str">
        <x:v>БийскэнергоТеплоТранзит</x:v>
      </x:c>
      <x:c r="B260" s="16" t="str">
        <x:v>2000539695-W123</x:v>
      </x:c>
      <x:c r="C260" s="16" t="str">
        <x:v>КЛАПАН ОБРАТ 16КЧ11Р DN32 PN16</x:v>
      </x:c>
      <x:c r="D260" s="16" t="str">
        <x:v>ЧугунАрмат (кр.затв)</x:v>
      </x:c>
      <x:c r="E260" s="16" t="str">
        <x:v>ШТ</x:v>
      </x:c>
      <x:c r="F260" s="25" t="n">
        <x:v>1</x:v>
      </x:c>
      <x:c r="G260" s="17" t="n">
        <x:v>32.1226</x:v>
      </x:c>
      <x:c r="H260" s="17" t="n">
        <x:f>G260*F260</x:f>
        <x:v>32.1226</x:v>
      </x:c>
      <x:c r="I260" s="26" t="str">
        <x:f>HYPERLINK("https://etp-aktiv.ru/catalog/materialy/truboprovodnaya-armatura-i-komplektuyushchie/2000539695-W123/","Открыть позицию")</x:f>
        <x:v>Открыть позицию</x:v>
      </x:c>
    </x:row>
    <x:row r="261" ht="28" customHeight="1">
      <x:c r="A261" s="16" t="str">
        <x:v>БийскэнергоТеплоТранзит</x:v>
      </x:c>
      <x:c r="B261" s="16" t="str">
        <x:v>2001024817-W123</x:v>
      </x:c>
      <x:c r="C261" s="16" t="str">
        <x:v>КМП ЗАДЕЛКИ СТЫКА КЗС (Т) 820 1000</x:v>
      </x:c>
      <x:c r="D261" s="16" t="str">
        <x:v>Труб/элем ТИ и Футер</x:v>
      </x:c>
      <x:c r="E261" s="16" t="str">
        <x:v>ШТ</x:v>
      </x:c>
      <x:c r="F261" s="25" t="n">
        <x:v>15</x:v>
      </x:c>
      <x:c r="G261" s="17" t="n">
        <x:v>23302</x:v>
      </x:c>
      <x:c r="H261" s="17" t="n">
        <x:f>G261*F261</x:f>
        <x:v>349530</x:v>
      </x:c>
      <x:c r="I261" s="26" t="str">
        <x:f>HYPERLINK("https://etp-aktiv.ru/catalog/materialy/truboprovody/2001024817-W123/","Открыть позицию")</x:f>
        <x:v>Открыть позицию</x:v>
      </x:c>
    </x:row>
    <x:row r="262" ht="28" customHeight="1">
      <x:c r="A262" s="16" t="str">
        <x:v>БийскэнергоТеплоТранзит</x:v>
      </x:c>
      <x:c r="B262" s="16" t="str">
        <x:v>2000557736-W123</x:v>
      </x:c>
      <x:c r="C262" s="16" t="str">
        <x:v>КМП КЗС(Т) Д/ТРУБ 89*180 ГОСТ30732</x:v>
      </x:c>
      <x:c r="D262" s="16" t="str">
        <x:v>Труб/элем ТИ и Футер</x:v>
      </x:c>
      <x:c r="E262" s="16" t="str">
        <x:v>ШТ</x:v>
      </x:c>
      <x:c r="F262" s="25" t="n">
        <x:v>4</x:v>
      </x:c>
      <x:c r="G262" s="17" t="n">
        <x:v>128.3684</x:v>
      </x:c>
      <x:c r="H262" s="17" t="n">
        <x:f>G262*F262</x:f>
        <x:v>513.4736</x:v>
      </x:c>
      <x:c r="I262" s="26" t="str">
        <x:f>HYPERLINK("https://etp-aktiv.ru/catalog/materialy/truboprovody/2000557736-W123/","Открыть позицию")</x:f>
        <x:v>Открыть позицию</x:v>
      </x:c>
    </x:row>
    <x:row r="263" ht="28" customHeight="1">
      <x:c r="A263" s="16" t="str">
        <x:v>БийскэнергоТеплоТранзит</x:v>
      </x:c>
      <x:c r="B263" s="16" t="str">
        <x:v>2000535040-W123</x:v>
      </x:c>
      <x:c r="C263" s="16" t="str">
        <x:v>КОМПЕНСАТОР 300-25 Т1.10.00.000 4.903-10</x:v>
      </x:c>
      <x:c r="D263" s="16" t="str">
        <x:v>Компенсаторы</x:v>
      </x:c>
      <x:c r="E263" s="16" t="str">
        <x:v>ШТ</x:v>
      </x:c>
      <x:c r="F263" s="25" t="n">
        <x:v>1</x:v>
      </x:c>
      <x:c r="G263" s="17" t="n">
        <x:v>4333.8426</x:v>
      </x:c>
      <x:c r="H263" s="17" t="n">
        <x:f>G263*F263</x:f>
        <x:v>4333.8426</x:v>
      </x:c>
      <x:c r="I263" s="26" t="str">
        <x:f>HYPERLINK("https://etp-aktiv.ru/catalog/materialy/truboprovody/2000535040-W123/","Открыть позицию")</x:f>
        <x:v>Открыть позицию</x:v>
      </x:c>
    </x:row>
    <x:row r="264" ht="28" customHeight="1">
      <x:c r="A264" s="16" t="str">
        <x:v>БийскэнергоТеплоТранзит</x:v>
      </x:c>
      <x:c r="B264" s="16" t="str">
        <x:v>2000753761-W123</x:v>
      </x:c>
      <x:c r="C264" s="16" t="str">
        <x:v>КОМПЕНСАТОР СКУ.М150-25-50 С ЗАЩ КОЖ</x:v>
      </x:c>
      <x:c r="D264" s="16" t="str">
        <x:v>Компенсаторы</x:v>
      </x:c>
      <x:c r="E264" s="16" t="str">
        <x:v>ШТ</x:v>
      </x:c>
      <x:c r="F264" s="25" t="n">
        <x:v>2</x:v>
      </x:c>
      <x:c r="G264" s="17" t="n">
        <x:v>48351.65</x:v>
      </x:c>
      <x:c r="H264" s="17" t="n">
        <x:f>G264*F264</x:f>
        <x:v>96703.3</x:v>
      </x:c>
      <x:c r="I264" s="26" t="str">
        <x:f>HYPERLINK("https://etp-aktiv.ru/catalog/materialy/truboprovody/2000753761-W123/","Открыть позицию")</x:f>
        <x:v>Открыть позицию</x:v>
      </x:c>
    </x:row>
    <x:row r="265" ht="28" customHeight="1">
      <x:c r="A265" s="16" t="str">
        <x:v>БийскэнергоТеплоТранзит</x:v>
      </x:c>
      <x:c r="B265" s="16" t="str">
        <x:v>2000540038-W123</x:v>
      </x:c>
      <x:c r="C265" s="16" t="str">
        <x:v>КРАН 09Г2С ПП ВОДА 200° ПП 350/25 РЕД A</x:v>
      </x:c>
      <x:c r="D265" s="16" t="str">
        <x:v>Краны шаров.стальн</x:v>
      </x:c>
      <x:c r="E265" s="16" t="str">
        <x:v>ШТ</x:v>
      </x:c>
      <x:c r="F265" s="25" t="n">
        <x:v>1</x:v>
      </x:c>
      <x:c r="G265" s="17" t="n">
        <x:v>1173319.628</x:v>
      </x:c>
      <x:c r="H265" s="17" t="n">
        <x:f>G265*F265</x:f>
        <x:v>1173319.628</x:v>
      </x:c>
      <x:c r="I265" s="26" t="str">
        <x:f>HYPERLINK("https://etp-aktiv.ru/catalog/materialy/truboprovodnaya-armatura-i-komplektuyushchie/2000540038-W123/","Открыть позицию")</x:f>
        <x:v>Открыть позицию</x:v>
      </x:c>
    </x:row>
    <x:row r="266" ht="28" customHeight="1">
      <x:c r="A266" s="16" t="str">
        <x:v>БийскэнергоТеплоТранзит</x:v>
      </x:c>
      <x:c r="B266" s="16" t="str">
        <x:v>2000540191-W123</x:v>
      </x:c>
      <x:c r="C266" s="16" t="str">
        <x:v>КРАН СТ20 ПП ВОДА 200° ФЛ 150/25 РП A</x:v>
      </x:c>
      <x:c r="D266" s="16" t="str">
        <x:v>Краны шаров.стальн</x:v>
      </x:c>
      <x:c r="E266" s="16" t="str">
        <x:v>ШТ</x:v>
      </x:c>
      <x:c r="F266" s="25" t="n">
        <x:v>12</x:v>
      </x:c>
      <x:c r="G266" s="17" t="n">
        <x:v>25302.251</x:v>
      </x:c>
      <x:c r="H266" s="17" t="n">
        <x:f>G266*F266</x:f>
        <x:v>303627.012</x:v>
      </x:c>
      <x:c r="I266" s="26" t="str">
        <x:f>HYPERLINK("https://etp-aktiv.ru/catalog/materialy/truboprovodnaya-armatura-i-komplektuyushchie/2000540191-W123/","Открыть позицию")</x:f>
        <x:v>Открыть позицию</x:v>
      </x:c>
    </x:row>
    <x:row r="267" ht="28" customHeight="1">
      <x:c r="A267" s="16" t="str">
        <x:v>БийскэнергоТеплоТранзит</x:v>
      </x:c>
      <x:c r="B267" s="16" t="str">
        <x:v>2000553101-W123</x:v>
      </x:c>
      <x:c r="C267" s="16" t="str">
        <x:v>ОПОРА 108 09Г2С ТС-623.000-06</x:v>
      </x:c>
      <x:c r="D267" s="16" t="str">
        <x:v>Система опорн-подвес</x:v>
      </x:c>
      <x:c r="E267" s="16" t="str">
        <x:v>ШТ</x:v>
      </x:c>
      <x:c r="F267" s="25" t="n">
        <x:v>3</x:v>
      </x:c>
      <x:c r="G267" s="17" t="n">
        <x:v>28.828599999999998</x:v>
      </x:c>
      <x:c r="H267" s="17" t="n">
        <x:f>G267*F267</x:f>
        <x:v>86.4858</x:v>
      </x:c>
      <x:c r="I267" s="26" t="str">
        <x:f>HYPERLINK("https://etp-aktiv.ru/catalog/materialy/truboprovody/2000553101-W123/","Открыть позицию")</x:f>
        <x:v>Открыть позицию</x:v>
      </x:c>
    </x:row>
    <x:row r="268" ht="28" customHeight="1">
      <x:c r="A268" s="16" t="str">
        <x:v>БийскэнергоТеплоТранзит</x:v>
      </x:c>
      <x:c r="B268" s="16" t="str">
        <x:v>2000553119-W123</x:v>
      </x:c>
      <x:c r="C268" s="16" t="str">
        <x:v>ОПОРА 57 09Г2С ТС-623.000-04</x:v>
      </x:c>
      <x:c r="D268" s="16" t="str">
        <x:v>Система опорн-подвес</x:v>
      </x:c>
      <x:c r="E268" s="16" t="str">
        <x:v>ШТ</x:v>
      </x:c>
      <x:c r="F268" s="25" t="n">
        <x:v>6</x:v>
      </x:c>
      <x:c r="G268" s="17" t="n">
        <x:v>23.2654</x:v>
      </x:c>
      <x:c r="H268" s="17" t="n">
        <x:f>G268*F268</x:f>
        <x:v>139.5924</x:v>
      </x:c>
      <x:c r="I268" s="26" t="str">
        <x:f>HYPERLINK("https://etp-aktiv.ru/catalog/materialy/truboprovody/2000553119-W123/","Открыть позицию")</x:f>
        <x:v>Открыть позицию</x:v>
      </x:c>
    </x:row>
    <x:row r="269" ht="28" customHeight="1">
      <x:c r="A269" s="16" t="str">
        <x:v>БийскэнергоТеплоТранзит</x:v>
      </x:c>
      <x:c r="B269" s="16" t="str">
        <x:v>2000553181-W123</x:v>
      </x:c>
      <x:c r="C269" s="16" t="str">
        <x:v>ОПОРА DН273 ТС624.000-007 С.5.903-13 В.8</x:v>
      </x:c>
      <x:c r="D269" s="16" t="str">
        <x:v>Система опорн-подвес</x:v>
      </x:c>
      <x:c r="E269" s="16" t="str">
        <x:v>ШТ</x:v>
      </x:c>
      <x:c r="F269" s="25" t="n">
        <x:v>26</x:v>
      </x:c>
      <x:c r="G269" s="17" t="n">
        <x:v>362.3644</x:v>
      </x:c>
      <x:c r="H269" s="17" t="n">
        <x:f>G269*F269</x:f>
        <x:v>9421.4744</x:v>
      </x:c>
      <x:c r="I269" s="26" t="str">
        <x:f>HYPERLINK("https://etp-aktiv.ru/catalog/materialy/truboprovody/2000553181-W123/","Открыть позицию")</x:f>
        <x:v>Открыть позицию</x:v>
      </x:c>
    </x:row>
    <x:row r="270" ht="28" customHeight="1">
      <x:c r="A270" s="16" t="str">
        <x:v>БийскэнергоТеплоТранзит</x:v>
      </x:c>
      <x:c r="B270" s="16" t="str">
        <x:v>2000553234-W123</x:v>
      </x:c>
      <x:c r="C270" s="16" t="str">
        <x:v>ОПОРА DН89 ТС623.000-006 С.5.903-13</x:v>
      </x:c>
      <x:c r="D270" s="16" t="str">
        <x:v>Система опорн-подвес</x:v>
      </x:c>
      <x:c r="E270" s="16" t="str">
        <x:v>ШТ</x:v>
      </x:c>
      <x:c r="F270" s="25" t="n">
        <x:v>2</x:v>
      </x:c>
      <x:c r="G270" s="17" t="n">
        <x:v>46.1038</x:v>
      </x:c>
      <x:c r="H270" s="17" t="n">
        <x:f>G270*F270</x:f>
        <x:v>92.2076</x:v>
      </x:c>
      <x:c r="I270" s="26" t="str">
        <x:f>HYPERLINK("https://etp-aktiv.ru/catalog/materialy/truboprovody/2000553234-W123/","Открыть позицию")</x:f>
        <x:v>Открыть позицию</x:v>
      </x:c>
    </x:row>
    <x:row r="271" ht="28" customHeight="1">
      <x:c r="A271" s="16" t="str">
        <x:v>БийскэнергоТеплоТранзит</x:v>
      </x:c>
      <x:c r="B271" s="16" t="str">
        <x:v>2000553242-W123</x:v>
      </x:c>
      <x:c r="C271" s="16" t="str">
        <x:v>ОПОРА DУ76 ТС-623.000-03 С.5.903-13 В.8</x:v>
      </x:c>
      <x:c r="D271" s="16" t="str">
        <x:v>Система опорн-подвес</x:v>
      </x:c>
      <x:c r="E271" s="16" t="str">
        <x:v>ШТ</x:v>
      </x:c>
      <x:c r="F271" s="25" t="n">
        <x:v>4</x:v>
      </x:c>
      <x:c r="G271" s="17" t="n">
        <x:v>34.904199999999996</x:v>
      </x:c>
      <x:c r="H271" s="17" t="n">
        <x:f>G271*F271</x:f>
        <x:v>139.61679999999998</x:v>
      </x:c>
      <x:c r="I271" s="26" t="str">
        <x:f>HYPERLINK("https://etp-aktiv.ru/catalog/materialy/truboprovody/2000553242-W123/","Открыть позицию")</x:f>
        <x:v>Открыть позицию</x:v>
      </x:c>
    </x:row>
    <x:row r="272" ht="28" customHeight="1">
      <x:c r="A272" s="16" t="str">
        <x:v>БийскэнергоТеплоТранзит</x:v>
      </x:c>
      <x:c r="B272" s="16" t="str">
        <x:v>2001035398-W123</x:v>
      </x:c>
      <x:c r="C272" s="16" t="str">
        <x:v>ОПОРА НАПРАВЛЯЮЩАЯ НПО-200 НТС-65-06-08</x:v>
      </x:c>
      <x:c r="D272" s="16" t="str">
        <x:v>Система опорн-подвес</x:v>
      </x:c>
      <x:c r="E272" s="16" t="str">
        <x:v>ШТ</x:v>
      </x:c>
      <x:c r="F272" s="25" t="n">
        <x:v>8</x:v>
      </x:c>
      <x:c r="G272" s="17" t="n">
        <x:v>15449.3602</x:v>
      </x:c>
      <x:c r="H272" s="17" t="n">
        <x:f>G272*F272</x:f>
        <x:v>123594.8816</x:v>
      </x:c>
      <x:c r="I272" s="26" t="str">
        <x:f>HYPERLINK("https://etp-aktiv.ru/catalog/materialy/truboprovody/2001035398-W123/","Открыть позицию")</x:f>
        <x:v>Открыть позицию</x:v>
      </x:c>
    </x:row>
    <x:row r="273" ht="28" customHeight="1">
      <x:c r="A273" s="16" t="str">
        <x:v>БийскэнергоТеплоТранзит</x:v>
      </x:c>
      <x:c r="B273" s="16" t="str">
        <x:v>2000636669-W123</x:v>
      </x:c>
      <x:c r="C273" s="16" t="str">
        <x:v>ОПОРА СКОЛЬЗ 720-1-ППУ-ОЦ ГОСТ30732-2006</x:v>
      </x:c>
      <x:c r="D273" s="16" t="str">
        <x:v>Система опорн-подвес</x:v>
      </x:c>
      <x:c r="E273" s="16" t="str">
        <x:v>ШТ</x:v>
      </x:c>
      <x:c r="F273" s="25" t="n">
        <x:v>4</x:v>
      </x:c>
      <x:c r="G273" s="17" t="n">
        <x:v>30493.899999999998</x:v>
      </x:c>
      <x:c r="H273" s="17" t="n">
        <x:f>G273*F273</x:f>
        <x:v>121975.59999999999</x:v>
      </x:c>
      <x:c r="I273" s="26" t="str">
        <x:f>HYPERLINK("https://etp-aktiv.ru/catalog/materialy/truboprovody/2000636669-W123/","Открыть позицию")</x:f>
        <x:v>Открыть позицию</x:v>
      </x:c>
    </x:row>
    <x:row r="274" ht="28" customHeight="1">
      <x:c r="A274" s="16" t="str">
        <x:v>БийскэнергоТеплоТранзит</x:v>
      </x:c>
      <x:c r="B274" s="16" t="str">
        <x:v>2001024926-W123</x:v>
      </x:c>
      <x:c r="C274" s="16" t="str">
        <x:v>ОПОРА СКОЛЬЗ 820*9 1-ППУ-ОЦ ГОСТ30732</x:v>
      </x:c>
      <x:c r="D274" s="16" t="str">
        <x:v>Труб/элем ТИ и Футер</x:v>
      </x:c>
      <x:c r="E274" s="16" t="str">
        <x:v>ШТ</x:v>
      </x:c>
      <x:c r="F274" s="25" t="n">
        <x:v>2</x:v>
      </x:c>
      <x:c r="G274" s="17" t="n">
        <x:v>35953.631799999996</x:v>
      </x:c>
      <x:c r="H274" s="17" t="n">
        <x:f>G274*F274</x:f>
        <x:v>71907.26359999999</x:v>
      </x:c>
      <x:c r="I274" s="26" t="str">
        <x:f>HYPERLINK("https://etp-aktiv.ru/catalog/materialy/truboprovody/2001024926-W123/","Открыть позицию")</x:f>
        <x:v>Открыть позицию</x:v>
      </x:c>
    </x:row>
    <x:row r="275" ht="28" customHeight="1">
      <x:c r="A275" s="16" t="str">
        <x:v>БийскэнергоТеплоТранзит</x:v>
      </x:c>
      <x:c r="B275" s="16" t="str">
        <x:v>2000553275-W123</x:v>
      </x:c>
      <x:c r="C275" s="16" t="str">
        <x:v>ОПОРА СКОЛЬЗЯЩ СТ 219-2 ППУ-ПЭ</x:v>
      </x:c>
      <x:c r="D275" s="16" t="str">
        <x:v>Система опорн-подвес</x:v>
      </x:c>
      <x:c r="E275" s="16" t="str">
        <x:v>ШТ</x:v>
      </x:c>
      <x:c r="F275" s="25" t="n">
        <x:v>8</x:v>
      </x:c>
      <x:c r="G275" s="17" t="n">
        <x:v>11726.64</x:v>
      </x:c>
      <x:c r="H275" s="17" t="n">
        <x:f>G275*F275</x:f>
        <x:v>93813.12</x:v>
      </x:c>
      <x:c r="I275" s="26" t="str">
        <x:f>HYPERLINK("https://etp-aktiv.ru/catalog/materialy/truboprovody/2000553275-W123/","Открыть позицию")</x:f>
        <x:v>Открыть позицию</x:v>
      </x:c>
    </x:row>
    <x:row r="276" ht="28" customHeight="1">
      <x:c r="A276" s="16" t="str">
        <x:v>БийскэнергоТеплоТранзит</x:v>
      </x:c>
      <x:c r="B276" s="16" t="str">
        <x:v>2000553276-W123</x:v>
      </x:c>
      <x:c r="C276" s="16" t="str">
        <x:v>ОПОРА СКОЛЬЗЯЩ СТ 273-1 ППУ-ПЭ</x:v>
      </x:c>
      <x:c r="D276" s="16" t="str">
        <x:v>Система опорн-подвес</x:v>
      </x:c>
      <x:c r="E276" s="16" t="str">
        <x:v>ШТ</x:v>
      </x:c>
      <x:c r="F276" s="25" t="n">
        <x:v>10</x:v>
      </x:c>
      <x:c r="G276" s="17" t="n">
        <x:v>9753.9</x:v>
      </x:c>
      <x:c r="H276" s="17" t="n">
        <x:f>G276*F276</x:f>
        <x:v>97539</x:v>
      </x:c>
      <x:c r="I276" s="26" t="str">
        <x:f>HYPERLINK("https://etp-aktiv.ru/catalog/materialy/truboprovody/2000553276-W123/","Открыть позицию")</x:f>
        <x:v>Открыть позицию</x:v>
      </x:c>
    </x:row>
    <x:row r="277" ht="28" customHeight="1">
      <x:c r="A277" s="16" t="str">
        <x:v>БийскэнергоТеплоТранзит</x:v>
      </x:c>
      <x:c r="B277" s="16" t="str">
        <x:v>2000553300-W123</x:v>
      </x:c>
      <x:c r="C277" s="16" t="str">
        <x:v>ОПОРА СПО 76/160.200 СТ.09Г2С ГФ-021</x:v>
      </x:c>
      <x:c r="D277" s="16" t="str">
        <x:v>Система опорн-подвес</x:v>
      </x:c>
      <x:c r="E277" s="16" t="str">
        <x:v>ШТ</x:v>
      </x:c>
      <x:c r="F277" s="25" t="n">
        <x:v>2</x:v>
      </x:c>
      <x:c r="G277" s="17" t="n">
        <x:v>105.27380000000001</x:v>
      </x:c>
      <x:c r="H277" s="17" t="n">
        <x:f>G277*F277</x:f>
        <x:v>210.54760000000002</x:v>
      </x:c>
      <x:c r="I277" s="26" t="str">
        <x:f>HYPERLINK("https://etp-aktiv.ru/catalog/materialy/truboprovody/2000553300-W123/","Открыть позицию")</x:f>
        <x:v>Открыть позицию</x:v>
      </x:c>
    </x:row>
    <x:row r="278" ht="28" customHeight="1">
      <x:c r="A278" s="16" t="str">
        <x:v>БийскэнергоТеплоТранзит</x:v>
      </x:c>
      <x:c r="B278" s="16" t="str">
        <x:v>2000553301-W123</x:v>
      </x:c>
      <x:c r="C278" s="16" t="str">
        <x:v>ОПОРА СПО 89/180.200 СТ.09Г2С ГФ-021</x:v>
      </x:c>
      <x:c r="D278" s="16" t="str">
        <x:v>Система опорн-подвес</x:v>
      </x:c>
      <x:c r="E278" s="16" t="str">
        <x:v>ШТ</x:v>
      </x:c>
      <x:c r="F278" s="25" t="n">
        <x:v>4</x:v>
      </x:c>
      <x:c r="G278" s="17" t="n">
        <x:v>109.922</x:v>
      </x:c>
      <x:c r="H278" s="17" t="n">
        <x:f>G278*F278</x:f>
        <x:v>439.688</x:v>
      </x:c>
      <x:c r="I278" s="26" t="str">
        <x:f>HYPERLINK("https://etp-aktiv.ru/catalog/materialy/truboprovody/2000553301-W123/","Открыть позицию")</x:f>
        <x:v>Открыть позицию</x:v>
      </x:c>
    </x:row>
    <x:row r="279" ht="28" customHeight="1">
      <x:c r="A279" s="16" t="str">
        <x:v>БийскэнергоТеплоТранзит</x:v>
      </x:c>
      <x:c r="B279" s="16" t="str">
        <x:v>2000563904-W123</x:v>
      </x:c>
      <x:c r="C279" s="16" t="str">
        <x:v>ОПОРА СТ108-315*16-2 ППУ-ПЭ ГОСТ30732-06</x:v>
      </x:c>
      <x:c r="D279" s="16" t="str">
        <x:v>Система опорн-подвес</x:v>
      </x:c>
      <x:c r="E279" s="16" t="str">
        <x:v>ШТ</x:v>
      </x:c>
      <x:c r="F279" s="25" t="n">
        <x:v>18</x:v>
      </x:c>
      <x:c r="G279" s="17" t="n">
        <x:v>17002.103</x:v>
      </x:c>
      <x:c r="H279" s="17" t="n">
        <x:f>G279*F279</x:f>
        <x:v>306037.854</x:v>
      </x:c>
      <x:c r="I279" s="26" t="str">
        <x:f>HYPERLINK("https://etp-aktiv.ru/catalog/materialy/truboprovody/2000563904-W123/","Открыть позицию")</x:f>
        <x:v>Открыть позицию</x:v>
      </x:c>
    </x:row>
    <x:row r="280" ht="28" customHeight="1">
      <x:c r="A280" s="16" t="str">
        <x:v>БийскэнергоТеплоТранзит</x:v>
      </x:c>
      <x:c r="B280" s="16" t="str">
        <x:v>2000563909-W123</x:v>
      </x:c>
      <x:c r="C280" s="16" t="str">
        <x:v>ОПОРА СТ219-460*24-2 ППУ-ПЭ ГОСТ30732-06</x:v>
      </x:c>
      <x:c r="D280" s="16" t="str">
        <x:v>Система опорн-подвес</x:v>
      </x:c>
      <x:c r="E280" s="16" t="str">
        <x:v>ШТ</x:v>
      </x:c>
      <x:c r="F280" s="25" t="n">
        <x:v>7</x:v>
      </x:c>
      <x:c r="G280" s="17" t="n">
        <x:v>33577.2182</x:v>
      </x:c>
      <x:c r="H280" s="17" t="n">
        <x:f>G280*F280</x:f>
        <x:v>235040.52740000002</x:v>
      </x:c>
      <x:c r="I280" s="26" t="str">
        <x:f>HYPERLINK("https://etp-aktiv.ru/catalog/materialy/truboprovody/2000563909-W123/","Открыть позицию")</x:f>
        <x:v>Открыть позицию</x:v>
      </x:c>
    </x:row>
    <x:row r="281" ht="28" customHeight="1">
      <x:c r="A281" s="16" t="str">
        <x:v>БийскэнергоТеплоТранзит</x:v>
      </x:c>
      <x:c r="B281" s="16" t="str">
        <x:v>2001037996-W123</x:v>
      </x:c>
      <x:c r="C281" s="16" t="str">
        <x:v>ОТВОД 17Г1С 820*9 21° 1-ППУ-ПЭ ГОСТ30732</x:v>
      </x:c>
      <x:c r="D281" s="16" t="str">
        <x:v>Труб/элем ТИ и Футер</x:v>
      </x:c>
      <x:c r="E281" s="16" t="str">
        <x:v>ШТ</x:v>
      </x:c>
      <x:c r="F281" s="25" t="n">
        <x:v>4</x:v>
      </x:c>
      <x:c r="G281" s="17" t="n">
        <x:v>181780</x:v>
      </x:c>
      <x:c r="H281" s="17" t="n">
        <x:f>G281*F281</x:f>
        <x:v>727120</x:v>
      </x:c>
      <x:c r="I281" s="26" t="str">
        <x:f>HYPERLINK("https://etp-aktiv.ru/catalog/materialy/truboprovody/2001037996-W123/","Открыть позицию")</x:f>
        <x:v>Открыть позицию</x:v>
      </x:c>
    </x:row>
    <x:row r="282" ht="28" customHeight="1">
      <x:c r="A282" s="16" t="str">
        <x:v>БийскэнергоТеплоТранзит</x:v>
      </x:c>
      <x:c r="B282" s="16" t="str">
        <x:v>2000480855-W123</x:v>
      </x:c>
      <x:c r="C282" s="16" t="str">
        <x:v>ОТВОД 45° 09Г2С DN530 10 ГОСТ17375-01</x:v>
      </x:c>
      <x:c r="D282" s="16" t="str">
        <x:v>Детали фасонные</x:v>
      </x:c>
      <x:c r="E282" s="16" t="str">
        <x:v>ШТ</x:v>
      </x:c>
      <x:c r="F282" s="25" t="n">
        <x:v>1</x:v>
      </x:c>
      <x:c r="G282" s="17" t="n">
        <x:v>4155.625</x:v>
      </x:c>
      <x:c r="H282" s="17" t="n">
        <x:f>G282*F282</x:f>
        <x:v>4155.625</x:v>
      </x:c>
      <x:c r="I282" s="26" t="str">
        <x:f>HYPERLINK("https://etp-aktiv.ru/catalog/materialy/truboprovody/2000480855-W123/","Открыть позицию")</x:f>
        <x:v>Открыть позицию</x:v>
      </x:c>
    </x:row>
    <x:row r="283" ht="28" customHeight="1">
      <x:c r="A283" s="16" t="str">
        <x:v>БийскэнергоТеплоТранзит</x:v>
      </x:c>
      <x:c r="B283" s="16" t="str">
        <x:v>2000570961-W123</x:v>
      </x:c>
      <x:c r="C283" s="16" t="str">
        <x:v>ОТВОД 45° СТ20 273*9 ГОСТ17375-01</x:v>
      </x:c>
      <x:c r="D283" s="16" t="str">
        <x:v>Детали фасонные</x:v>
      </x:c>
      <x:c r="E283" s="16" t="str">
        <x:v>ШТ</x:v>
      </x:c>
      <x:c r="F283" s="25" t="n">
        <x:v>4</x:v>
      </x:c>
      <x:c r="G283" s="17" t="n">
        <x:v>1357.555</x:v>
      </x:c>
      <x:c r="H283" s="17" t="n">
        <x:f>G283*F283</x:f>
        <x:v>5430.22</x:v>
      </x:c>
      <x:c r="I283" s="26" t="str">
        <x:f>HYPERLINK("https://etp-aktiv.ru/catalog/materialy/truboprovody/2000570961-W123/","Открыть позицию")</x:f>
        <x:v>Открыть позицию</x:v>
      </x:c>
    </x:row>
    <x:row r="284" ht="28" customHeight="1">
      <x:c r="A284" s="16" t="str">
        <x:v>БийскэнергоТеплоТранзит</x:v>
      </x:c>
      <x:c r="B284" s="16" t="str">
        <x:v>2000568185-W123</x:v>
      </x:c>
      <x:c r="C284" s="16" t="str">
        <x:v>ОТВОД 90° 17Г1С 720*9 ГОСТ30753-2001</x:v>
      </x:c>
      <x:c r="D284" s="16" t="str">
        <x:v>Детали фасонные</x:v>
      </x:c>
      <x:c r="E284" s="16" t="str">
        <x:v>ШТ</x:v>
      </x:c>
      <x:c r="F284" s="25" t="n">
        <x:v>3</x:v>
      </x:c>
      <x:c r="G284" s="17" t="n">
        <x:v>36981.555</x:v>
      </x:c>
      <x:c r="H284" s="17" t="n">
        <x:f>G284*F284</x:f>
        <x:v>110944.66500000001</x:v>
      </x:c>
      <x:c r="I284" s="26" t="str">
        <x:f>HYPERLINK("https://etp-aktiv.ru/catalog/materialy/truboprovody/2000568185-W123/","Открыть позицию")</x:f>
        <x:v>Открыть позицию</x:v>
      </x:c>
    </x:row>
    <x:row r="285" ht="28" customHeight="1">
      <x:c r="A285" s="16" t="str">
        <x:v>БийскэнергоТеплоТранзит</x:v>
      </x:c>
      <x:c r="B285" s="16" t="str">
        <x:v>2000554409-W123</x:v>
      </x:c>
      <x:c r="C285" s="16" t="str">
        <x:v>ОТВОД 90° СТ20 1-33,7*3,2 ГОСТ17375</x:v>
      </x:c>
      <x:c r="D285" s="16" t="str">
        <x:v>Детали фасонные</x:v>
      </x:c>
      <x:c r="E285" s="16" t="str">
        <x:v>ШТ</x:v>
      </x:c>
      <x:c r="F285" s="25" t="n">
        <x:v>2</x:v>
      </x:c>
      <x:c r="G285" s="17" t="n">
        <x:v>3.5624</x:v>
      </x:c>
      <x:c r="H285" s="17" t="n">
        <x:f>G285*F285</x:f>
        <x:v>7.1248</x:v>
      </x:c>
      <x:c r="I285" s="26" t="str">
        <x:f>HYPERLINK("https://etp-aktiv.ru/catalog/materialy/truboprovody/2000554409-W123/","Открыть позицию")</x:f>
        <x:v>Открыть позицию</x:v>
      </x:c>
    </x:row>
    <x:row r="286" ht="28" customHeight="1">
      <x:c r="A286" s="16" t="str">
        <x:v>БийскэнергоТеплоТранзит</x:v>
      </x:c>
      <x:c r="B286" s="16" t="str">
        <x:v>2000993953-W123</x:v>
      </x:c>
      <x:c r="C286" s="16" t="str">
        <x:v>ОТВОД П 90° 17Г1С 820*10 ГОСТ30753-2001</x:v>
      </x:c>
      <x:c r="D286" s="16" t="str">
        <x:v>Детали фасонные</x:v>
      </x:c>
      <x:c r="E286" s="16" t="str">
        <x:v>ШТ</x:v>
      </x:c>
      <x:c r="F286" s="25" t="n">
        <x:v>1</x:v>
      </x:c>
      <x:c r="G286" s="17" t="n">
        <x:v>73193.9</x:v>
      </x:c>
      <x:c r="H286" s="17" t="n">
        <x:f>G286*F286</x:f>
        <x:v>73193.9</x:v>
      </x:c>
      <x:c r="I286" s="26" t="str">
        <x:f>HYPERLINK("https://etp-aktiv.ru/catalog/materialy/truboprovody/2000993953-W123/","Открыть позицию")</x:f>
        <x:v>Открыть позицию</x:v>
      </x:c>
    </x:row>
    <x:row r="287" ht="28" customHeight="1">
      <x:c r="A287" s="16" t="str">
        <x:v>БийскэнергоТеплоТранзит</x:v>
      </x:c>
      <x:c r="B287" s="16" t="str">
        <x:v>2001096442-W123</x:v>
      </x:c>
      <x:c r="C287" s="16" t="str">
        <x:v>ОТВОД СТ20 219*7 160° 1-ППУ-ПЭ ГОСТ30732</x:v>
      </x:c>
      <x:c r="D287" s="16" t="str">
        <x:v>Труб/элем ТИ и Футер</x:v>
      </x:c>
      <x:c r="E287" s="16" t="str">
        <x:v>ШТ</x:v>
      </x:c>
      <x:c r="F287" s="25" t="n">
        <x:v>2</x:v>
      </x:c>
      <x:c r="G287" s="17" t="n">
        <x:v>26442.768</x:v>
      </x:c>
      <x:c r="H287" s="17" t="n">
        <x:f>G287*F287</x:f>
        <x:v>52885.536</x:v>
      </x:c>
      <x:c r="I287" s="26" t="str">
        <x:f>HYPERLINK("https://etp-aktiv.ru/catalog/materialy/truboprovody/2001096442-W123/","Открыть позицию")</x:f>
        <x:v>Открыть позицию</x:v>
      </x:c>
    </x:row>
    <x:row r="288" ht="28" customHeight="1">
      <x:c r="A288" s="16" t="str">
        <x:v>БийскэнергоТеплоТранзит</x:v>
      </x:c>
      <x:c r="B288" s="16" t="str">
        <x:v>2000750271-W123</x:v>
      </x:c>
      <x:c r="C288" s="16" t="str">
        <x:v>ОТВОД СТ20 57*3,5 90° 2-ППУ-ПЭ ГОСТ30732</x:v>
      </x:c>
      <x:c r="D288" s="16" t="str">
        <x:v>Труб/элем ТИ и Футер</x:v>
      </x:c>
      <x:c r="E288" s="16" t="str">
        <x:v>ШТ</x:v>
      </x:c>
      <x:c r="F288" s="25" t="n">
        <x:v>7</x:v>
      </x:c>
      <x:c r="G288" s="17" t="n">
        <x:v>8085.745199999999</x:v>
      </x:c>
      <x:c r="H288" s="17" t="n">
        <x:f>G288*F288</x:f>
        <x:v>56600.2164</x:v>
      </x:c>
      <x:c r="I288" s="26" t="str">
        <x:f>HYPERLINK("https://etp-aktiv.ru/catalog/materialy/truboprovody/2000750271-W123/","Открыть позицию")</x:f>
        <x:v>Открыть позицию</x:v>
      </x:c>
    </x:row>
    <x:row r="289" ht="28" customHeight="1">
      <x:c r="A289" s="16" t="str">
        <x:v>БийскэнергоТеплоТранзит</x:v>
      </x:c>
      <x:c r="B289" s="16" t="str">
        <x:v>2000587171-W123</x:v>
      </x:c>
      <x:c r="C289" s="16" t="str">
        <x:v>ПАТРУБОК С РЕЗЬБОЙ DУ50 00688</x:v>
      </x:c>
      <x:c r="D289" s="16" t="str">
        <x:v>ЗЧ автотрансп оборуд</x:v>
      </x:c>
      <x:c r="E289" s="16" t="str">
        <x:v>ШТ</x:v>
      </x:c>
      <x:c r="F289" s="25" t="n">
        <x:v>22</x:v>
      </x:c>
      <x:c r="G289" s="17" t="n">
        <x:v>30.5122</x:v>
      </x:c>
      <x:c r="H289" s="17" t="n">
        <x:f>G289*F289</x:f>
        <x:v>671.2684</x:v>
      </x:c>
      <x:c r="I289" s="26" t="str">
        <x:f>HYPERLINK("https://etp-aktiv.ru/catalog/materialy/zapasnye-chasti-k-avtotransportnomu-oborudovaniyu/2000587171-W123/","Открыть позицию")</x:f>
        <x:v>Открыть позицию</x:v>
      </x:c>
    </x:row>
    <x:row r="290" ht="28" customHeight="1">
      <x:c r="A290" s="16" t="str">
        <x:v>БийскэнергоТеплоТранзит</x:v>
      </x:c>
      <x:c r="B290" s="16" t="str">
        <x:v>2000148659-W123</x:v>
      </x:c>
      <x:c r="C290" s="16" t="str">
        <x:v>ПЕРЕХОД К СТ20 108*4 57 3 ГОСТ17378-01</x:v>
      </x:c>
      <x:c r="D290" s="16" t="str">
        <x:v>Детали фасонные</x:v>
      </x:c>
      <x:c r="E290" s="16" t="str">
        <x:v>ШТ</x:v>
      </x:c>
      <x:c r="F290" s="25" t="n">
        <x:v>14</x:v>
      </x:c>
      <x:c r="G290" s="17" t="n">
        <x:v>26.1202</x:v>
      </x:c>
      <x:c r="H290" s="17" t="n">
        <x:f>G290*F290</x:f>
        <x:v>365.6828</x:v>
      </x:c>
      <x:c r="I290" s="26" t="str">
        <x:f>HYPERLINK("https://etp-aktiv.ru/catalog/materialy/truboprovody/2000148659-W123/","Открыть позицию")</x:f>
        <x:v>Открыть позицию</x:v>
      </x:c>
    </x:row>
    <x:row r="291" ht="28" customHeight="1">
      <x:c r="A291" s="16" t="str">
        <x:v>БийскэнергоТеплоТранзит</x:v>
      </x:c>
      <x:c r="B291" s="16" t="str">
        <x:v>2000555026-W123</x:v>
      </x:c>
      <x:c r="C291" s="16" t="str">
        <x:v>ПЕРЕХОД К СТ20 76*3,5-57*3 ГОСТ17378-01</x:v>
      </x:c>
      <x:c r="D291" s="16" t="str">
        <x:v>Детали фасонные</x:v>
      </x:c>
      <x:c r="E291" s="16" t="str">
        <x:v>ШТ</x:v>
      </x:c>
      <x:c r="F291" s="25" t="n">
        <x:v>3</x:v>
      </x:c>
      <x:c r="G291" s="17" t="n">
        <x:v>13.725</x:v>
      </x:c>
      <x:c r="H291" s="17" t="n">
        <x:f>G291*F291</x:f>
        <x:v>41.175</x:v>
      </x:c>
      <x:c r="I291" s="26" t="str">
        <x:f>HYPERLINK("https://etp-aktiv.ru/catalog/materialy/truboprovody/2000555026-W123/","Открыть позицию")</x:f>
        <x:v>Открыть позицию</x:v>
      </x:c>
    </x:row>
    <x:row r="292" ht="28" customHeight="1">
      <x:c r="A292" s="16" t="str">
        <x:v>БийскэнергоТеплоТранзит</x:v>
      </x:c>
      <x:c r="B292" s="16" t="str">
        <x:v>2000555260-W123</x:v>
      </x:c>
      <x:c r="C292" s="16" t="str">
        <x:v>ТРОЙНИК 530*14*11-1,6 09Г2С ТС590.000-19</x:v>
      </x:c>
      <x:c r="D292" s="16" t="str">
        <x:v>Детали фасонные</x:v>
      </x:c>
      <x:c r="E292" s="16" t="str">
        <x:v>ШТ</x:v>
      </x:c>
      <x:c r="F292" s="25" t="n">
        <x:v>2</x:v>
      </x:c>
      <x:c r="G292" s="17" t="n">
        <x:v>4174.5716</x:v>
      </x:c>
      <x:c r="H292" s="17" t="n">
        <x:f>G292*F292</x:f>
        <x:v>8349.1432</x:v>
      </x:c>
      <x:c r="I292" s="26" t="str">
        <x:f>HYPERLINK("https://etp-aktiv.ru/catalog/materialy/truboprovody/2000555260-W123/","Открыть позицию")</x:f>
        <x:v>Открыть позицию</x:v>
      </x:c>
    </x:row>
    <x:row r="293" ht="28" customHeight="1">
      <x:c r="A293" s="16" t="str">
        <x:v>БийскэнергоТеплоТранзит</x:v>
      </x:c>
      <x:c r="B293" s="16" t="str">
        <x:v>2000996749-W123</x:v>
      </x:c>
      <x:c r="C293" s="16" t="str">
        <x:v>ТРОЙНИК СТ20 57*4-45*4 1-ППУ-ПЭ Г30732</x:v>
      </x:c>
      <x:c r="D293" s="16" t="str">
        <x:v>Труб/элем ТИ и Футер</x:v>
      </x:c>
      <x:c r="E293" s="16" t="str">
        <x:v>ШТ</x:v>
      </x:c>
      <x:c r="F293" s="25" t="n">
        <x:v>16</x:v>
      </x:c>
      <x:c r="G293" s="17" t="n">
        <x:v>6466</x:v>
      </x:c>
      <x:c r="H293" s="17" t="n">
        <x:f>G293*F293</x:f>
        <x:v>103456</x:v>
      </x:c>
      <x:c r="I293" s="26" t="str">
        <x:f>HYPERLINK("https://etp-aktiv.ru/catalog/materialy/truboprovody/2000996749-W123/","Открыть позицию")</x:f>
        <x:v>Открыть позицию</x:v>
      </x:c>
    </x:row>
    <x:row r="294" ht="28" customHeight="1">
      <x:c r="A294" s="16" t="str">
        <x:v>БийскэнергоТеплоТранзит</x:v>
      </x:c>
      <x:c r="B294" s="16" t="str">
        <x:v>2001024921-W123</x:v>
      </x:c>
      <x:c r="C294" s="16" t="str">
        <x:v>ТРУБА 17Г1С 720*9 1-ППУ-ПЭ-Б ГОСТ30732</x:v>
      </x:c>
      <x:c r="D294" s="16" t="str">
        <x:v>Труб/элем ТИ и Футер</x:v>
      </x:c>
      <x:c r="E294" s="16" t="str">
        <x:v>М</x:v>
      </x:c>
      <x:c r="F294" s="24" t="n">
        <x:v>7.5</x:v>
      </x:c>
      <x:c r="G294" s="17" t="n">
        <x:v>42998.9</x:v>
      </x:c>
      <x:c r="H294" s="17" t="n">
        <x:f>G294*F294</x:f>
        <x:v>322491.75</x:v>
      </x:c>
      <x:c r="I294" s="26" t="str">
        <x:f>HYPERLINK("https://etp-aktiv.ru/catalog/materialy/truboprovody/2001024921-W123/","Открыть позицию")</x:f>
        <x:v>Открыть позицию</x:v>
      </x:c>
    </x:row>
    <x:row r="295" ht="28" customHeight="1">
      <x:c r="A295" s="16" t="str">
        <x:v>БийскэнергоТеплоТранзит</x:v>
      </x:c>
      <x:c r="B295" s="16" t="str">
        <x:v>2001021161-W123</x:v>
      </x:c>
      <x:c r="C295" s="16" t="str">
        <x:v>ТРУБА 17Г1С 820*9 1-ППУ-ПЭ ГОСТ30732-20</x:v>
      </x:c>
      <x:c r="D295" s="16" t="str">
        <x:v>Труб/элем ТИ и Футер</x:v>
      </x:c>
      <x:c r="E295" s="16" t="str">
        <x:v>М</x:v>
      </x:c>
      <x:c r="F295" s="24" t="n">
        <x:v>45.68</x:v>
      </x:c>
      <x:c r="G295" s="17" t="n">
        <x:v>39993.112799999995</x:v>
      </x:c>
      <x:c r="H295" s="17" t="n">
        <x:f>G295*F295</x:f>
        <x:v>1826885.3927039998</x:v>
      </x:c>
      <x:c r="I295" s="26" t="str">
        <x:f>HYPERLINK("https://etp-aktiv.ru/catalog/materialy/truboprovody/2001021161-W123/","Открыть позицию")</x:f>
        <x:v>Открыть позицию</x:v>
      </x:c>
    </x:row>
    <x:row r="296" ht="28" customHeight="1">
      <x:c r="A296" s="16" t="str">
        <x:v>БийскэнергоТеплоТранзит</x:v>
      </x:c>
      <x:c r="B296" s="16" t="str">
        <x:v>2001025938-W123</x:v>
      </x:c>
      <x:c r="C296" s="16" t="str">
        <x:v>ТРУБА 17Г1С 820*9 1ППУ-ОЦ ГОСТ30732-2020</x:v>
      </x:c>
      <x:c r="D296" s="16" t="str">
        <x:v>Труб/элем ТИ и Футер</x:v>
      </x:c>
      <x:c r="E296" s="16" t="str">
        <x:v>ПМ</x:v>
      </x:c>
      <x:c r="F296" s="24" t="n">
        <x:v>11.34</x:v>
      </x:c>
      <x:c r="G296" s="17" t="n">
        <x:v>37057.7806</x:v>
      </x:c>
      <x:c r="H296" s="17" t="n">
        <x:f>G296*F296</x:f>
        <x:v>420235.232004</x:v>
      </x:c>
      <x:c r="I296" s="26" t="str">
        <x:f>HYPERLINK("https://etp-aktiv.ru/catalog/materialy/truboprovody/2001025938-W123/","Открыть позицию")</x:f>
        <x:v>Открыть позицию</x:v>
      </x:c>
    </x:row>
    <x:row r="297" ht="28" customHeight="1">
      <x:c r="A297" s="16" t="str">
        <x:v>БийскэнергоТеплоТранзит</x:v>
      </x:c>
      <x:c r="B297" s="16" t="str">
        <x:v>2000559609-W123</x:v>
      </x:c>
      <x:c r="C297" s="16" t="str">
        <x:v>ТРУБА 45*4 СТ20 8732 125-ППУ-ПЭ 30732</x:v>
      </x:c>
      <x:c r="D297" s="16" t="str">
        <x:v>Труб/элем ТИ и Футер</x:v>
      </x:c>
      <x:c r="E297" s="16" t="str">
        <x:v>М</x:v>
      </x:c>
      <x:c r="F297" s="24" t="n">
        <x:v>1.96</x:v>
      </x:c>
      <x:c r="G297" s="17" t="n">
        <x:v>583.1844</x:v>
      </x:c>
      <x:c r="H297" s="17" t="n">
        <x:f>G297*F297</x:f>
        <x:v>1143.041424</x:v>
      </x:c>
      <x:c r="I297" s="26" t="str">
        <x:f>HYPERLINK("https://etp-aktiv.ru/catalog/materialy/truboprovody/2000559609-W123/","Открыть позицию")</x:f>
        <x:v>Открыть позицию</x:v>
      </x:c>
    </x:row>
    <x:row r="298" ht="28" customHeight="1">
      <x:c r="A298" s="16" t="str">
        <x:v>БийскэнергоТеплоТранзит</x:v>
      </x:c>
      <x:c r="B298" s="16" t="str">
        <x:v>2000563597-W123</x:v>
      </x:c>
      <x:c r="C298" s="16" t="str">
        <x:v>ТРУБА 57*3,5 СТ20 2(140)ППУПЭ СОДК 30732</x:v>
      </x:c>
      <x:c r="D298" s="16" t="str">
        <x:v>Труб/элем ТИ и Футер</x:v>
      </x:c>
      <x:c r="E298" s="16" t="str">
        <x:v>ПМ</x:v>
      </x:c>
      <x:c r="F298" s="24" t="n">
        <x:v>82.84</x:v>
      </x:c>
      <x:c r="G298" s="17" t="n">
        <x:v>2082.4546</x:v>
      </x:c>
      <x:c r="H298" s="17" t="n">
        <x:f>G298*F298</x:f>
        <x:v>172510.539064</x:v>
      </x:c>
      <x:c r="I298" s="26" t="str">
        <x:f>HYPERLINK("https://etp-aktiv.ru/catalog/materialy/truboprovody/2000563597-W123/","Открыть позицию")</x:f>
        <x:v>Открыть позицию</x:v>
      </x:c>
    </x:row>
    <x:row r="299" ht="28" customHeight="1">
      <x:c r="A299" s="16" t="str">
        <x:v>БийскэнергоТеплоТранзит</x:v>
      </x:c>
      <x:c r="B299" s="16" t="str">
        <x:v>2000563600-W123</x:v>
      </x:c>
      <x:c r="C299" s="16" t="str">
        <x:v>ТРУБА 76*4 СТ20 2(160) ППУ-ПЭ СОДК 30732</x:v>
      </x:c>
      <x:c r="D299" s="16" t="str">
        <x:v>Труб/элем ТИ и Футер</x:v>
      </x:c>
      <x:c r="E299" s="16" t="str">
        <x:v>ПМ</x:v>
      </x:c>
      <x:c r="F299" s="25" t="n">
        <x:v>10</x:v>
      </x:c>
      <x:c r="G299" s="17" t="n">
        <x:v>929.6156</x:v>
      </x:c>
      <x:c r="H299" s="17" t="n">
        <x:f>G299*F299</x:f>
        <x:v>9296.155999999999</x:v>
      </x:c>
      <x:c r="I299" s="26" t="str">
        <x:f>HYPERLINK("https://etp-aktiv.ru/catalog/materialy/truboprovody/2000563600-W123/","Открыть позицию")</x:f>
        <x:v>Открыть позицию</x:v>
      </x:c>
    </x:row>
    <x:row r="300" ht="28" customHeight="1">
      <x:c r="A300" s="16" t="str">
        <x:v>БийскэнергоТеплоТранзит</x:v>
      </x:c>
      <x:c r="B300" s="16" t="str">
        <x:v>2000568498-W123</x:v>
      </x:c>
      <x:c r="C300" s="16" t="str">
        <x:v>ТРУБА 89*4,5 8731 В-20 ППМИ 45,5 56227</x:v>
      </x:c>
      <x:c r="D300" s="16" t="str">
        <x:v>Труб/элем ТИ и Футер</x:v>
      </x:c>
      <x:c r="E300" s="16" t="str">
        <x:v>ПМ</x:v>
      </x:c>
      <x:c r="F300" s="24" t="n">
        <x:v>6.82</x:v>
      </x:c>
      <x:c r="G300" s="17" t="n">
        <x:v>2290.5866</x:v>
      </x:c>
      <x:c r="H300" s="17" t="n">
        <x:f>G300*F300</x:f>
        <x:v>15621.800612000001</x:v>
      </x:c>
      <x:c r="I300" s="26" t="str">
        <x:f>HYPERLINK("https://etp-aktiv.ru/catalog/materialy/truboprovody/2000568498-W123/","Открыть позицию")</x:f>
        <x:v>Открыть позицию</x:v>
      </x:c>
    </x:row>
    <x:row r="301" ht="28" customHeight="1">
      <x:c r="A301" s="16" t="str">
        <x:v>БийскэнергоТеплоТранзит</x:v>
      </x:c>
      <x:c r="B301" s="16" t="str">
        <x:v>2000337032-W123</x:v>
      </x:c>
      <x:c r="C301" s="16" t="str">
        <x:v>ТРУБА ВОДОСТОЧНАЯ GL D90ММ L=3М</x:v>
      </x:c>
      <x:c r="D301" s="16" t="str">
        <x:v>Проч строит матер-ы</x:v>
      </x:c>
      <x:c r="E301" s="16" t="str">
        <x:v>ШТ</x:v>
      </x:c>
      <x:c r="F301" s="25" t="n">
        <x:v>1</x:v>
      </x:c>
      <x:c r="G301" s="17" t="n">
        <x:v>102.3214</x:v>
      </x:c>
      <x:c r="H301" s="17" t="n">
        <x:f>G301*F301</x:f>
        <x:v>102.3214</x:v>
      </x:c>
      <x:c r="I301" s="26" t="str">
        <x:f>HYPERLINK("https://etp-aktiv.ru/catalog/materialy/stroitelnye-materialy/2000337032-W123/","Открыть позицию")</x:f>
        <x:v>Открыть позицию</x:v>
      </x:c>
    </x:row>
    <x:row r="302" ht="28" customHeight="1">
      <x:c r="A302" s="16" t="str">
        <x:v>БийскэнергоТеплоТранзит</x:v>
      </x:c>
      <x:c r="B302" s="16" t="str">
        <x:v>2000582406-W123</x:v>
      </x:c>
      <x:c r="C302" s="16" t="str">
        <x:v>ТРУБА СТ 89*4-2-ППУ-ПЭ(180) ГОСТ30732-06</x:v>
      </x:c>
      <x:c r="D302" s="16" t="str">
        <x:v>Труб/элем ТИ и Футер</x:v>
      </x:c>
      <x:c r="E302" s="16" t="str">
        <x:v>М</x:v>
      </x:c>
      <x:c r="F302" s="24" t="n">
        <x:v>8.61</x:v>
      </x:c>
      <x:c r="G302" s="17" t="n">
        <x:v>421.8882</x:v>
      </x:c>
      <x:c r="H302" s="17" t="n">
        <x:f>G302*F302</x:f>
        <x:v>3632.4574019999995</x:v>
      </x:c>
      <x:c r="I302" s="26" t="str">
        <x:f>HYPERLINK("https://etp-aktiv.ru/catalog/materialy/truboprovody/2000582406-W123/","Открыть позицию")</x:f>
        <x:v>Открыть позицию</x:v>
      </x:c>
    </x:row>
    <x:row r="303" ht="28" customHeight="1">
      <x:c r="A303" s="16" t="str">
        <x:v>БийскэнергоТеплоТранзит</x:v>
      </x:c>
      <x:c r="B303" s="16" t="str">
        <x:v>2000568508-W123</x:v>
      </x:c>
      <x:c r="C303" s="16" t="str">
        <x:v>ТРУБА СТ(В-20) 108*5-2-ППУ-ПЭ(200) 30732</x:v>
      </x:c>
      <x:c r="D303" s="16" t="str">
        <x:v>Труб/элем ТИ и Футер</x:v>
      </x:c>
      <x:c r="E303" s="16" t="str">
        <x:v>М</x:v>
      </x:c>
      <x:c r="F303" s="24" t="n">
        <x:v>2.3</x:v>
      </x:c>
      <x:c r="G303" s="17" t="n">
        <x:v>1205.8724</x:v>
      </x:c>
      <x:c r="H303" s="17" t="n">
        <x:f>G303*F303</x:f>
        <x:v>2773.50652</x:v>
      </x:c>
      <x:c r="I303" s="26" t="str">
        <x:f>HYPERLINK("https://etp-aktiv.ru/catalog/materialy/truboprovody/2000568508-W123/","Открыть позицию")</x:f>
        <x:v>Открыть позицию</x:v>
      </x:c>
    </x:row>
    <x:row r="304" ht="28" customHeight="1">
      <x:c r="A304" s="16" t="str">
        <x:v>БийскэнергоТеплоТранзит</x:v>
      </x:c>
      <x:c r="B304" s="16" t="str">
        <x:v>2000175815-W123</x:v>
      </x:c>
      <x:c r="C304" s="16" t="str">
        <x:v>ТРУБА СТ17Г1С 1020*10 ГОСТ10706-80</x:v>
      </x:c>
      <x:c r="D304" s="16" t="str">
        <x:v>ТрубЧерСварБольшДиам</x:v>
      </x:c>
      <x:c r="E304" s="16" t="str">
        <x:v>Т</x:v>
      </x:c>
      <x:c r="F304" s="24" t="n">
        <x:v>2.858</x:v>
      </x:c>
      <x:c r="G304" s="17" t="n">
        <x:v>106704.42079999999</x:v>
      </x:c>
      <x:c r="H304" s="17" t="n">
        <x:f>G304*F304</x:f>
        <x:v>304961.2346464</x:v>
      </x:c>
      <x:c r="I304" s="26" t="str">
        <x:f>HYPERLINK("https://etp-aktiv.ru/catalog/materialy/truby-stalnye-i-polimernye/2000175815-W123/","Открыть позицию")</x:f>
        <x:v>Открыть позицию</x:v>
      </x:c>
    </x:row>
    <x:row r="305" ht="28" customHeight="1">
      <x:c r="A305" s="16" t="str">
        <x:v>БийскэнергоТеплоТранзит</x:v>
      </x:c>
      <x:c r="B305" s="16" t="str">
        <x:v>2000750927-W123</x:v>
      </x:c>
      <x:c r="C305" s="16" t="str">
        <x:v>ТРУБА СТ20 159*4,5-ППУ-ПЭ ГОСТ30732-2006</x:v>
      </x:c>
      <x:c r="D305" s="16" t="str">
        <x:v>Труб/элем ТИ и Футер</x:v>
      </x:c>
      <x:c r="E305" s="16" t="str">
        <x:v>ПМ</x:v>
      </x:c>
      <x:c r="F305" s="24" t="n">
        <x:v>3.524</x:v>
      </x:c>
      <x:c r="G305" s="17" t="n">
        <x:v>3783.5006</x:v>
      </x:c>
      <x:c r="H305" s="17" t="n">
        <x:f>G305*F305</x:f>
        <x:v>13333.0561144</x:v>
      </x:c>
      <x:c r="I305" s="26" t="str">
        <x:f>HYPERLINK("https://etp-aktiv.ru/catalog/materialy/truboprovody/2000750927-W123/","Открыть позицию")</x:f>
        <x:v>Открыть позицию</x:v>
      </x:c>
    </x:row>
    <x:row r="306" ht="28" customHeight="1">
      <x:c r="A306" s="16" t="str">
        <x:v>БийскэнергоТеплоТранзит</x:v>
      </x:c>
      <x:c r="B306" s="16" t="str">
        <x:v>2001008054-W123</x:v>
      </x:c>
      <x:c r="C306" s="16" t="str">
        <x:v>ТРУБА СТ20 219*7 1-ППУ-ПЭ ГОСТ30732-2020</x:v>
      </x:c>
      <x:c r="D306" s="16" t="str">
        <x:v>Труб/элем ТИ и Футер</x:v>
      </x:c>
      <x:c r="E306" s="16" t="str">
        <x:v>М</x:v>
      </x:c>
      <x:c r="F306" s="24" t="n">
        <x:v>16.62</x:v>
      </x:c>
      <x:c r="G306" s="17" t="n">
        <x:v>5827.94</x:v>
      </x:c>
      <x:c r="H306" s="17" t="n">
        <x:f>G306*F306</x:f>
        <x:v>96860.3628</x:v>
      </x:c>
      <x:c r="I306" s="26" t="str">
        <x:f>HYPERLINK("https://etp-aktiv.ru/catalog/materialy/truboprovody/2001008054-W123/","Открыть позицию")</x:f>
        <x:v>Открыть позицию</x:v>
      </x:c>
    </x:row>
    <x:row r="307" ht="28" customHeight="1">
      <x:c r="A307" s="16" t="str">
        <x:v>БийскэнергоТеплоТранзит</x:v>
      </x:c>
      <x:c r="B307" s="16" t="str">
        <x:v>2000750962-W123</x:v>
      </x:c>
      <x:c r="C307" s="16" t="str">
        <x:v>ТРУБА СТ20 25*2,5-ППУ-ПЭ ГОСТ30732-2006</x:v>
      </x:c>
      <x:c r="D307" s="16" t="str">
        <x:v>Труб/элем ТИ и Футер</x:v>
      </x:c>
      <x:c r="E307" s="16" t="str">
        <x:v>ПМ</x:v>
      </x:c>
      <x:c r="F307" s="25" t="n">
        <x:v>39</x:v>
      </x:c>
      <x:c r="G307" s="17" t="n">
        <x:v>394.16979999999995</x:v>
      </x:c>
      <x:c r="H307" s="17" t="n">
        <x:f>G307*F307</x:f>
        <x:v>15372.622199999998</x:v>
      </x:c>
      <x:c r="I307" s="26" t="str">
        <x:f>HYPERLINK("https://etp-aktiv.ru/catalog/materialy/truboprovody/2000750962-W123/","Открыть позицию")</x:f>
        <x:v>Открыть позицию</x:v>
      </x:c>
    </x:row>
    <x:row r="308" ht="28" customHeight="1">
      <x:c r="A308" s="16" t="str">
        <x:v>БийскэнергоТеплоТранзит</x:v>
      </x:c>
      <x:c r="B308" s="16" t="str">
        <x:v>2000966896-W123</x:v>
      </x:c>
      <x:c r="C308" s="16" t="str">
        <x:v>ТРУБА СТ20 273*7 2-ППУ-ПЭ ГОСТ30732-2020</x:v>
      </x:c>
      <x:c r="D308" s="16" t="str">
        <x:v>Труб/элем ТИ и Футер</x:v>
      </x:c>
      <x:c r="E308" s="16" t="str">
        <x:v>М</x:v>
      </x:c>
      <x:c r="F308" s="24" t="n">
        <x:v>30.6</x:v>
      </x:c>
      <x:c r="G308" s="17" t="n">
        <x:v>6935.7</x:v>
      </x:c>
      <x:c r="H308" s="17" t="n">
        <x:f>G308*F308</x:f>
        <x:v>212232.42</x:v>
      </x:c>
      <x:c r="I308" s="26" t="str">
        <x:f>HYPERLINK("https://etp-aktiv.ru/catalog/materialy/truboprovody/2000966896-W123/","Открыть позицию")</x:f>
        <x:v>Открыть позицию</x:v>
      </x:c>
    </x:row>
    <x:row r="309" ht="28" customHeight="1">
      <x:c r="A309" s="16" t="str">
        <x:v>БийскэнергоТеплоТранзит</x:v>
      </x:c>
      <x:c r="B309" s="16" t="str">
        <x:v>2000701965-W123</x:v>
      </x:c>
      <x:c r="C309" s="16" t="str">
        <x:v>ТРУБА СТ20 273*7-ППУ-ПЭ ОДК ГОСТ30732</x:v>
      </x:c>
      <x:c r="D309" s="16" t="str">
        <x:v>Труб/элем ТИ и Футер</x:v>
      </x:c>
      <x:c r="E309" s="16" t="str">
        <x:v>ПМ</x:v>
      </x:c>
      <x:c r="F309" s="24" t="n">
        <x:v>11.7</x:v>
      </x:c>
      <x:c r="G309" s="17" t="n">
        <x:v>6151.5572</x:v>
      </x:c>
      <x:c r="H309" s="17" t="n">
        <x:f>G309*F309</x:f>
        <x:v>71973.21923999999</x:v>
      </x:c>
      <x:c r="I309" s="26" t="str">
        <x:f>HYPERLINK("https://etp-aktiv.ru/catalog/materialy/truboprovody/2000701965-W123/","Открыть позицию")</x:f>
        <x:v>Открыть позицию</x:v>
      </x:c>
    </x:row>
    <x:row r="310" ht="28" customHeight="1">
      <x:c r="A310" s="16" t="str">
        <x:v>БийскэнергоТеплоТранзит</x:v>
      </x:c>
      <x:c r="B310" s="16" t="str">
        <x:v>2000750929-W123</x:v>
      </x:c>
      <x:c r="C310" s="16" t="str">
        <x:v>ТРУБА СТ20 32*3,2-ППУ-ПЭ ГОСТ30732-2006</x:v>
      </x:c>
      <x:c r="D310" s="16" t="str">
        <x:v>Труб/элем ТИ и Футер</x:v>
      </x:c>
      <x:c r="E310" s="16" t="str">
        <x:v>ПМ</x:v>
      </x:c>
      <x:c r="F310" s="24" t="n">
        <x:v>86.29</x:v>
      </x:c>
      <x:c r="G310" s="17" t="n">
        <x:v>1455.7772</x:v>
      </x:c>
      <x:c r="H310" s="17" t="n">
        <x:f>G310*F310</x:f>
        <x:v>125619.014588</x:v>
      </x:c>
      <x:c r="I310" s="26" t="str">
        <x:f>HYPERLINK("https://etp-aktiv.ru/catalog/materialy/truboprovody/2000750929-W123/","Открыть позицию")</x:f>
        <x:v>Открыть позицию</x:v>
      </x:c>
    </x:row>
    <x:row r="311" ht="28" customHeight="1">
      <x:c r="A311" s="16" t="str">
        <x:v>БийскэнергоТеплоТранзит</x:v>
      </x:c>
      <x:c r="B311" s="16" t="str">
        <x:v>2000560219-W123</x:v>
      </x:c>
      <x:c r="C311" s="16" t="str">
        <x:v>ТРУБА СТ20 32*4 ГОСТ8733-74</x:v>
      </x:c>
      <x:c r="D311" s="16" t="str">
        <x:v>Трубы черные бесшов</x:v>
      </x:c>
      <x:c r="E311" s="16" t="str">
        <x:v>Т</x:v>
      </x:c>
      <x:c r="F311" s="30" t="n">
        <x:v>0.026</x:v>
      </x:c>
      <x:c r="G311" s="17" t="n">
        <x:v>79208.2926</x:v>
      </x:c>
      <x:c r="H311" s="17" t="n">
        <x:f>G311*F311</x:f>
        <x:v>2059.4156076</x:v>
      </x:c>
      <x:c r="I311" s="26" t="str">
        <x:f>HYPERLINK("https://etp-aktiv.ru/catalog/materialy/truby-stalnye-i-polimernye/2000560219-W123/","Открыть позицию")</x:f>
        <x:v>Открыть позицию</x:v>
      </x:c>
    </x:row>
    <x:row r="312" ht="28" customHeight="1">
      <x:c r="A312" s="16" t="str">
        <x:v>БийскэнергоТеплоТранзит</x:v>
      </x:c>
      <x:c r="B312" s="16" t="str">
        <x:v>2000568506-W123</x:v>
      </x:c>
      <x:c r="C312" s="16" t="str">
        <x:v>ТРУБА СТ20 38*3(8731)-1-ППУ-ПЭ/125 30732</x:v>
      </x:c>
      <x:c r="D312" s="16" t="str">
        <x:v>Труб/элем ТИ и Футер</x:v>
      </x:c>
      <x:c r="E312" s="16" t="str">
        <x:v>М</x:v>
      </x:c>
      <x:c r="F312" s="25" t="n">
        <x:v>40</x:v>
      </x:c>
      <x:c r="G312" s="17" t="n">
        <x:v>1273.4848</x:v>
      </x:c>
      <x:c r="H312" s="17" t="n">
        <x:f>G312*F312</x:f>
        <x:v>50939.392</x:v>
      </x:c>
      <x:c r="I312" s="26" t="str">
        <x:f>HYPERLINK("https://etp-aktiv.ru/catalog/materialy/truboprovody/2000568506-W123/","Открыть позицию")</x:f>
        <x:v>Открыть позицию</x:v>
      </x:c>
    </x:row>
    <x:row r="313" ht="28" customHeight="1">
      <x:c r="A313" s="16" t="str">
        <x:v>БийскэнергоТеплоТранзит</x:v>
      </x:c>
      <x:c r="B313" s="16" t="str">
        <x:v>2000557808-W123</x:v>
      </x:c>
      <x:c r="C313" s="16" t="str">
        <x:v>ТРУБА СТ20 42*4 ГОСТ8733-74</x:v>
      </x:c>
      <x:c r="D313" s="16" t="str">
        <x:v>Трубы черные бесшов</x:v>
      </x:c>
      <x:c r="E313" s="16" t="str">
        <x:v>Т</x:v>
      </x:c>
      <x:c r="F313" s="30" t="n">
        <x:v>0.007</x:v>
      </x:c>
      <x:c r="G313" s="17" t="n">
        <x:v>61064.489199999996</x:v>
      </x:c>
      <x:c r="H313" s="17" t="n">
        <x:f>G313*F313</x:f>
        <x:v>427.4514244</x:v>
      </x:c>
      <x:c r="I313" s="26" t="str">
        <x:f>HYPERLINK("https://etp-aktiv.ru/catalog/materialy/truby-stalnye-i-polimernye/2000557808-W123/","Открыть позицию")</x:f>
        <x:v>Открыть позицию</x:v>
      </x:c>
    </x:row>
    <x:row r="314" ht="28" customHeight="1">
      <x:c r="A314" s="16" t="str">
        <x:v>БийскэнергоТеплоТранзит</x:v>
      </x:c>
      <x:c r="B314" s="16" t="str">
        <x:v>2000750960-W123</x:v>
      </x:c>
      <x:c r="C314" s="16" t="str">
        <x:v>ТРУБА СТ20 45*3-ППУ-ПЭ ГОСТ30732-2006</x:v>
      </x:c>
      <x:c r="D314" s="16" t="str">
        <x:v>Труб/элем ТИ и Футер</x:v>
      </x:c>
      <x:c r="E314" s="16" t="str">
        <x:v>ПМ</x:v>
      </x:c>
      <x:c r="F314" s="24" t="n">
        <x:v>32.15</x:v>
      </x:c>
      <x:c r="G314" s="17" t="n">
        <x:v>452.33939999999996</x:v>
      </x:c>
      <x:c r="H314" s="17" t="n">
        <x:f>G314*F314</x:f>
        <x:v>14542.711709999998</x:v>
      </x:c>
      <x:c r="I314" s="26" t="str">
        <x:f>HYPERLINK("https://etp-aktiv.ru/catalog/materialy/truboprovody/2000750960-W123/","Открыть позицию")</x:f>
        <x:v>Открыть позицию</x:v>
      </x:c>
    </x:row>
    <x:row r="315" ht="28" customHeight="1">
      <x:c r="A315" s="16" t="str">
        <x:v>БийскэнергоТеплоТранзит</x:v>
      </x:c>
      <x:c r="B315" s="16" t="str">
        <x:v>2000703557-W123</x:v>
      </x:c>
      <x:c r="C315" s="16" t="str">
        <x:v>ТРУБА СТ20 76*3-2-ППУ-ПЭ ГОСТ30732-2006</x:v>
      </x:c>
      <x:c r="D315" s="16" t="str">
        <x:v>Труб/элем ТИ и Футер</x:v>
      </x:c>
      <x:c r="E315" s="16" t="str">
        <x:v>М</x:v>
      </x:c>
      <x:c r="F315" s="24" t="n">
        <x:v>58.72</x:v>
      </x:c>
      <x:c r="G315" s="17" t="n">
        <x:v>398.94</x:v>
      </x:c>
      <x:c r="H315" s="17" t="n">
        <x:f>G315*F315</x:f>
        <x:v>23425.7568</x:v>
      </x:c>
      <x:c r="I315" s="26" t="str">
        <x:f>HYPERLINK("https://etp-aktiv.ru/catalog/materialy/truboprovody/2000703557-W123/","Открыть позицию")</x:f>
        <x:v>Открыть позицию</x:v>
      </x:c>
    </x:row>
    <x:row r="316" ht="28" customHeight="1">
      <x:c r="A316" s="16" t="str">
        <x:v>БийскэнергоТеплоТранзит</x:v>
      </x:c>
      <x:c r="B316" s="16" t="str">
        <x:v>2000560561-W123</x:v>
      </x:c>
      <x:c r="C316" s="16" t="str">
        <x:v>ТРУБА СТ3СП5 1020*10 ГОСТ20295-85</x:v>
      </x:c>
      <x:c r="D316" s="16" t="str">
        <x:v>ТрубЧерСварБольшДиам</x:v>
      </x:c>
      <x:c r="E316" s="16" t="str">
        <x:v>Т</x:v>
      </x:c>
      <x:c r="F316" s="30" t="n">
        <x:v>0.028</x:v>
      </x:c>
      <x:c r="G316" s="17" t="n">
        <x:v>16675.875</x:v>
      </x:c>
      <x:c r="H316" s="17" t="n">
        <x:f>G316*F316</x:f>
        <x:v>466.9245</x:v>
      </x:c>
      <x:c r="I316" s="26" t="str">
        <x:f>HYPERLINK("https://etp-aktiv.ru/catalog/materialy/truby-stalnye-i-polimernye/2000560561-W123/","Открыть позицию")</x:f>
        <x:v>Открыть позицию</x:v>
      </x:c>
    </x:row>
    <x:row r="317" ht="28" customHeight="1">
      <x:c r="A317" s="16" t="str">
        <x:v>БийскэнергоТеплоТранзит</x:v>
      </x:c>
      <x:c r="B317" s="16" t="str">
        <x:v>2000560562-W123</x:v>
      </x:c>
      <x:c r="C317" s="16" t="str">
        <x:v>ТРУБА ТИП 3 17Г1С-У 1020*14 К52 Г20295</x:v>
      </x:c>
      <x:c r="D317" s="16" t="str">
        <x:v>ТрубЧерСварБольшДиам</x:v>
      </x:c>
      <x:c r="E317" s="16" t="str">
        <x:v>Т</x:v>
      </x:c>
      <x:c r="F317" s="24" t="n">
        <x:v>5.832</x:v>
      </x:c>
      <x:c r="G317" s="17" t="n">
        <x:v>22234.5</x:v>
      </x:c>
      <x:c r="H317" s="17" t="n">
        <x:f>G317*F317</x:f>
        <x:v>129671.60399999999</x:v>
      </x:c>
      <x:c r="I317" s="26" t="str">
        <x:f>HYPERLINK("https://etp-aktiv.ru/catalog/materialy/truby-stalnye-i-polimernye/2000560562-W123/","Открыть позицию")</x:f>
        <x:v>Открыть позицию</x:v>
      </x:c>
    </x:row>
    <x:row r="318" ht="28" customHeight="1">
      <x:c r="A318" s="16" t="str">
        <x:v>БийскэнергоТеплоТранзит</x:v>
      </x:c>
      <x:c r="B318" s="16" t="str">
        <x:v>2000881572-W123</x:v>
      </x:c>
      <x:c r="C318" s="16" t="str">
        <x:v>ТРУБА Э/С СТ20 426*7 ГОСТ10705-80</x:v>
      </x:c>
      <x:c r="D318" s="16" t="str">
        <x:v>ТрбЧерСварМалСрдДиам</x:v>
      </x:c>
      <x:c r="E318" s="16" t="str">
        <x:v>Т</x:v>
      </x:c>
      <x:c r="F318" s="30" t="n">
        <x:v>0.647</x:v>
      </x:c>
      <x:c r="G318" s="17" t="n">
        <x:v>100339.8028</x:v>
      </x:c>
      <x:c r="H318" s="17" t="n">
        <x:f>G318*F318</x:f>
        <x:v>64919.852411600004</x:v>
      </x:c>
      <x:c r="I318" s="26" t="str">
        <x:f>HYPERLINK("https://etp-aktiv.ru/catalog/materialy/truby-stalnye-i-polimernye/2000881572-W123/","Открыть позицию")</x:f>
        <x:v>Открыть позицию</x:v>
      </x:c>
    </x:row>
    <x:row r="319" ht="28" customHeight="1">
      <x:c r="A319" s="16" t="str">
        <x:v>БийскэнергоТеплоТранзит</x:v>
      </x:c>
      <x:c r="B319" s="16" t="str">
        <x:v>2000895181-W123</x:v>
      </x:c>
      <x:c r="C319" s="16" t="str">
        <x:v>УСТРОЙСТВО ЗАПОРНОЕ ДЗУ-1</x:v>
      </x:c>
      <x:c r="D319" s="16" t="str">
        <x:v>Труб/элем ТИ и Футер</x:v>
      </x:c>
      <x:c r="E319" s="16" t="str">
        <x:v>ШТ</x:v>
      </x:c>
      <x:c r="F319" s="25" t="n">
        <x:v>21</x:v>
      </x:c>
      <x:c r="G319" s="17" t="n">
        <x:v>5087.522</x:v>
      </x:c>
      <x:c r="H319" s="17" t="n">
        <x:f>G319*F319</x:f>
        <x:v>106837.962</x:v>
      </x:c>
      <x:c r="I319" s="26" t="str">
        <x:f>HYPERLINK("https://etp-aktiv.ru/catalog/materialy/truboprovody/2000895181-W123/","Открыть позицию")</x:f>
        <x:v>Открыть позицию</x:v>
      </x:c>
    </x:row>
    <x:row r="320" ht="28" customHeight="1">
      <x:c r="A320" s="16" t="str">
        <x:v>БийскэнергоТеплоТранзит</x:v>
      </x:c>
      <x:c r="B320" s="16" t="str">
        <x:v>2000778413-W123</x:v>
      </x:c>
      <x:c r="C320" s="16" t="str">
        <x:v>ФИЛЬТР МУФТОВЫЙ СЕТЧАТ FVR 065B8235 DN15</x:v>
      </x:c>
      <x:c r="D320" s="16" t="str">
        <x:v>Прочая арматура</x:v>
      </x:c>
      <x:c r="E320" s="16" t="str">
        <x:v>ШТ</x:v>
      </x:c>
      <x:c r="F320" s="25" t="n">
        <x:v>2</x:v>
      </x:c>
      <x:c r="G320" s="17" t="n">
        <x:v>98.82</x:v>
      </x:c>
      <x:c r="H320" s="17" t="n">
        <x:f>G320*F320</x:f>
        <x:v>197.64</x:v>
      </x:c>
      <x:c r="I320" s="26" t="str">
        <x:f>HYPERLINK("https://etp-aktiv.ru/catalog/materialy/truboprovodnaya-armatura-i-komplektuyushchie/2000778413-W123/","Открыть позицию")</x:f>
        <x:v>Открыть позицию</x:v>
      </x:c>
    </x:row>
    <x:row r="321" ht="28" customHeight="1">
      <x:c r="A321" s="16" t="str">
        <x:v>БийскэнергоТеплоТранзит</x:v>
      </x:c>
      <x:c r="B321" s="16" t="str">
        <x:v>2000568329-W123</x:v>
      </x:c>
      <x:c r="C321" s="16" t="str">
        <x:v>ШТУЦЕР СТ20 108*10-530 L=0,1 (ПО ТЗ/ЭСК)</x:v>
      </x:c>
      <x:c r="D321" s="16" t="str">
        <x:v>Детали фасонные</x:v>
      </x:c>
      <x:c r="E321" s="16" t="str">
        <x:v>ШТ</x:v>
      </x:c>
      <x:c r="F321" s="25" t="n">
        <x:v>2</x:v>
      </x:c>
      <x:c r="G321" s="17" t="n">
        <x:v>1429.6936</x:v>
      </x:c>
      <x:c r="H321" s="17" t="n">
        <x:f>G321*F321</x:f>
        <x:v>2859.3872</x:v>
      </x:c>
      <x:c r="I321" s="26" t="str">
        <x:f>HYPERLINK("https://etp-aktiv.ru/catalog/materialy/truboprovody/2000568329-W123/","Открыть позицию")</x:f>
        <x:v>Открыть позицию</x:v>
      </x:c>
    </x:row>
    <x:row r="322" ht="28" customHeight="1">
      <x:c r="A322" s="16" t="str">
        <x:v>БийскэнергоТеплоТранзит</x:v>
      </x:c>
      <x:c r="B322" s="16" t="str">
        <x:v>2000568344-W123</x:v>
      </x:c>
      <x:c r="C322" s="16" t="str">
        <x:v>ШТУЦЕР СТ20 159*10-530 L=0,1 (ПО ТЗ/ЭСК)</x:v>
      </x:c>
      <x:c r="D322" s="16" t="str">
        <x:v>Детали фасонные</x:v>
      </x:c>
      <x:c r="E322" s="16" t="str">
        <x:v>ШТ</x:v>
      </x:c>
      <x:c r="F322" s="25" t="n">
        <x:v>2</x:v>
      </x:c>
      <x:c r="G322" s="17" t="n">
        <x:v>771.6134000000001</x:v>
      </x:c>
      <x:c r="H322" s="17" t="n">
        <x:f>G322*F322</x:f>
        <x:v>1543.2268000000001</x:v>
      </x:c>
      <x:c r="I322" s="26" t="str">
        <x:f>HYPERLINK("https://etp-aktiv.ru/catalog/materialy/truboprovody/2000568344-W123/","Открыть позицию")</x:f>
        <x:v>Открыть позицию</x:v>
      </x:c>
    </x:row>
    <x:row r="323" ht="28" customHeight="1">
      <x:c r="A323" s="16" t="str">
        <x:v>БийскэнергоТеплоТранзит</x:v>
      </x:c>
      <x:c r="B323" s="16" t="str">
        <x:v>2000555365-W123</x:v>
      </x:c>
      <x:c r="C323" s="16" t="str">
        <x:v>ШТУЦЕР СТ20 22*4-45 (ПО ТЗ/ЭСКИЗУ)</x:v>
      </x:c>
      <x:c r="D323" s="16" t="str">
        <x:v>Детали фасонные</x:v>
      </x:c>
      <x:c r="E323" s="16" t="str">
        <x:v>ШТ</x:v>
      </x:c>
      <x:c r="F323" s="25" t="n">
        <x:v>6</x:v>
      </x:c>
      <x:c r="G323" s="17" t="n">
        <x:v>116.754</x:v>
      </x:c>
      <x:c r="H323" s="17" t="n">
        <x:f>G323*F323</x:f>
        <x:v>700.524</x:v>
      </x:c>
      <x:c r="I323" s="26" t="str">
        <x:f>HYPERLINK("https://etp-aktiv.ru/catalog/materialy/truboprovody/2000555365-W123/","Открыть позицию")</x:f>
        <x:v>Открыть позицию</x:v>
      </x:c>
    </x:row>
    <x:row r="324" ht="28" customHeight="1">
      <x:c r="A324" s="16" t="str">
        <x:v>БийскэнергоТеплоТранзит</x:v>
      </x:c>
      <x:c r="B324" s="16" t="str">
        <x:v>2000586753-W123</x:v>
      </x:c>
      <x:c r="C324" s="16" t="str">
        <x:v>ШТУЦЕР СТ20 273*8-325*8 ТС-592-160</x:v>
      </x:c>
      <x:c r="D324" s="16" t="str">
        <x:v>Детали фасонные</x:v>
      </x:c>
      <x:c r="E324" s="16" t="str">
        <x:v>ШТ</x:v>
      </x:c>
      <x:c r="F324" s="25" t="n">
        <x:v>2</x:v>
      </x:c>
      <x:c r="G324" s="17" t="n">
        <x:v>926.9559999999999</x:v>
      </x:c>
      <x:c r="H324" s="17" t="n">
        <x:f>G324*F324</x:f>
        <x:v>1853.9119999999998</x:v>
      </x:c>
      <x:c r="I324" s="26" t="str">
        <x:f>HYPERLINK("https://etp-aktiv.ru/catalog/materialy/truboprovody/2000586753-W123/","Открыть позицию")</x:f>
        <x:v>Открыть позицию</x:v>
      </x:c>
    </x:row>
    <x:row r="325" ht="28" customHeight="1">
      <x:c r="A325" s="16" t="str">
        <x:v>БийскэнергоТеплоТранзит</x:v>
      </x:c>
      <x:c r="B325" s="16" t="str">
        <x:v>2000555394-W123</x:v>
      </x:c>
      <x:c r="C325" s="16" t="str">
        <x:v>ШТУЦЕР СТ20 32*3,5-45 (ПО ТЗ/ЭСКИЗУ)</x:v>
      </x:c>
      <x:c r="D325" s="16" t="str">
        <x:v>Детали фасонные</x:v>
      </x:c>
      <x:c r="E325" s="16" t="str">
        <x:v>ШТ</x:v>
      </x:c>
      <x:c r="F325" s="25" t="n">
        <x:v>2</x:v>
      </x:c>
      <x:c r="G325" s="17" t="n">
        <x:v>126.4042</x:v>
      </x:c>
      <x:c r="H325" s="17" t="n">
        <x:f>G325*F325</x:f>
        <x:v>252.8084</x:v>
      </x:c>
      <x:c r="I325" s="26" t="str">
        <x:f>HYPERLINK("https://etp-aktiv.ru/catalog/materialy/truboprovody/2000555394-W123/","Открыть позицию")</x:f>
        <x:v>Открыть позицию</x:v>
      </x:c>
    </x:row>
    <x:row r="326" ht="28" customHeight="1">
      <x:c r="A326" s="16" t="str">
        <x:v>БийскэнергоТеплоТранзит</x:v>
      </x:c>
      <x:c r="B326" s="16" t="str">
        <x:v>2000555395-W123</x:v>
      </x:c>
      <x:c r="C326" s="16" t="str">
        <x:v>ШТУЦЕР СТ20 32*4-45 (ПО ТЗ/ЭСКИЗУ)</x:v>
      </x:c>
      <x:c r="D326" s="16" t="str">
        <x:v>Детали фасонные</x:v>
      </x:c>
      <x:c r="E326" s="16" t="str">
        <x:v>ШТ</x:v>
      </x:c>
      <x:c r="F326" s="25" t="n">
        <x:v>6</x:v>
      </x:c>
      <x:c r="G326" s="17" t="n">
        <x:v>128.2952</x:v>
      </x:c>
      <x:c r="H326" s="17" t="n">
        <x:f>G326*F326</x:f>
        <x:v>769.7711999999999</x:v>
      </x:c>
      <x:c r="I326" s="26" t="str">
        <x:f>HYPERLINK("https://etp-aktiv.ru/catalog/materialy/truboprovody/2000555395-W123/","Открыть позицию")</x:f>
        <x:v>Открыть позицию</x:v>
      </x:c>
    </x:row>
    <x:row r="327" ht="28" customHeight="1">
      <x:c r="A327" s="16" t="str">
        <x:v>БийскэнергоТеплоТранзит</x:v>
      </x:c>
      <x:c r="B327" s="16" t="str">
        <x:v>2000555422-W123</x:v>
      </x:c>
      <x:c r="C327" s="16" t="str">
        <x:v>ШТУЦЕР СТ20 45*8-273 (ПО ТЗ/ЭСКИЗУ)</x:v>
      </x:c>
      <x:c r="D327" s="16" t="str">
        <x:v>Детали фасонные</x:v>
      </x:c>
      <x:c r="E327" s="16" t="str">
        <x:v>ШТ</x:v>
      </x:c>
      <x:c r="F327" s="25" t="n">
        <x:v>2</x:v>
      </x:c>
      <x:c r="G327" s="17" t="n">
        <x:v>765.3792</x:v>
      </x:c>
      <x:c r="H327" s="17" t="n">
        <x:f>G327*F327</x:f>
        <x:v>1530.7584</x:v>
      </x:c>
      <x:c r="I327" s="26" t="str">
        <x:f>HYPERLINK("https://etp-aktiv.ru/catalog/materialy/truboprovody/2000555422-W123/","Открыть позицию")</x:f>
        <x:v>Открыть позицию</x:v>
      </x:c>
    </x:row>
    <x:row r="328" ht="28" customHeight="1">
      <x:c r="A328" s="16" t="str">
        <x:v>БийскэнергоТеплоТранзит</x:v>
      </x:c>
      <x:c r="B328" s="16" t="str">
        <x:v>2000555447-W123</x:v>
      </x:c>
      <x:c r="C328" s="16" t="str">
        <x:v>ШТУЦЕР СТ20 89*11-720 (ПО ТЗ/ЭСКИЗУ)</x:v>
      </x:c>
      <x:c r="D328" s="16" t="str">
        <x:v>Детали фасонные</x:v>
      </x:c>
      <x:c r="E328" s="16" t="str">
        <x:v>ШТ</x:v>
      </x:c>
      <x:c r="F328" s="25" t="n">
        <x:v>2</x:v>
      </x:c>
      <x:c r="G328" s="17" t="n">
        <x:v>222.9672</x:v>
      </x:c>
      <x:c r="H328" s="17" t="n">
        <x:f>G328*F328</x:f>
        <x:v>445.9344</x:v>
      </x:c>
      <x:c r="I328" s="26" t="str">
        <x:f>HYPERLINK("https://etp-aktiv.ru/catalog/materialy/truboprovody/2000555447-W123/","Открыть позицию")</x:f>
        <x:v>Открыть позицию</x:v>
      </x:c>
    </x:row>
    <x:row r="329" ht="28" customHeight="1">
      <x:c r="A329" s="16" t="str">
        <x:v>БийскэнергоТеплоТранзит</x:v>
      </x:c>
      <x:c r="B329" s="16" t="str">
        <x:v>2000559674-W123</x:v>
      </x:c>
      <x:c r="C329" s="16" t="str">
        <x:v>ЭЛЕМЕНТ КОНЦ СТ 108-2-ППУ-ПЭ ГОСТ30732</x:v>
      </x:c>
      <x:c r="D329" s="16" t="str">
        <x:v>Труб/элем ТИ и Футер</x:v>
      </x:c>
      <x:c r="E329" s="16" t="str">
        <x:v>ШТ</x:v>
      </x:c>
      <x:c r="F329" s="25" t="n">
        <x:v>2</x:v>
      </x:c>
      <x:c r="G329" s="17" t="n">
        <x:v>5649.576</x:v>
      </x:c>
      <x:c r="H329" s="17" t="n">
        <x:f>G329*F329</x:f>
        <x:v>11299.152</x:v>
      </x:c>
      <x:c r="I329" s="26" t="str">
        <x:f>HYPERLINK("https://etp-aktiv.ru/catalog/materialy/truboprovody/2000559674-W123/","Открыть позицию")</x:f>
        <x:v>Открыть позицию</x:v>
      </x:c>
    </x:row>
    <x:row r="330" ht="28" customHeight="1">
      <x:c r="A330" s="16" t="str">
        <x:v>БийскэнергоТеплоТранзит</x:v>
      </x:c>
      <x:c r="B330" s="16" t="str">
        <x:v>2000559692-W123</x:v>
      </x:c>
      <x:c r="C330" s="16" t="str">
        <x:v>ЭЛЕМЕНТ КОНЦ СТ 89-2-ППУ-ПЭ ГОСТ30732</x:v>
      </x:c>
      <x:c r="D330" s="16" t="str">
        <x:v>Труб/элем ТИ и Футер</x:v>
      </x:c>
      <x:c r="E330" s="16" t="str">
        <x:v>ШТ</x:v>
      </x:c>
      <x:c r="F330" s="25" t="n">
        <x:v>2</x:v>
      </x:c>
      <x:c r="G330" s="17" t="n">
        <x:v>1572.6288</x:v>
      </x:c>
      <x:c r="H330" s="17" t="n">
        <x:f>G330*F330</x:f>
        <x:v>3145.2576</x:v>
      </x:c>
      <x:c r="I330" s="26" t="str">
        <x:f>HYPERLINK("https://etp-aktiv.ru/catalog/materialy/truboprovody/2000559692-W123/","Открыть позицию")</x:f>
        <x:v>Открыть позицию</x:v>
      </x:c>
    </x:row>
    <x:row r="331" ht="28" customHeight="1">
      <x:c r="A331" s="16" t="str">
        <x:v>БийскэнергоТеплоТранзит</x:v>
      </x:c>
      <x:c r="B331" s="16" t="str">
        <x:v>2001039063-W123</x:v>
      </x:c>
      <x:c r="C331" s="16" t="str">
        <x:v>ЭЛЕМЕНТ КОНЦ СТ20 219*7 1-ППУ-ПЭ Г30732</x:v>
      </x:c>
      <x:c r="D331" s="16" t="str">
        <x:v>Труб/элем ТИ и Футер</x:v>
      </x:c>
      <x:c r="E331" s="16" t="str">
        <x:v>ШТ</x:v>
      </x:c>
      <x:c r="F331" s="25" t="n">
        <x:v>10</x:v>
      </x:c>
      <x:c r="G331" s="17" t="n">
        <x:v>19529.1378</x:v>
      </x:c>
      <x:c r="H331" s="17" t="n">
        <x:f>G331*F331</x:f>
        <x:v>195291.378</x:v>
      </x:c>
      <x:c r="I331" s="26" t="str">
        <x:f>HYPERLINK("https://etp-aktiv.ru/catalog/materialy/truboprovody/2001039063-W123/","Открыть позицию")</x:f>
        <x:v>Открыть позицию</x:v>
      </x:c>
    </x:row>
    <x:row r="332" ht="28" customHeight="1">
      <x:c r="A332" s="16" t="str">
        <x:v>БийскэнергоТеплоТранзит</x:v>
      </x:c>
      <x:c r="B332" s="16" t="str">
        <x:v>2000624125-W123</x:v>
      </x:c>
      <x:c r="C332" s="16" t="str">
        <x:v>ЭЛЕМЕНТ КОНЦЕВОЙ СТ219*6-2-ППУ-ПЭ-200-3М</x:v>
      </x:c>
      <x:c r="D332" s="16" t="str">
        <x:v>Труб/элем ТИ и Футер</x:v>
      </x:c>
      <x:c r="E332" s="16" t="str">
        <x:v>ШТ</x:v>
      </x:c>
      <x:c r="F332" s="25" t="n">
        <x:v>2</x:v>
      </x:c>
      <x:c r="G332" s="17" t="n">
        <x:v>31481.221599999997</x:v>
      </x:c>
      <x:c r="H332" s="17" t="n">
        <x:f>G332*F332</x:f>
        <x:v>62962.443199999994</x:v>
      </x:c>
      <x:c r="I332" s="26" t="str">
        <x:f>HYPERLINK("https://etp-aktiv.ru/catalog/materialy/truboprovody/2000624125-W123/","Открыть позицию")</x:f>
        <x:v>Открыть позицию</x:v>
      </x:c>
    </x:row>
    <x:row r="333" ht="28" customHeight="1">
      <x:c r="A333" s="16" t="str">
        <x:v>БийскэнергоТеплоТранзит</x:v>
      </x:c>
      <x:c r="B333" s="16" t="str">
        <x:v>2000581900-W123</x:v>
      </x:c>
      <x:c r="C333" s="16" t="str">
        <x:v>ЭЛЕМЕНТ КОНЦЕВОЙ СТ820-1-ППУ-ПЭ-650-ЗМКТ</x:v>
      </x:c>
      <x:c r="D333" s="16" t="str">
        <x:v>Труб/элем ТИ и Футер</x:v>
      </x:c>
      <x:c r="E333" s="16" t="str">
        <x:v>ШТ</x:v>
      </x:c>
      <x:c r="F333" s="25" t="n">
        <x:v>2</x:v>
      </x:c>
      <x:c r="G333" s="17" t="n">
        <x:v>119073.0126</x:v>
      </x:c>
      <x:c r="H333" s="17" t="n">
        <x:f>G333*F333</x:f>
        <x:v>238146.0252</x:v>
      </x:c>
      <x:c r="I333" s="26" t="str">
        <x:f>HYPERLINK("https://etp-aktiv.ru/catalog/materialy/truboprovody/2000581900-W123/","Открыть позицию")</x:f>
        <x:v>Открыть позицию</x:v>
      </x:c>
    </x:row>
    <x:row r="334" ht="28" customHeight="1">
      <x:c r="A334" s="16" t="str">
        <x:v>БийскэнергоТеплоТранзит</x:v>
      </x:c>
      <x:c r="B334" s="16" t="str">
        <x:v>2000559700-W123</x:v>
      </x:c>
      <x:c r="C334" s="16" t="str">
        <x:v>ЭЛЕМЕНТ СТ 38-1-ППУ-ПЭ ГОСТ30732-2006</x:v>
      </x:c>
      <x:c r="D334" s="16" t="str">
        <x:v>Труб/элем ТИ и Футер</x:v>
      </x:c>
      <x:c r="E334" s="16" t="str">
        <x:v>ШТ</x:v>
      </x:c>
      <x:c r="F334" s="25" t="n">
        <x:v>2</x:v>
      </x:c>
      <x:c r="G334" s="17" t="n">
        <x:v>2962.8676</x:v>
      </x:c>
      <x:c r="H334" s="17" t="n">
        <x:f>G334*F334</x:f>
        <x:v>5925.7352</x:v>
      </x:c>
      <x:c r="I334" s="26" t="str">
        <x:f>HYPERLINK("https://etp-aktiv.ru/catalog/materialy/truboprovody/2000559700-W123/","Открыть позицию")</x:f>
        <x:v>Открыть позицию</x:v>
      </x:c>
    </x:row>
    <x:row r="335" ht="28" customHeight="1">
      <x:c r="A335" s="16" t="str">
        <x:v>БийскэнергоТеплоТранзит</x:v>
      </x:c>
      <x:c r="B335" s="16" t="str">
        <x:v>2000559691-W123</x:v>
      </x:c>
      <x:c r="C335" s="16" t="str">
        <x:v>ЭЛЕМЕНТ СТ 89-1-ППУ-ПЭ ГОСТ30732</x:v>
      </x:c>
      <x:c r="D335" s="16" t="str">
        <x:v>Труб/элем ТИ и Футер</x:v>
      </x:c>
      <x:c r="E335" s="16" t="str">
        <x:v>ШТ</x:v>
      </x:c>
      <x:c r="F335" s="25" t="n">
        <x:v>4</x:v>
      </x:c>
      <x:c r="G335" s="17" t="n">
        <x:v>1560.6728</x:v>
      </x:c>
      <x:c r="H335" s="17" t="n">
        <x:f>G335*F335</x:f>
        <x:v>6242.6912</x:v>
      </x:c>
      <x:c r="I335" s="26" t="str">
        <x:f>HYPERLINK("https://etp-aktiv.ru/catalog/materialy/truboprovody/2000559691-W123/","Открыть позицию")</x:f>
        <x:v>Открыть позицию</x:v>
      </x:c>
    </x:row>
    <x:row r="336" ht="28" customHeight="1">
      <x:c r="A336" s="16" t="str">
        <x:v>Рубцовский ТЭК</x:v>
      </x:c>
      <x:c r="B336" s="16" t="str">
        <x:v>2000015090-W122</x:v>
      </x:c>
      <x:c r="C336" s="16" t="str">
        <x:v>АРМАТУРА А-III 25Г2С D25ММ ГОСТ5781-82</x:v>
      </x:c>
      <x:c r="D336" s="16" t="str">
        <x:v>М/прокат черный</x:v>
      </x:c>
      <x:c r="E336" s="16" t="str">
        <x:v>Т</x:v>
      </x:c>
      <x:c r="F336" s="30" t="n">
        <x:v>0.288</x:v>
      </x:c>
      <x:c r="G336" s="17" t="n">
        <x:v>49514.188</x:v>
      </x:c>
      <x:c r="H336" s="17" t="n">
        <x:f>G336*F336</x:f>
        <x:v>14260.086143999999</x:v>
      </x:c>
      <x:c r="I336" s="26" t="str">
        <x:f>HYPERLINK("https://etp-aktiv.ru/catalog/materialy/metalloprodukciya/2000015090-W122/","Открыть позицию")</x:f>
        <x:v>Открыть позицию</x:v>
      </x:c>
    </x:row>
    <x:row r="337" ht="28" customHeight="1">
      <x:c r="A337" s="16" t="str">
        <x:v>Рубцовский ТЭК</x:v>
      </x:c>
      <x:c r="B337" s="16" t="str">
        <x:v>2000539507-W122</x:v>
      </x:c>
      <x:c r="C337" s="16" t="str">
        <x:v>ВЕНТИЛЬ 15КЧ16П DN40 PN25 Р/ПРИВ ФЛАНЦ А</x:v>
      </x:c>
      <x:c r="D337" s="16" t="str">
        <x:v>ЧугунАрмат (кр.затв)</x:v>
      </x:c>
      <x:c r="E337" s="16" t="str">
        <x:v>ШТ</x:v>
      </x:c>
      <x:c r="F337" s="25" t="n">
        <x:v>3</x:v>
      </x:c>
      <x:c r="G337" s="17" t="n">
        <x:v>309.0016</x:v>
      </x:c>
      <x:c r="H337" s="17" t="n">
        <x:f>G337*F337</x:f>
        <x:v>927.0047999999999</x:v>
      </x:c>
      <x:c r="I337" s="26" t="str">
        <x:f>HYPERLINK("https://etp-aktiv.ru/catalog/materialy/truboprovodnaya-armatura-i-komplektuyushchie/2000539507-W122/","Открыть позицию")</x:f>
        <x:v>Открыть позицию</x:v>
      </x:c>
    </x:row>
    <x:row r="338" ht="28" customHeight="1">
      <x:c r="A338" s="16" t="str">
        <x:v>Рубцовский ТЭК</x:v>
      </x:c>
      <x:c r="B338" s="16" t="str">
        <x:v>2000539357-W122</x:v>
      </x:c>
      <x:c r="C338" s="16" t="str">
        <x:v>ЗАДВИЖКА 30С41НЖ 300/16 Р/П П/П A 25Л</x:v>
      </x:c>
      <x:c r="D338" s="16" t="str">
        <x:v>Задвиж/клапан стальн</x:v>
      </x:c>
      <x:c r="E338" s="16" t="str">
        <x:v>ШТ</x:v>
      </x:c>
      <x:c r="F338" s="25" t="n">
        <x:v>1</x:v>
      </x:c>
      <x:c r="G338" s="17" t="n">
        <x:v>57187.5</x:v>
      </x:c>
      <x:c r="H338" s="17" t="n">
        <x:f>G338*F338</x:f>
        <x:v>57187.5</x:v>
      </x:c>
      <x:c r="I338" s="26" t="str">
        <x:f>HYPERLINK("https://etp-aktiv.ru/catalog/materialy/truboprovodnaya-armatura-i-komplektuyushchie/2000539357-W122/","Открыть позицию")</x:f>
        <x:v>Открыть позицию</x:v>
      </x:c>
    </x:row>
    <x:row r="339" ht="28" customHeight="1">
      <x:c r="A339" s="16" t="str">
        <x:v>Рубцовский ТЭК</x:v>
      </x:c>
      <x:c r="B339" s="16" t="str">
        <x:v>2000539354-W122</x:v>
      </x:c>
      <x:c r="C339" s="16" t="str">
        <x:v>ЗАДВИЖКА 30С41НЖ DN200 PN16 Р/П ФЛ А КОФ</x:v>
      </x:c>
      <x:c r="D339" s="16" t="str">
        <x:v>Задвиж/клапан стальн</x:v>
      </x:c>
      <x:c r="E339" s="16" t="str">
        <x:v>ШТ</x:v>
      </x:c>
      <x:c r="F339" s="25" t="n">
        <x:v>1</x:v>
      </x:c>
      <x:c r="G339" s="17" t="n">
        <x:v>52879.375</x:v>
      </x:c>
      <x:c r="H339" s="17" t="n">
        <x:f>G339*F339</x:f>
        <x:v>52879.375</x:v>
      </x:c>
      <x:c r="I339" s="26" t="str">
        <x:f>HYPERLINK("https://etp-aktiv.ru/catalog/materialy/truboprovodnaya-armatura-i-komplektuyushchie/2000539354-W122/","Открыть позицию")</x:f>
        <x:v>Открыть позицию</x:v>
      </x:c>
    </x:row>
    <x:row r="340" ht="28" customHeight="1">
      <x:c r="A340" s="16" t="str">
        <x:v>Рубцовский ТЭК</x:v>
      </x:c>
      <x:c r="B340" s="16" t="str">
        <x:v>2000991450-W122</x:v>
      </x:c>
      <x:c r="C340" s="16" t="str">
        <x:v>ЗАДВИЖКА 30С42НЖ DN150 PN10 РП ФЛ КОФ</x:v>
      </x:c>
      <x:c r="D340" s="16" t="str">
        <x:v>Задвиж/клапан стальн</x:v>
      </x:c>
      <x:c r="E340" s="16" t="str">
        <x:v>ШТ</x:v>
      </x:c>
      <x:c r="F340" s="25" t="n">
        <x:v>1</x:v>
      </x:c>
      <x:c r="G340" s="17" t="n">
        <x:v>44034.375</x:v>
      </x:c>
      <x:c r="H340" s="17" t="n">
        <x:f>G340*F340</x:f>
        <x:v>44034.375</x:v>
      </x:c>
      <x:c r="I340" s="26" t="str">
        <x:f>HYPERLINK("https://etp-aktiv.ru/catalog/materialy/truboprovodnaya-armatura-i-komplektuyushchie/2000991450-W122/","Открыть позицию")</x:f>
        <x:v>Открыть позицию</x:v>
      </x:c>
    </x:row>
    <x:row r="341" ht="28" customHeight="1">
      <x:c r="A341" s="16" t="str">
        <x:v>Рубцовский ТЭК</x:v>
      </x:c>
      <x:c r="B341" s="16" t="str">
        <x:v>2000539382-W122</x:v>
      </x:c>
      <x:c r="C341" s="16" t="str">
        <x:v>ЗАДВИЖКА 30С64НЖ DN100 PN25 Р/П ФЛ А КОФ</x:v>
      </x:c>
      <x:c r="D341" s="16" t="str">
        <x:v>Задвиж/клапан стальн</x:v>
      </x:c>
      <x:c r="E341" s="16" t="str">
        <x:v>ШТ</x:v>
      </x:c>
      <x:c r="F341" s="25" t="n">
        <x:v>2</x:v>
      </x:c>
      <x:c r="G341" s="17" t="n">
        <x:v>32057.8912</x:v>
      </x:c>
      <x:c r="H341" s="17" t="n">
        <x:f>G341*F341</x:f>
        <x:v>64115.7824</x:v>
      </x:c>
      <x:c r="I341" s="26" t="str">
        <x:f>HYPERLINK("https://etp-aktiv.ru/catalog/materialy/truboprovodnaya-armatura-i-komplektuyushchie/2000539382-W122/","Открыть позицию")</x:f>
        <x:v>Открыть позицию</x:v>
      </x:c>
    </x:row>
    <x:row r="342" ht="28" customHeight="1">
      <x:c r="A342" s="16" t="str">
        <x:v>Рубцовский ТЭК</x:v>
      </x:c>
      <x:c r="B342" s="16" t="str">
        <x:v>2000152205-W122</x:v>
      </x:c>
      <x:c r="C342" s="16" t="str">
        <x:v>ЗАДВИЖКА 30С76НЖ DN200 PN63</x:v>
      </x:c>
      <x:c r="D342" s="16" t="str">
        <x:v>@Трубопр армат промы</x:v>
      </x:c>
      <x:c r="E342" s="16" t="str">
        <x:v>ШТ</x:v>
      </x:c>
      <x:c r="F342" s="25" t="n">
        <x:v>5</x:v>
      </x:c>
      <x:c r="G342" s="17" t="n">
        <x:v>36619.3614</x:v>
      </x:c>
      <x:c r="H342" s="17" t="n">
        <x:f>G342*F342</x:f>
        <x:v>183096.807</x:v>
      </x:c>
      <x:c r="I342" s="26" t="str">
        <x:f>HYPERLINK("https://etp-aktiv.ru/catalog/materialy/truboprovodnaya-armatura-i-komplektuyushchie/2000152205-W122/","Открыть позицию")</x:f>
        <x:v>Открыть позицию</x:v>
      </x:c>
    </x:row>
    <x:row r="343" ht="28" customHeight="1">
      <x:c r="A343" s="16" t="str">
        <x:v>Рубцовский ТЭК</x:v>
      </x:c>
      <x:c r="B343" s="16" t="str">
        <x:v>2000013462-W122</x:v>
      </x:c>
      <x:c r="C343" s="16" t="str">
        <x:v>ЗАДВИЖКА 30С76НЖ DN50 PN63</x:v>
      </x:c>
      <x:c r="D343" s="16" t="str">
        <x:v>Задвиж/клапан стальн</x:v>
      </x:c>
      <x:c r="E343" s="16" t="str">
        <x:v>ШТ</x:v>
      </x:c>
      <x:c r="F343" s="25" t="n">
        <x:v>2</x:v>
      </x:c>
      <x:c r="G343" s="17" t="n">
        <x:v>12432.568599999999</x:v>
      </x:c>
      <x:c r="H343" s="17" t="n">
        <x:f>G343*F343</x:f>
        <x:v>24865.137199999997</x:v>
      </x:c>
      <x:c r="I343" s="26" t="str">
        <x:f>HYPERLINK("https://etp-aktiv.ru/catalog/materialy/truboprovodnaya-armatura-i-komplektuyushchie/2000013462-W122/","Открыть позицию")</x:f>
        <x:v>Открыть позицию</x:v>
      </x:c>
    </x:row>
    <x:row r="344" ht="28" customHeight="1">
      <x:c r="A344" s="16" t="str">
        <x:v>Рубцовский ТЭК</x:v>
      </x:c>
      <x:c r="B344" s="16" t="str">
        <x:v>2000168383-W122</x:v>
      </x:c>
      <x:c r="C344" s="16" t="str">
        <x:v>ЗАТВОР BV10-4466E DN50 PN16</x:v>
      </x:c>
      <x:c r="D344" s="16" t="str">
        <x:v>@Трубопр армат промы</x:v>
      </x:c>
      <x:c r="E344" s="16" t="str">
        <x:v>ШТ</x:v>
      </x:c>
      <x:c r="F344" s="25" t="n">
        <x:v>1</x:v>
      </x:c>
      <x:c r="G344" s="17" t="n">
        <x:v>2052.4669999999996</x:v>
      </x:c>
      <x:c r="H344" s="17" t="n">
        <x:f>G344*F344</x:f>
        <x:v>2052.4669999999996</x:v>
      </x:c>
      <x:c r="I344" s="26" t="str">
        <x:f>HYPERLINK("https://etp-aktiv.ru/catalog/materialy/truboprovodnaya-armatura-i-komplektuyushchie/2000168383-W122/","Открыть позицию")</x:f>
        <x:v>Открыть позицию</x:v>
      </x:c>
    </x:row>
    <x:row r="345" ht="28" customHeight="1">
      <x:c r="A345" s="16" t="str">
        <x:v>Рубцовский ТЭК</x:v>
      </x:c>
      <x:c r="B345" s="16" t="str">
        <x:v>2000222186-W122</x:v>
      </x:c>
      <x:c r="C345" s="16" t="str">
        <x:v>ЗАТВОР BV10-4466T WCB DN80 PN16 КОФ</x:v>
      </x:c>
      <x:c r="D345" s="16" t="str">
        <x:v>@Трубопр армат промы</x:v>
      </x:c>
      <x:c r="E345" s="16" t="str">
        <x:v>ШТ</x:v>
      </x:c>
      <x:c r="F345" s="25" t="n">
        <x:v>2</x:v>
      </x:c>
      <x:c r="G345" s="17" t="n">
        <x:v>2668.9086</x:v>
      </x:c>
      <x:c r="H345" s="17" t="n">
        <x:f>G345*F345</x:f>
        <x:v>5337.8172</x:v>
      </x:c>
      <x:c r="I345" s="26" t="str">
        <x:f>HYPERLINK("https://etp-aktiv.ru/catalog/materialy/truboprovodnaya-armatura-i-komplektuyushchie/2000222186-W122/","Открыть позицию")</x:f>
        <x:v>Открыть позицию</x:v>
      </x:c>
    </x:row>
    <x:row r="346" ht="28" customHeight="1">
      <x:c r="A346" s="16" t="str">
        <x:v>Рубцовский ТЭК</x:v>
      </x:c>
      <x:c r="B346" s="16" t="str">
        <x:v>2000582949-W122</x:v>
      </x:c>
      <x:c r="C346" s="16" t="str">
        <x:v>ЗАТВОР VP3448 100/16 Р/ПР РУКОЯТ МЕЖФЛА</x:v>
      </x:c>
      <x:c r="D346" s="16" t="str">
        <x:v>@Трубопр армат промы</x:v>
      </x:c>
      <x:c r="E346" s="16" t="str">
        <x:v>ШТ</x:v>
      </x:c>
      <x:c r="F346" s="25" t="n">
        <x:v>7</x:v>
      </x:c>
      <x:c r="G346" s="17" t="n">
        <x:v>101.69919999999999</x:v>
      </x:c>
      <x:c r="H346" s="17" t="n">
        <x:f>G346*F346</x:f>
        <x:v>711.8943999999999</x:v>
      </x:c>
      <x:c r="I346" s="26" t="str">
        <x:f>HYPERLINK("https://etp-aktiv.ru/catalog/materialy/truboprovodnaya-armatura-i-komplektuyushchie/2000582949-W122/","Открыть позицию")</x:f>
        <x:v>Открыть позицию</x:v>
      </x:c>
    </x:row>
    <x:row r="347" ht="28" customHeight="1">
      <x:c r="A347" s="16" t="str">
        <x:v>Рубцовский ТЭК</x:v>
      </x:c>
      <x:c r="B347" s="16" t="str">
        <x:v>2000577784-W122</x:v>
      </x:c>
      <x:c r="C347" s="16" t="str">
        <x:v>ЗАТВОР ЗДП DУ80 PУ16 Р/ПМ/ФА</x:v>
      </x:c>
      <x:c r="D347" s="16" t="str">
        <x:v>@Трубопр армат промы</x:v>
      </x:c>
      <x:c r="E347" s="16" t="str">
        <x:v>ШТ</x:v>
      </x:c>
      <x:c r="F347" s="25" t="n">
        <x:v>1</x:v>
      </x:c>
      <x:c r="G347" s="17" t="n">
        <x:v>38.369</x:v>
      </x:c>
      <x:c r="H347" s="17" t="n">
        <x:f>G347*F347</x:f>
        <x:v>38.369</x:v>
      </x:c>
      <x:c r="I347" s="26" t="str">
        <x:f>HYPERLINK("https://etp-aktiv.ru/catalog/materialy/truboprovodnaya-armatura-i-komplektuyushchie/2000577784-W122/","Открыть позицию")</x:f>
        <x:v>Открыть позицию</x:v>
      </x:c>
    </x:row>
    <x:row r="348" ht="28" customHeight="1">
      <x:c r="A348" s="16" t="str">
        <x:v>Рубцовский ТЭК</x:v>
      </x:c>
      <x:c r="B348" s="16" t="str">
        <x:v>2000985929-W122</x:v>
      </x:c>
      <x:c r="C348" s="16" t="str">
        <x:v>КЛАПАН 065N9545 DN50 PN25 РП ФЛ</x:v>
      </x:c>
      <x:c r="D348" s="16" t="str">
        <x:v>Армат из медн сплав</x:v>
      </x:c>
      <x:c r="E348" s="16" t="str">
        <x:v>ШТ</x:v>
      </x:c>
      <x:c r="F348" s="25" t="n">
        <x:v>2</x:v>
      </x:c>
      <x:c r="G348" s="17" t="n">
        <x:v>59974.8584</x:v>
      </x:c>
      <x:c r="H348" s="17" t="n">
        <x:f>G348*F348</x:f>
        <x:v>119949.7168</x:v>
      </x:c>
      <x:c r="I348" s="26" t="str">
        <x:f>HYPERLINK("https://etp-aktiv.ru/catalog/materialy/truboprovodnaya-armatura-i-komplektuyushchie/2000985929-W122/","Открыть позицию")</x:f>
        <x:v>Открыть позицию</x:v>
      </x:c>
    </x:row>
    <x:row r="349" ht="28" customHeight="1">
      <x:c r="A349" s="16" t="str">
        <x:v>Рубцовский ТЭК</x:v>
      </x:c>
      <x:c r="B349" s="16" t="str">
        <x:v>2000552617-W122</x:v>
      </x:c>
      <x:c r="C349" s="16" t="str">
        <x:v>КЛАПАН 10С-5-3Э DN32 PN100 С Э/П П/П</x:v>
      </x:c>
      <x:c r="D349" s="16" t="str">
        <x:v>Трубопр арматура в/д</x:v>
      </x:c>
      <x:c r="E349" s="16" t="str">
        <x:v>ШТ</x:v>
      </x:c>
      <x:c r="F349" s="25" t="n">
        <x:v>1</x:v>
      </x:c>
      <x:c r="G349" s="17" t="n">
        <x:v>11940.75</x:v>
      </x:c>
      <x:c r="H349" s="17" t="n">
        <x:f>G349*F349</x:f>
        <x:v>11940.75</x:v>
      </x:c>
      <x:c r="I349" s="26" t="str">
        <x:f>HYPERLINK("https://etp-aktiv.ru/catalog/materialy/truboprovodnaya-armatura-i-komplektuyushchie/2000552617-W122/","Открыть позицию")</x:f>
        <x:v>Открыть позицию</x:v>
      </x:c>
    </x:row>
    <x:row r="350" ht="28" customHeight="1">
      <x:c r="A350" s="16" t="str">
        <x:v>Рубцовский ТЭК</x:v>
      </x:c>
      <x:c r="B350" s="16" t="str">
        <x:v>2000539605-W122</x:v>
      </x:c>
      <x:c r="C350" s="16" t="str">
        <x:v>КЛАПАН 15С27НЖ DN25 PN63 Р/П ФЛ A СТ20</x:v>
      </x:c>
      <x:c r="D350" s="16" t="str">
        <x:v>Задвиж/клапан стальн</x:v>
      </x:c>
      <x:c r="E350" s="16" t="str">
        <x:v>ШТ</x:v>
      </x:c>
      <x:c r="F350" s="25" t="n">
        <x:v>5</x:v>
      </x:c>
      <x:c r="G350" s="17" t="n">
        <x:v>3271.735</x:v>
      </x:c>
      <x:c r="H350" s="17" t="n">
        <x:f>G350*F350</x:f>
        <x:v>16358.675000000001</x:v>
      </x:c>
      <x:c r="I350" s="26" t="str">
        <x:f>HYPERLINK("https://etp-aktiv.ru/catalog/materialy/truboprovodnaya-armatura-i-komplektuyushchie/2000539605-W122/","Открыть позицию")</x:f>
        <x:v>Открыть позицию</x:v>
      </x:c>
    </x:row>
    <x:row r="351" ht="28" customHeight="1">
      <x:c r="A351" s="16" t="str">
        <x:v>Рубцовский ТЭК</x:v>
      </x:c>
      <x:c r="B351" s="16" t="str">
        <x:v>2000539610-W122</x:v>
      </x:c>
      <x:c r="C351" s="16" t="str">
        <x:v>КЛАПАН 15С52НЖ DN20 PN63 Р/П ФЛ А</x:v>
      </x:c>
      <x:c r="D351" s="16" t="str">
        <x:v>Задвиж/клапан стальн</x:v>
      </x:c>
      <x:c r="E351" s="16" t="str">
        <x:v>ШТ</x:v>
      </x:c>
      <x:c r="F351" s="25" t="n">
        <x:v>11</x:v>
      </x:c>
      <x:c r="G351" s="17" t="n">
        <x:v>2617.4612</x:v>
      </x:c>
      <x:c r="H351" s="17" t="n">
        <x:f>G351*F351</x:f>
        <x:v>28792.073200000003</x:v>
      </x:c>
      <x:c r="I351" s="26" t="str">
        <x:f>HYPERLINK("https://etp-aktiv.ru/catalog/materialy/truboprovodnaya-armatura-i-komplektuyushchie/2000539610-W122/","Открыть позицию")</x:f>
        <x:v>Открыть позицию</x:v>
      </x:c>
    </x:row>
    <x:row r="352" ht="28" customHeight="1">
      <x:c r="A352" s="16" t="str">
        <x:v>Рубцовский ТЭК</x:v>
      </x:c>
      <x:c r="B352" s="16" t="str">
        <x:v>2000539794-W122</x:v>
      </x:c>
      <x:c r="C352" s="16" t="str">
        <x:v>КЛАПАН 17С7НЖ DN150 PN16 Р/П ФЛ А</x:v>
      </x:c>
      <x:c r="D352" s="16" t="str">
        <x:v>ПредохранитАрматура</x:v>
      </x:c>
      <x:c r="E352" s="16" t="str">
        <x:v>ШТ</x:v>
      </x:c>
      <x:c r="F352" s="25" t="n">
        <x:v>1</x:v>
      </x:c>
      <x:c r="G352" s="17" t="n">
        <x:v>10848.618199999999</x:v>
      </x:c>
      <x:c r="H352" s="17" t="n">
        <x:f>G352*F352</x:f>
        <x:v>10848.618199999999</x:v>
      </x:c>
      <x:c r="I352" s="26" t="str">
        <x:f>HYPERLINK("https://etp-aktiv.ru/catalog/materialy/truboprovodnaya-armatura-i-komplektuyushchie/2000539794-W122/","Открыть позицию")</x:f>
        <x:v>Открыть позицию</x:v>
      </x:c>
    </x:row>
    <x:row r="353" ht="28" customHeight="1">
      <x:c r="A353" s="16" t="str">
        <x:v>Рубцовский ТЭК</x:v>
      </x:c>
      <x:c r="B353" s="16" t="str">
        <x:v>2000552636-W122</x:v>
      </x:c>
      <x:c r="C353" s="16" t="str">
        <x:v>КЛАПАН 1С-12-4Э DN32 PN100 С Э/П П/П</x:v>
      </x:c>
      <x:c r="D353" s="16" t="str">
        <x:v>Трубопр арматура в/д</x:v>
      </x:c>
      <x:c r="E353" s="16" t="str">
        <x:v>ШТ</x:v>
      </x:c>
      <x:c r="F353" s="25" t="n">
        <x:v>1</x:v>
      </x:c>
      <x:c r="G353" s="17" t="n">
        <x:v>8624.9242</x:v>
      </x:c>
      <x:c r="H353" s="17" t="n">
        <x:f>G353*F353</x:f>
        <x:v>8624.9242</x:v>
      </x:c>
      <x:c r="I353" s="26" t="str">
        <x:f>HYPERLINK("https://etp-aktiv.ru/catalog/materialy/truboprovodnaya-armatura-i-komplektuyushchie/2000552636-W122/","Открыть позицию")</x:f>
        <x:v>Открыть позицию</x:v>
      </x:c>
    </x:row>
    <x:row r="354" ht="28" customHeight="1">
      <x:c r="A354" s="16" t="str">
        <x:v>Рубцовский ТЭК</x:v>
      </x:c>
      <x:c r="B354" s="16" t="str">
        <x:v>2000552642-W122</x:v>
      </x:c>
      <x:c r="C354" s="16" t="str">
        <x:v>КЛАПАН 3С-6-3 DN32 PN100 Б/П П/П</x:v>
      </x:c>
      <x:c r="D354" s="16" t="str">
        <x:v>Трубопр арматура в/д</x:v>
      </x:c>
      <x:c r="E354" s="16" t="str">
        <x:v>ШТ</x:v>
      </x:c>
      <x:c r="F354" s="25" t="n">
        <x:v>1</x:v>
      </x:c>
      <x:c r="G354" s="17" t="n">
        <x:v>1037.4148</x:v>
      </x:c>
      <x:c r="H354" s="17" t="n">
        <x:f>G354*F354</x:f>
        <x:v>1037.4148</x:v>
      </x:c>
      <x:c r="I354" s="26" t="str">
        <x:f>HYPERLINK("https://etp-aktiv.ru/catalog/materialy/truboprovodnaya-armatura-i-komplektuyushchie/2000552642-W122/","Открыть позицию")</x:f>
        <x:v>Открыть позицию</x:v>
      </x:c>
    </x:row>
    <x:row r="355" ht="28" customHeight="1">
      <x:c r="A355" s="16" t="str">
        <x:v>Рубцовский ТЭК</x:v>
      </x:c>
      <x:c r="B355" s="16" t="str">
        <x:v>2001046963-W122</x:v>
      </x:c>
      <x:c r="C355" s="16" t="str">
        <x:v>КЛАПАН ОБР 19С38НЖ DN350 PN25 Б/П МФ КОФ</x:v>
      </x:c>
      <x:c r="D355" s="16" t="str">
        <x:v>Обратная арматура</x:v>
      </x:c>
      <x:c r="E355" s="16" t="str">
        <x:v>ШТ</x:v>
      </x:c>
      <x:c r="F355" s="25" t="n">
        <x:v>1</x:v>
      </x:c>
      <x:c r="G355" s="17" t="n">
        <x:v>272975</x:v>
      </x:c>
      <x:c r="H355" s="17" t="n">
        <x:f>G355*F355</x:f>
        <x:v>272975</x:v>
      </x:c>
      <x:c r="I355" s="26" t="str">
        <x:f>HYPERLINK("https://etp-aktiv.ru/catalog/materialy/truboprovodnaya-armatura-i-komplektuyushchie/2001046963-W122/","Открыть позицию")</x:f>
        <x:v>Открыть позицию</x:v>
      </x:c>
    </x:row>
    <x:row r="356" ht="28" customHeight="1">
      <x:c r="A356" s="16" t="str">
        <x:v>Рубцовский ТЭК</x:v>
      </x:c>
      <x:c r="B356" s="16" t="str">
        <x:v>2000327677-W122</x:v>
      </x:c>
      <x:c r="C356" s="16" t="str">
        <x:v>КЛЮЧ ТРУБН РЫЧ КТР-5 32-120ММ</x:v>
      </x:c>
      <x:c r="D356" s="16" t="str">
        <x:v>Инструмент и спецосн</x:v>
      </x:c>
      <x:c r="E356" s="16" t="str">
        <x:v>ШТ</x:v>
      </x:c>
      <x:c r="F356" s="25" t="n">
        <x:v>4</x:v>
      </x:c>
      <x:c r="G356" s="17" t="n">
        <x:v>155.8184</x:v>
      </x:c>
      <x:c r="H356" s="17" t="n">
        <x:f>G356*F356</x:f>
        <x:v>623.2736</x:v>
      </x:c>
      <x:c r="I356" s="26" t="str">
        <x:f>HYPERLINK("https://etp-aktiv.ru/catalog/materialy/instrument-i-specosnastka/2000327677-W122/","Открыть позицию")</x:f>
        <x:v>Открыть позицию</x:v>
      </x:c>
    </x:row>
    <x:row r="357" ht="28" customHeight="1">
      <x:c r="A357" s="16" t="str">
        <x:v>Рубцовский ТЭК</x:v>
      </x:c>
      <x:c r="B357" s="16" t="str">
        <x:v>2000535023-W122</x:v>
      </x:c>
      <x:c r="C357" s="16" t="str">
        <x:v>КОМПЕНС ОПКР-16-500-210-1.4 300260.029ТУ</x:v>
      </x:c>
      <x:c r="D357" s="16" t="str">
        <x:v>Компенсаторы</x:v>
      </x:c>
      <x:c r="E357" s="16" t="str">
        <x:v>ШТ</x:v>
      </x:c>
      <x:c r="F357" s="25" t="n">
        <x:v>1</x:v>
      </x:c>
      <x:c r="G357" s="17" t="n">
        <x:v>34568.2852</x:v>
      </x:c>
      <x:c r="H357" s="17" t="n">
        <x:f>G357*F357</x:f>
        <x:v>34568.2852</x:v>
      </x:c>
      <x:c r="I357" s="26" t="str">
        <x:f>HYPERLINK("https://etp-aktiv.ru/catalog/materialy/truboprovody/2000535023-W122/","Открыть позицию")</x:f>
        <x:v>Открыть позицию</x:v>
      </x:c>
    </x:row>
    <x:row r="358" ht="28" customHeight="1">
      <x:c r="A358" s="16" t="str">
        <x:v>Рубцовский ТЭК</x:v>
      </x:c>
      <x:c r="B358" s="16" t="str">
        <x:v>2000534973-W122</x:v>
      </x:c>
      <x:c r="C358" s="16" t="str">
        <x:v>КОМПЕНСАТОР 2СКУ.ППУ.I-16-200-280</x:v>
      </x:c>
      <x:c r="D358" s="16" t="str">
        <x:v>Компенсаторы</x:v>
      </x:c>
      <x:c r="E358" s="16" t="str">
        <x:v>ШТ</x:v>
      </x:c>
      <x:c r="F358" s="25" t="n">
        <x:v>5</x:v>
      </x:c>
      <x:c r="G358" s="17" t="n">
        <x:v>14540.2528</x:v>
      </x:c>
      <x:c r="H358" s="17" t="n">
        <x:f>G358*F358</x:f>
        <x:v>72701.264</x:v>
      </x:c>
      <x:c r="I358" s="26" t="str">
        <x:f>HYPERLINK("https://etp-aktiv.ru/catalog/materialy/truboprovody/2000534973-W122/","Открыть позицию")</x:f>
        <x:v>Открыть позицию</x:v>
      </x:c>
    </x:row>
    <x:row r="359" ht="28" customHeight="1">
      <x:c r="A359" s="16" t="str">
        <x:v>Рубцовский ТЭК</x:v>
      </x:c>
      <x:c r="B359" s="16" t="str">
        <x:v>2000535083-W122</x:v>
      </x:c>
      <x:c r="C359" s="16" t="str">
        <x:v>КОМПЕНСАТОР СКУ СТ 250-1,6-360-1 ППУ-ПЭ</x:v>
      </x:c>
      <x:c r="D359" s="16" t="str">
        <x:v>Компенсаторы</x:v>
      </x:c>
      <x:c r="E359" s="16" t="str">
        <x:v>ШТ</x:v>
      </x:c>
      <x:c r="F359" s="25" t="n">
        <x:v>1</x:v>
      </x:c>
      <x:c r="G359" s="17" t="n">
        <x:v>30532.756999999998</x:v>
      </x:c>
      <x:c r="H359" s="17" t="n">
        <x:f>G359*F359</x:f>
        <x:v>30532.756999999998</x:v>
      </x:c>
      <x:c r="I359" s="26" t="str">
        <x:f>HYPERLINK("https://etp-aktiv.ru/catalog/materialy/truboprovody/2000535083-W122/","Открыть позицию")</x:f>
        <x:v>Открыть позицию</x:v>
      </x:c>
    </x:row>
    <x:row r="360" ht="28" customHeight="1">
      <x:c r="A360" s="16" t="str">
        <x:v>Рубцовский ТЭК</x:v>
      </x:c>
      <x:c r="B360" s="16" t="str">
        <x:v>2000540024-W122</x:v>
      </x:c>
      <x:c r="C360" s="16" t="str">
        <x:v>КРАН 09Г2С ПП ВОДА 200° ПП 150/25 РП A</x:v>
      </x:c>
      <x:c r="D360" s="16" t="str">
        <x:v>Краны шаров.стальн</x:v>
      </x:c>
      <x:c r="E360" s="16" t="str">
        <x:v>ШТ</x:v>
      </x:c>
      <x:c r="F360" s="25" t="n">
        <x:v>2</x:v>
      </x:c>
      <x:c r="G360" s="17" t="n">
        <x:v>1028.6918</x:v>
      </x:c>
      <x:c r="H360" s="17" t="n">
        <x:f>G360*F360</x:f>
        <x:v>2057.3836</x:v>
      </x:c>
      <x:c r="I360" s="26" t="str">
        <x:f>HYPERLINK("https://etp-aktiv.ru/catalog/materialy/truboprovodnaya-armatura-i-komplektuyushchie/2000540024-W122/","Открыть позицию")</x:f>
        <x:v>Открыть позицию</x:v>
      </x:c>
    </x:row>
    <x:row r="361" ht="28" customHeight="1">
      <x:c r="A361" s="16" t="str">
        <x:v>Рубцовский ТЭК</x:v>
      </x:c>
      <x:c r="B361" s="16" t="str">
        <x:v>2000540054-W122</x:v>
      </x:c>
      <x:c r="C361" s="16" t="str">
        <x:v>КРАН 09Г2С ПП ВОДА 200° ФЛ 100/25 РП A</x:v>
      </x:c>
      <x:c r="D361" s="16" t="str">
        <x:v>Краны шаров.стальн</x:v>
      </x:c>
      <x:c r="E361" s="16" t="str">
        <x:v>ШТ</x:v>
      </x:c>
      <x:c r="F361" s="25" t="n">
        <x:v>3</x:v>
      </x:c>
      <x:c r="G361" s="17" t="n">
        <x:v>15067.9882</x:v>
      </x:c>
      <x:c r="H361" s="17" t="n">
        <x:f>G361*F361</x:f>
        <x:v>45203.9646</x:v>
      </x:c>
      <x:c r="I361" s="26" t="str">
        <x:f>HYPERLINK("https://etp-aktiv.ru/catalog/materialy/truboprovodnaya-armatura-i-komplektuyushchie/2000540054-W122/","Открыть позицию")</x:f>
        <x:v>Открыть позицию</x:v>
      </x:c>
    </x:row>
    <x:row r="362" ht="28" customHeight="1">
      <x:c r="A362" s="16" t="str">
        <x:v>Рубцовский ТЭК</x:v>
      </x:c>
      <x:c r="B362" s="16" t="str">
        <x:v>2000540229-W122</x:v>
      </x:c>
      <x:c r="C362" s="16" t="str">
        <x:v>КРАН 09Г2С СП ВОДА 200° ПП 20/40 РП A</x:v>
      </x:c>
      <x:c r="D362" s="16" t="str">
        <x:v>Краны шаров.стальн</x:v>
      </x:c>
      <x:c r="E362" s="16" t="str">
        <x:v>ШТ</x:v>
      </x:c>
      <x:c r="F362" s="25" t="n">
        <x:v>1</x:v>
      </x:c>
      <x:c r="G362" s="17" t="n">
        <x:v>512.095</x:v>
      </x:c>
      <x:c r="H362" s="17" t="n">
        <x:f>G362*F362</x:f>
        <x:v>512.095</x:v>
      </x:c>
      <x:c r="I362" s="26" t="str">
        <x:f>HYPERLINK("https://etp-aktiv.ru/catalog/materialy/truboprovodnaya-armatura-i-komplektuyushchie/2000540229-W122/","Открыть позицию")</x:f>
        <x:v>Открыть позицию</x:v>
      </x:c>
    </x:row>
    <x:row r="363" ht="28" customHeight="1">
      <x:c r="A363" s="16" t="str">
        <x:v>Рубцовский ТЭК</x:v>
      </x:c>
      <x:c r="B363" s="16" t="str">
        <x:v>2000582955-W122</x:v>
      </x:c>
      <x:c r="C363" s="16" t="str">
        <x:v>КРАН КШТ 60.002.150 DУ150 PУ16 РУК П/ПA</x:v>
      </x:c>
      <x:c r="D363" s="16" t="str">
        <x:v>@Трубопр армат промы</x:v>
      </x:c>
      <x:c r="E363" s="16" t="str">
        <x:v>ШТ</x:v>
      </x:c>
      <x:c r="F363" s="25" t="n">
        <x:v>1</x:v>
      </x:c>
      <x:c r="G363" s="17" t="n">
        <x:v>7702.567599999999</x:v>
      </x:c>
      <x:c r="H363" s="17" t="n">
        <x:f>G363*F363</x:f>
        <x:v>7702.567599999999</x:v>
      </x:c>
      <x:c r="I363" s="26" t="str">
        <x:f>HYPERLINK("https://etp-aktiv.ru/catalog/materialy/truboprovodnaya-armatura-i-komplektuyushchie/2000582955-W122/","Открыть позицию")</x:f>
        <x:v>Открыть позицию</x:v>
      </x:c>
    </x:row>
    <x:row r="364" ht="28" customHeight="1">
      <x:c r="A364" s="16" t="str">
        <x:v>Рубцовский ТЭК</x:v>
      </x:c>
      <x:c r="B364" s="16" t="str">
        <x:v>2000540146-W122</x:v>
      </x:c>
      <x:c r="C364" s="16" t="str">
        <x:v>КРАН СТ20 ПП ВОДА 200° ПП 15/16 РП A</x:v>
      </x:c>
      <x:c r="D364" s="16" t="str">
        <x:v>Краны шаров.стальн</x:v>
      </x:c>
      <x:c r="E364" s="16" t="str">
        <x:v>ШТ</x:v>
      </x:c>
      <x:c r="F364" s="25" t="n">
        <x:v>9</x:v>
      </x:c>
      <x:c r="G364" s="17" t="n">
        <x:v>676.4656</x:v>
      </x:c>
      <x:c r="H364" s="17" t="n">
        <x:f>G364*F364</x:f>
        <x:v>6088.1903999999995</x:v>
      </x:c>
      <x:c r="I364" s="26" t="str">
        <x:f>HYPERLINK("https://etp-aktiv.ru/catalog/materialy/truboprovodnaya-armatura-i-komplektuyushchie/2000540146-W122/","Открыть позицию")</x:f>
        <x:v>Открыть позицию</x:v>
      </x:c>
    </x:row>
    <x:row r="365" ht="28" customHeight="1">
      <x:c r="A365" s="16" t="str">
        <x:v>Рубцовский ТЭК</x:v>
      </x:c>
      <x:c r="B365" s="16" t="str">
        <x:v>2000540185-W122</x:v>
      </x:c>
      <x:c r="C365" s="16" t="str">
        <x:v>КРАН СТ20 ПП ВОДА 200° ФЛ 125/16 РП A</x:v>
      </x:c>
      <x:c r="D365" s="16" t="str">
        <x:v>Краны шаров.стальн</x:v>
      </x:c>
      <x:c r="E365" s="16" t="str">
        <x:v>ШТ</x:v>
      </x:c>
      <x:c r="F365" s="25" t="n">
        <x:v>1</x:v>
      </x:c>
      <x:c r="G365" s="17" t="n">
        <x:v>6276.1436</x:v>
      </x:c>
      <x:c r="H365" s="17" t="n">
        <x:f>G365*F365</x:f>
        <x:v>6276.1436</x:v>
      </x:c>
      <x:c r="I365" s="26" t="str">
        <x:f>HYPERLINK("https://etp-aktiv.ru/catalog/materialy/truboprovodnaya-armatura-i-komplektuyushchie/2000540185-W122/","Открыть позицию")</x:f>
        <x:v>Открыть позицию</x:v>
      </x:c>
    </x:row>
    <x:row r="366" ht="28" customHeight="1">
      <x:c r="A366" s="16" t="str">
        <x:v>Рубцовский ТЭК</x:v>
      </x:c>
      <x:c r="B366" s="16" t="str">
        <x:v>2000540200-W122</x:v>
      </x:c>
      <x:c r="C366" s="16" t="str">
        <x:v>КРАН СТ20 ПП ВОДА 200° ФЛ 50/16 РП A</x:v>
      </x:c>
      <x:c r="D366" s="16" t="str">
        <x:v>Краны шаров.стальн</x:v>
      </x:c>
      <x:c r="E366" s="16" t="str">
        <x:v>ШТ</x:v>
      </x:c>
      <x:c r="F366" s="25" t="n">
        <x:v>1</x:v>
      </x:c>
      <x:c r="G366" s="17" t="n">
        <x:v>1759.5693999999999</x:v>
      </x:c>
      <x:c r="H366" s="17" t="n">
        <x:f>G366*F366</x:f>
        <x:v>1759.5693999999999</x:v>
      </x:c>
      <x:c r="I366" s="26" t="str">
        <x:f>HYPERLINK("https://etp-aktiv.ru/catalog/materialy/truboprovodnaya-armatura-i-komplektuyushchie/2000540200-W122/","Открыть позицию")</x:f>
        <x:v>Открыть позицию</x:v>
      </x:c>
    </x:row>
    <x:row r="367" ht="28" customHeight="1">
      <x:c r="A367" s="16" t="str">
        <x:v>Рубцовский ТЭК</x:v>
      </x:c>
      <x:c r="B367" s="16" t="str">
        <x:v>2000540302-W122</x:v>
      </x:c>
      <x:c r="C367" s="16" t="str">
        <x:v>КРАН СТ20 СП ВОДА 200° ПП 40/40 РП A</x:v>
      </x:c>
      <x:c r="D367" s="16" t="str">
        <x:v>Краны шаров.стальн</x:v>
      </x:c>
      <x:c r="E367" s="16" t="str">
        <x:v>ШТ</x:v>
      </x:c>
      <x:c r="F367" s="25" t="n">
        <x:v>1</x:v>
      </x:c>
      <x:c r="G367" s="17" t="n">
        <x:v>748.775</x:v>
      </x:c>
      <x:c r="H367" s="17" t="n">
        <x:f>G367*F367</x:f>
        <x:v>748.775</x:v>
      </x:c>
      <x:c r="I367" s="26" t="str">
        <x:f>HYPERLINK("https://etp-aktiv.ru/catalog/materialy/truboprovodnaya-armatura-i-komplektuyushchie/2000540302-W122/","Открыть позицию")</x:f>
        <x:v>Открыть позицию</x:v>
      </x:c>
    </x:row>
    <x:row r="368" ht="28" customHeight="1">
      <x:c r="A368" s="16" t="str">
        <x:v>Рубцовский ТЭК</x:v>
      </x:c>
      <x:c r="B368" s="16" t="str">
        <x:v>2000540306-W122</x:v>
      </x:c>
      <x:c r="C368" s="16" t="str">
        <x:v>КРАН СТ20 СП ВОДА 200° ПП 50/40 РП A</x:v>
      </x:c>
      <x:c r="D368" s="16" t="str">
        <x:v>Краны шаров.стальн</x:v>
      </x:c>
      <x:c r="E368" s="16" t="str">
        <x:v>ШТ</x:v>
      </x:c>
      <x:c r="F368" s="25" t="n">
        <x:v>1</x:v>
      </x:c>
      <x:c r="G368" s="17" t="n">
        <x:v>770.7472</x:v>
      </x:c>
      <x:c r="H368" s="17" t="n">
        <x:f>G368*F368</x:f>
        <x:v>770.7472</x:v>
      </x:c>
      <x:c r="I368" s="26" t="str">
        <x:f>HYPERLINK("https://etp-aktiv.ru/catalog/materialy/truboprovodnaya-armatura-i-komplektuyushchie/2000540306-W122/","Открыть позицию")</x:f>
        <x:v>Открыть позицию</x:v>
      </x:c>
    </x:row>
    <x:row r="369" ht="28" customHeight="1">
      <x:c r="A369" s="16" t="str">
        <x:v>Рубцовский ТЭК</x:v>
      </x:c>
      <x:c r="B369" s="16" t="str">
        <x:v>2000540333-W122</x:v>
      </x:c>
      <x:c r="C369" s="16" t="str">
        <x:v>КРАН СТ20 СП ВОДА 200° ФЛ 32/16 РП A</x:v>
      </x:c>
      <x:c r="D369" s="16" t="str">
        <x:v>Краны шаров.стальн</x:v>
      </x:c>
      <x:c r="E369" s="16" t="str">
        <x:v>ШТ</x:v>
      </x:c>
      <x:c r="F369" s="25" t="n">
        <x:v>2</x:v>
      </x:c>
      <x:c r="G369" s="17" t="n">
        <x:v>1716.3203999999998</x:v>
      </x:c>
      <x:c r="H369" s="17" t="n">
        <x:f>G369*F369</x:f>
        <x:v>3432.6407999999997</x:v>
      </x:c>
      <x:c r="I369" s="26" t="str">
        <x:f>HYPERLINK("https://etp-aktiv.ru/catalog/materialy/truboprovodnaya-armatura-i-komplektuyushchie/2000540333-W122/","Открыть позицию")</x:f>
        <x:v>Открыть позицию</x:v>
      </x:c>
    </x:row>
    <x:row r="370" ht="28" customHeight="1">
      <x:c r="A370" s="16" t="str">
        <x:v>Рубцовский ТЭК</x:v>
      </x:c>
      <x:c r="B370" s="16" t="str">
        <x:v>2000540335-W122</x:v>
      </x:c>
      <x:c r="C370" s="16" t="str">
        <x:v>КРАН СТ20 СП ВОДА 200° ФЛ 40/16 РП A</x:v>
      </x:c>
      <x:c r="D370" s="16" t="str">
        <x:v>Краны шаров.стальн</x:v>
      </x:c>
      <x:c r="E370" s="16" t="str">
        <x:v>ШТ</x:v>
      </x:c>
      <x:c r="F370" s="25" t="n">
        <x:v>15</x:v>
      </x:c>
      <x:c r="G370" s="17" t="n">
        <x:v>968.9118000000001</x:v>
      </x:c>
      <x:c r="H370" s="17" t="n">
        <x:f>G370*F370</x:f>
        <x:v>14533.677000000001</x:v>
      </x:c>
      <x:c r="I370" s="26" t="str">
        <x:f>HYPERLINK("https://etp-aktiv.ru/catalog/materialy/truboprovodnaya-armatura-i-komplektuyushchie/2000540335-W122/","Открыть позицию")</x:f>
        <x:v>Открыть позицию</x:v>
      </x:c>
    </x:row>
    <x:row r="371" ht="28" customHeight="1">
      <x:c r="A371" s="16" t="str">
        <x:v>Рубцовский ТЭК</x:v>
      </x:c>
      <x:c r="B371" s="16" t="str">
        <x:v>2000159427-W122</x:v>
      </x:c>
      <x:c r="C371" s="16" t="str">
        <x:v>КРАН ШАРОВЫЙ 020.040.02 DN20 PN40</x:v>
      </x:c>
      <x:c r="D371" s="16" t="str">
        <x:v>@Трубопр армат промы</x:v>
      </x:c>
      <x:c r="E371" s="16" t="str">
        <x:v>ШТ</x:v>
      </x:c>
      <x:c r="F371" s="25" t="n">
        <x:v>2</x:v>
      </x:c>
      <x:c r="G371" s="17" t="n">
        <x:v>170.70239999999998</x:v>
      </x:c>
      <x:c r="H371" s="17" t="n">
        <x:f>G371*F371</x:f>
        <x:v>341.40479999999997</x:v>
      </x:c>
      <x:c r="I371" s="26" t="str">
        <x:f>HYPERLINK("https://etp-aktiv.ru/catalog/materialy/truboprovodnaya-armatura-i-komplektuyushchie/2000159427-W122/","Открыть позицию")</x:f>
        <x:v>Открыть позицию</x:v>
      </x:c>
    </x:row>
    <x:row r="372" ht="28" customHeight="1">
      <x:c r="A372" s="16" t="str">
        <x:v>Рубцовский ТЭК</x:v>
      </x:c>
      <x:c r="B372" s="16" t="str">
        <x:v>2000220717-W122</x:v>
      </x:c>
      <x:c r="C372" s="16" t="str">
        <x:v>КРАН ШАРОВЫЙ КШЦФ DN200 PN16</x:v>
      </x:c>
      <x:c r="D372" s="16" t="str">
        <x:v>Краны шаров.стальн</x:v>
      </x:c>
      <x:c r="E372" s="16" t="str">
        <x:v>ШТ</x:v>
      </x:c>
      <x:c r="F372" s="25" t="n">
        <x:v>1</x:v>
      </x:c>
      <x:c r="G372" s="17" t="n">
        <x:v>16253.938</x:v>
      </x:c>
      <x:c r="H372" s="17" t="n">
        <x:f>G372*F372</x:f>
        <x:v>16253.938</x:v>
      </x:c>
      <x:c r="I372" s="26" t="str">
        <x:f>HYPERLINK("https://etp-aktiv.ru/catalog/materialy/truboprovodnaya-armatura-i-komplektuyushchie/2000220717-W122/","Открыть позицию")</x:f>
        <x:v>Открыть позицию</x:v>
      </x:c>
    </x:row>
    <x:row r="373" ht="28" customHeight="1">
      <x:c r="A373" s="16" t="str">
        <x:v>Рубцовский ТЭК</x:v>
      </x:c>
      <x:c r="B373" s="16" t="str">
        <x:v>2000964801-W122</x:v>
      </x:c>
      <x:c r="C373" s="16" t="str">
        <x:v>КРАН ШАРОВЫЙ СП СТ20 ВОДА ФЛ 150 25 РП</x:v>
      </x:c>
      <x:c r="D373" s="16" t="str">
        <x:v>Краны шаров.стальн</x:v>
      </x:c>
      <x:c r="E373" s="16" t="str">
        <x:v>ШТ</x:v>
      </x:c>
      <x:c r="F373" s="25" t="n">
        <x:v>9</x:v>
      </x:c>
      <x:c r="G373" s="17" t="n">
        <x:v>18027.696</x:v>
      </x:c>
      <x:c r="H373" s="17" t="n">
        <x:f>G373*F373</x:f>
        <x:v>162249.264</x:v>
      </x:c>
      <x:c r="I373" s="26" t="str">
        <x:f>HYPERLINK("https://etp-aktiv.ru/catalog/materialy/truboprovodnaya-armatura-i-komplektuyushchie/2000964801-W122/","Открыть позицию")</x:f>
        <x:v>Открыть позицию</x:v>
      </x:c>
    </x:row>
    <x:row r="374" ht="28" customHeight="1">
      <x:c r="A374" s="16" t="str">
        <x:v>Рубцовский ТЭК</x:v>
      </x:c>
      <x:c r="B374" s="16" t="str">
        <x:v>2000552877-W122</x:v>
      </x:c>
      <x:c r="C374" s="16" t="str">
        <x:v>ЛЮК Л(А15)-ТС.2.7-60 ЧУГУН ГОСТ3634-99</x:v>
      </x:c>
      <x:c r="D374" s="16" t="str">
        <x:v>Детали фасонные</x:v>
      </x:c>
      <x:c r="E374" s="16" t="str">
        <x:v>ШТ</x:v>
      </x:c>
      <x:c r="F374" s="25" t="n">
        <x:v>2</x:v>
      </x:c>
      <x:c r="G374" s="17" t="n">
        <x:v>3956.9968</x:v>
      </x:c>
      <x:c r="H374" s="17" t="n">
        <x:f>G374*F374</x:f>
        <x:v>7913.9936</x:v>
      </x:c>
      <x:c r="I374" s="26" t="str">
        <x:f>HYPERLINK("https://etp-aktiv.ru/catalog/materialy/truboprovody/2000552877-W122/","Открыть позицию")</x:f>
        <x:v>Открыть позицию</x:v>
      </x:c>
    </x:row>
    <x:row r="375" ht="28" customHeight="1">
      <x:c r="A375" s="16" t="str">
        <x:v>Рубцовский ТЭК</x:v>
      </x:c>
      <x:c r="B375" s="16" t="str">
        <x:v>2000595418-W122</x:v>
      </x:c>
      <x:c r="C375" s="16" t="str">
        <x:v>ЛЮК ЧУГУН Л(А15) К.2.7-60</x:v>
      </x:c>
      <x:c r="D375" s="16" t="str">
        <x:v>Детали фасонные</x:v>
      </x:c>
      <x:c r="E375" s="16" t="str">
        <x:v>ШТ</x:v>
      </x:c>
      <x:c r="F375" s="25" t="n">
        <x:v>25</x:v>
      </x:c>
      <x:c r="G375" s="17" t="n">
        <x:v>4524.1626</x:v>
      </x:c>
      <x:c r="H375" s="17" t="n">
        <x:f>G375*F375</x:f>
        <x:v>113104.06499999999</x:v>
      </x:c>
      <x:c r="I375" s="26" t="str">
        <x:f>HYPERLINK("https://etp-aktiv.ru/catalog/materialy/truboprovody/2000595418-W122/","Открыть позицию")</x:f>
        <x:v>Открыть позицию</x:v>
      </x:c>
    </x:row>
    <x:row r="376" ht="28" customHeight="1">
      <x:c r="A376" s="16" t="str">
        <x:v>Рубцовский ТЭК</x:v>
      </x:c>
      <x:c r="B376" s="16" t="str">
        <x:v>2000552958-W122</x:v>
      </x:c>
      <x:c r="C376" s="16" t="str">
        <x:v>ОПОРА 108-188 010.ОПХ-100-40.00</x:v>
      </x:c>
      <x:c r="D376" s="16" t="str">
        <x:v>Система опорн-подвес</x:v>
      </x:c>
      <x:c r="E376" s="16" t="str">
        <x:v>ШТ</x:v>
      </x:c>
      <x:c r="F376" s="25" t="n">
        <x:v>61</x:v>
      </x:c>
      <x:c r="G376" s="17" t="n">
        <x:v>1853.2166</x:v>
      </x:c>
      <x:c r="H376" s="17" t="n">
        <x:f>G376*F376</x:f>
        <x:v>113046.2126</x:v>
      </x:c>
      <x:c r="I376" s="26" t="str">
        <x:f>HYPERLINK("https://etp-aktiv.ru/catalog/materialy/truboprovody/2000552958-W122/","Открыть позицию")</x:f>
        <x:v>Открыть позицию</x:v>
      </x:c>
    </x:row>
    <x:row r="377" ht="28" customHeight="1">
      <x:c r="A377" s="16" t="str">
        <x:v>Рубцовский ТЭК</x:v>
      </x:c>
      <x:c r="B377" s="16" t="str">
        <x:v>2000552965-W122</x:v>
      </x:c>
      <x:c r="C377" s="16" t="str">
        <x:v>ОПОРА 426*9 011.НО-2-400-60.00.000СБ</x:v>
      </x:c>
      <x:c r="D377" s="16" t="str">
        <x:v>Система опорн-подвес</x:v>
      </x:c>
      <x:c r="E377" s="16" t="str">
        <x:v>ШТ</x:v>
      </x:c>
      <x:c r="F377" s="25" t="n">
        <x:v>5</x:v>
      </x:c>
      <x:c r="G377" s="17" t="n">
        <x:v>7736.2884</x:v>
      </x:c>
      <x:c r="H377" s="17" t="n">
        <x:f>G377*F377</x:f>
        <x:v>38681.442</x:v>
      </x:c>
      <x:c r="I377" s="26" t="str">
        <x:f>HYPERLINK("https://etp-aktiv.ru/catalog/materialy/truboprovody/2000552965-W122/","Открыть позицию")</x:f>
        <x:v>Открыть позицию</x:v>
      </x:c>
    </x:row>
    <x:row r="378" ht="28" customHeight="1">
      <x:c r="A378" s="16" t="str">
        <x:v>Рубцовский ТЭК</x:v>
      </x:c>
      <x:c r="B378" s="16" t="str">
        <x:v>2000552954-W122</x:v>
      </x:c>
      <x:c r="C378" s="16" t="str">
        <x:v>ОПОРА БУГЕЛЬНАЯ 010.ОПБ-500.60</x:v>
      </x:c>
      <x:c r="D378" s="16" t="str">
        <x:v>Система опорн-подвес</x:v>
      </x:c>
      <x:c r="E378" s="16" t="str">
        <x:v>ШТ</x:v>
      </x:c>
      <x:c r="F378" s="25" t="n">
        <x:v>4</x:v>
      </x:c>
      <x:c r="G378" s="17" t="n">
        <x:v>1901.4188</x:v>
      </x:c>
      <x:c r="H378" s="17" t="n">
        <x:f>G378*F378</x:f>
        <x:v>7605.6752</x:v>
      </x:c>
      <x:c r="I378" s="26" t="str">
        <x:f>HYPERLINK("https://etp-aktiv.ru/catalog/materialy/truboprovody/2000552954-W122/","Открыть позицию")</x:f>
        <x:v>Открыть позицию</x:v>
      </x:c>
    </x:row>
    <x:row r="379" ht="28" customHeight="1">
      <x:c r="A379" s="16" t="str">
        <x:v>Рубцовский ТЭК</x:v>
      </x:c>
      <x:c r="B379" s="16" t="str">
        <x:v>2000563926-W122</x:v>
      </x:c>
      <x:c r="C379" s="16" t="str">
        <x:v>ОПОРА НЕПОДВ 530*7 17Г1С ТС-666.00.00-08</x:v>
      </x:c>
      <x:c r="D379" s="16" t="str">
        <x:v>Система опорн-подвес</x:v>
      </x:c>
      <x:c r="E379" s="16" t="str">
        <x:v>ШТ</x:v>
      </x:c>
      <x:c r="F379" s="25" t="n">
        <x:v>3</x:v>
      </x:c>
      <x:c r="G379" s="17" t="n">
        <x:v>730.4018000000001</x:v>
      </x:c>
      <x:c r="H379" s="17" t="n">
        <x:f>G379*F379</x:f>
        <x:v>2191.2054000000003</x:v>
      </x:c>
      <x:c r="I379" s="26" t="str">
        <x:f>HYPERLINK("https://etp-aktiv.ru/catalog/materialy/truboprovody/2000563926-W122/","Открыть позицию")</x:f>
        <x:v>Открыть позицию</x:v>
      </x:c>
    </x:row>
    <x:row r="380" ht="28" customHeight="1">
      <x:c r="A380" s="16" t="str">
        <x:v>Рубцовский ТЭК</x:v>
      </x:c>
      <x:c r="B380" s="16" t="str">
        <x:v>2000553252-W122</x:v>
      </x:c>
      <x:c r="C380" s="16" t="str">
        <x:v>ОПОРА НЕПОДВ 820 СТ17Г1С ТС-666.00.00-14</x:v>
      </x:c>
      <x:c r="D380" s="16" t="str">
        <x:v>Система опорн-подвес</x:v>
      </x:c>
      <x:c r="E380" s="16" t="str">
        <x:v>ШТ</x:v>
      </x:c>
      <x:c r="F380" s="25" t="n">
        <x:v>4</x:v>
      </x:c>
      <x:c r="G380" s="17" t="n">
        <x:v>1942.2034</x:v>
      </x:c>
      <x:c r="H380" s="17" t="n">
        <x:f>G380*F380</x:f>
        <x:v>7768.8136</x:v>
      </x:c>
      <x:c r="I380" s="26" t="str">
        <x:f>HYPERLINK("https://etp-aktiv.ru/catalog/materialy/truboprovody/2000553252-W122/","Открыть позицию")</x:f>
        <x:v>Открыть позицию</x:v>
      </x:c>
    </x:row>
    <x:row r="381" ht="28" customHeight="1">
      <x:c r="A381" s="16" t="str">
        <x:v>Рубцовский ТЭК</x:v>
      </x:c>
      <x:c r="B381" s="16" t="str">
        <x:v>2000553262-W122</x:v>
      </x:c>
      <x:c r="C381" s="16" t="str">
        <x:v>ОПОРА СК ХОМ 200/315 СТ3 313.ТС-008.011</x:v>
      </x:c>
      <x:c r="D381" s="16" t="str">
        <x:v>Система опорн-подвес</x:v>
      </x:c>
      <x:c r="E381" s="16" t="str">
        <x:v>ШТ</x:v>
      </x:c>
      <x:c r="F381" s="25" t="n">
        <x:v>20</x:v>
      </x:c>
      <x:c r="G381" s="17" t="n">
        <x:v>1900.76</x:v>
      </x:c>
      <x:c r="H381" s="17" t="n">
        <x:f>G381*F381</x:f>
        <x:v>38015.2</x:v>
      </x:c>
      <x:c r="I381" s="26" t="str">
        <x:f>HYPERLINK("https://etp-aktiv.ru/catalog/materialy/truboprovody/2000553262-W122/","Открыть позицию")</x:f>
        <x:v>Открыть позицию</x:v>
      </x:c>
    </x:row>
    <x:row r="382" ht="28" customHeight="1">
      <x:c r="A382" s="16" t="str">
        <x:v>Рубцовский ТЭК</x:v>
      </x:c>
      <x:c r="B382" s="16" t="str">
        <x:v>2000553281-W122</x:v>
      </x:c>
      <x:c r="C382" s="16" t="str">
        <x:v>ОПОРА СКОЛЬЗЯЩАЯ 108У 03 ОСТ34-10-615-93</x:v>
      </x:c>
      <x:c r="D382" s="16" t="str">
        <x:v>Система опорн-подвес</x:v>
      </x:c>
      <x:c r="E382" s="16" t="str">
        <x:v>ШТ</x:v>
      </x:c>
      <x:c r="F382" s="25" t="n">
        <x:v>8</x:v>
      </x:c>
      <x:c r="G382" s="17" t="n">
        <x:v>61.4026</x:v>
      </x:c>
      <x:c r="H382" s="17" t="n">
        <x:f>G382*F382</x:f>
        <x:v>491.2208</x:v>
      </x:c>
      <x:c r="I382" s="26" t="str">
        <x:f>HYPERLINK("https://etp-aktiv.ru/catalog/materialy/truboprovody/2000553281-W122/","Открыть позицию")</x:f>
        <x:v>Открыть позицию</x:v>
      </x:c>
    </x:row>
    <x:row r="383" ht="28" customHeight="1">
      <x:c r="A383" s="16" t="str">
        <x:v>Рубцовский ТЭК</x:v>
      </x:c>
      <x:c r="B383" s="16" t="str">
        <x:v>2000553095-W122</x:v>
      </x:c>
      <x:c r="C383" s="16" t="str">
        <x:v>ОПОРА СКОЛЬЗЯЩАЯ 325 01 ОСТ108.275.30-80</x:v>
      </x:c>
      <x:c r="D383" s="16" t="str">
        <x:v>Система опорн-подвес</x:v>
      </x:c>
      <x:c r="E383" s="16" t="str">
        <x:v>ШТ</x:v>
      </x:c>
      <x:c r="F383" s="25" t="n">
        <x:v>4</x:v>
      </x:c>
      <x:c r="G383" s="17" t="n">
        <x:v>10004</x:v>
      </x:c>
      <x:c r="H383" s="17" t="n">
        <x:f>G383*F383</x:f>
        <x:v>40016</x:v>
      </x:c>
      <x:c r="I383" s="26" t="str">
        <x:f>HYPERLINK("https://etp-aktiv.ru/catalog/materialy/truboprovody/2000553095-W122/","Открыть позицию")</x:f>
        <x:v>Открыть позицию</x:v>
      </x:c>
    </x:row>
    <x:row r="384" ht="28" customHeight="1">
      <x:c r="A384" s="16" t="str">
        <x:v>Рубцовский ТЭК</x:v>
      </x:c>
      <x:c r="B384" s="16" t="str">
        <x:v>2000552953-W122</x:v>
      </x:c>
      <x:c r="C384" s="16" t="str">
        <x:v>ОПОРА СКОЛЬЗЯЩАЯ БУГЕЛЬН 010.ОПБ-350.60</x:v>
      </x:c>
      <x:c r="D384" s="16" t="str">
        <x:v>Система опорн-подвес</x:v>
      </x:c>
      <x:c r="E384" s="16" t="str">
        <x:v>ШТ</x:v>
      </x:c>
      <x:c r="F384" s="25" t="n">
        <x:v>62</x:v>
      </x:c>
      <x:c r="G384" s="17" t="n">
        <x:v>1266.299</x:v>
      </x:c>
      <x:c r="H384" s="17" t="n">
        <x:f>G384*F384</x:f>
        <x:v>78510.538</x:v>
      </x:c>
      <x:c r="I384" s="26" t="str">
        <x:f>HYPERLINK("https://etp-aktiv.ru/catalog/materialy/truboprovody/2000552953-W122/","Открыть позицию")</x:f>
        <x:v>Открыть позицию</x:v>
      </x:c>
    </x:row>
    <x:row r="385" ht="28" customHeight="1">
      <x:c r="A385" s="16" t="str">
        <x:v>Рубцовский ТЭК</x:v>
      </x:c>
      <x:c r="B385" s="16" t="str">
        <x:v>2000553301-W122</x:v>
      </x:c>
      <x:c r="C385" s="16" t="str">
        <x:v>ОПОРА СПО 89/180.200 СТ.09Г2С ГФ-021</x:v>
      </x:c>
      <x:c r="D385" s="16" t="str">
        <x:v>Система опорн-подвес</x:v>
      </x:c>
      <x:c r="E385" s="16" t="str">
        <x:v>ШТ</x:v>
      </x:c>
      <x:c r="F385" s="25" t="n">
        <x:v>17</x:v>
      </x:c>
      <x:c r="G385" s="17" t="n">
        <x:v>470.31</x:v>
      </x:c>
      <x:c r="H385" s="17" t="n">
        <x:f>G385*F385</x:f>
        <x:v>7995.27</x:v>
      </x:c>
      <x:c r="I385" s="26" t="str">
        <x:f>HYPERLINK("https://etp-aktiv.ru/catalog/materialy/truboprovody/2000553301-W122/","Открыть позицию")</x:f>
        <x:v>Открыть позицию</x:v>
      </x:c>
    </x:row>
    <x:row r="386" ht="28" customHeight="1">
      <x:c r="A386" s="16" t="str">
        <x:v>Рубцовский ТЭК</x:v>
      </x:c>
      <x:c r="B386" s="16" t="str">
        <x:v>2000559620-W122</x:v>
      </x:c>
      <x:c r="C386" s="16" t="str">
        <x:v>ОТВОД 15 820*9 09Г2С ТС583-032 В ППМИ 70</x:v>
      </x:c>
      <x:c r="D386" s="16" t="str">
        <x:v>Труб/элем ТИ и Футер</x:v>
      </x:c>
      <x:c r="E386" s="16" t="str">
        <x:v>ШТ</x:v>
      </x:c>
      <x:c r="F386" s="25" t="n">
        <x:v>6</x:v>
      </x:c>
      <x:c r="G386" s="17" t="n">
        <x:v>7865.5718</x:v>
      </x:c>
      <x:c r="H386" s="17" t="n">
        <x:f>G386*F386</x:f>
        <x:v>47193.4308</x:v>
      </x:c>
      <x:c r="I386" s="26" t="str">
        <x:f>HYPERLINK("https://etp-aktiv.ru/catalog/materialy/truboprovody/2000559620-W122/","Открыть позицию")</x:f>
        <x:v>Открыть позицию</x:v>
      </x:c>
    </x:row>
    <x:row r="387" ht="28" customHeight="1">
      <x:c r="A387" s="16" t="str">
        <x:v>Рубцовский ТЭК</x:v>
      </x:c>
      <x:c r="B387" s="16" t="str">
        <x:v>2000554277-W122</x:v>
      </x:c>
      <x:c r="C387" s="16" t="str">
        <x:v>ОТВОД 30° 09Г2С DN108*4 ОСТ34.10.699</x:v>
      </x:c>
      <x:c r="D387" s="16" t="str">
        <x:v>Детали фасонные</x:v>
      </x:c>
      <x:c r="E387" s="16" t="str">
        <x:v>ШТ</x:v>
      </x:c>
      <x:c r="F387" s="25" t="n">
        <x:v>1</x:v>
      </x:c>
      <x:c r="G387" s="17" t="n">
        <x:v>58.315999999999995</x:v>
      </x:c>
      <x:c r="H387" s="17" t="n">
        <x:f>G387*F387</x:f>
        <x:v>58.315999999999995</x:v>
      </x:c>
      <x:c r="I387" s="26" t="str">
        <x:f>HYPERLINK("https://etp-aktiv.ru/catalog/materialy/truboprovody/2000554277-W122/","Открыть позицию")</x:f>
        <x:v>Открыть позицию</x:v>
      </x:c>
    </x:row>
    <x:row r="388" ht="28" customHeight="1">
      <x:c r="A388" s="16" t="str">
        <x:v>Рубцовский ТЭК</x:v>
      </x:c>
      <x:c r="B388" s="16" t="str">
        <x:v>2000242193-W122</x:v>
      </x:c>
      <x:c r="C388" s="16" t="str">
        <x:v>ОТВОД 30° 09Г2С DN325 10 PN40 ТС-582-09</x:v>
      </x:c>
      <x:c r="D388" s="16" t="str">
        <x:v>Детали фасонные</x:v>
      </x:c>
      <x:c r="E388" s="16" t="str">
        <x:v>ШТ</x:v>
      </x:c>
      <x:c r="F388" s="25" t="n">
        <x:v>1</x:v>
      </x:c>
      <x:c r="G388" s="17" t="n">
        <x:v>250.1488</x:v>
      </x:c>
      <x:c r="H388" s="17" t="n">
        <x:f>G388*F388</x:f>
        <x:v>250.1488</x:v>
      </x:c>
      <x:c r="I388" s="26" t="str">
        <x:f>HYPERLINK("https://etp-aktiv.ru/catalog/materialy/truboprovody/2000242193-W122/","Открыть позицию")</x:f>
        <x:v>Открыть позицию</x:v>
      </x:c>
    </x:row>
    <x:row r="389" ht="28" customHeight="1">
      <x:c r="A389" s="16" t="str">
        <x:v>Рубцовский ТЭК</x:v>
      </x:c>
      <x:c r="B389" s="16" t="str">
        <x:v>2000559621-W122</x:v>
      </x:c>
      <x:c r="C389" s="16" t="str">
        <x:v>ОТВОД 30° 108*4 09Г2С ТС-582-04 ППМИ40</x:v>
      </x:c>
      <x:c r="D389" s="16" t="str">
        <x:v>Труб/элем ТИ и Футер</x:v>
      </x:c>
      <x:c r="E389" s="16" t="str">
        <x:v>ШТ</x:v>
      </x:c>
      <x:c r="F389" s="25" t="n">
        <x:v>2</x:v>
      </x:c>
      <x:c r="G389" s="17" t="n">
        <x:v>1171.078</x:v>
      </x:c>
      <x:c r="H389" s="17" t="n">
        <x:f>G389*F389</x:f>
        <x:v>2342.156</x:v>
      </x:c>
      <x:c r="I389" s="26" t="str">
        <x:f>HYPERLINK("https://etp-aktiv.ru/catalog/materialy/truboprovody/2000559621-W122/","Открыть позицию")</x:f>
        <x:v>Открыть позицию</x:v>
      </x:c>
    </x:row>
    <x:row r="390" ht="28" customHeight="1">
      <x:c r="A390" s="16" t="str">
        <x:v>Рубцовский ТЭК</x:v>
      </x:c>
      <x:c r="B390" s="16" t="str">
        <x:v>2000554294-W122</x:v>
      </x:c>
      <x:c r="C390" s="16" t="str">
        <x:v>ОТВОД 30° 17Г1С 720*9-1,6 ТС-583.000-123</x:v>
      </x:c>
      <x:c r="D390" s="16" t="str">
        <x:v>Детали фасонные</x:v>
      </x:c>
      <x:c r="E390" s="16" t="str">
        <x:v>ШТ</x:v>
      </x:c>
      <x:c r="F390" s="25" t="n">
        <x:v>5</x:v>
      </x:c>
      <x:c r="G390" s="17" t="n">
        <x:v>1299.0559999999998</x:v>
      </x:c>
      <x:c r="H390" s="17" t="n">
        <x:f>G390*F390</x:f>
        <x:v>6495.279999999999</x:v>
      </x:c>
      <x:c r="I390" s="26" t="str">
        <x:f>HYPERLINK("https://etp-aktiv.ru/catalog/materialy/truboprovody/2000554294-W122/","Открыть позицию")</x:f>
        <x:v>Открыть позицию</x:v>
      </x:c>
    </x:row>
    <x:row r="391" ht="28" customHeight="1">
      <x:c r="A391" s="16" t="str">
        <x:v>Рубцовский ТЭК</x:v>
      </x:c>
      <x:c r="B391" s="16" t="str">
        <x:v>2000559622-W122</x:v>
      </x:c>
      <x:c r="C391" s="16" t="str">
        <x:v>ОТВОД 30° 720*9 09Г2С ТС-583-123 ППМИ 70</x:v>
      </x:c>
      <x:c r="D391" s="16" t="str">
        <x:v>Труб/элем ТИ и Футер</x:v>
      </x:c>
      <x:c r="E391" s="16" t="str">
        <x:v>ШТ</x:v>
      </x:c>
      <x:c r="F391" s="25" t="n">
        <x:v>6</x:v>
      </x:c>
      <x:c r="G391" s="17" t="n">
        <x:v>11560.9518</x:v>
      </x:c>
      <x:c r="H391" s="17" t="n">
        <x:f>G391*F391</x:f>
        <x:v>69365.7108</x:v>
      </x:c>
      <x:c r="I391" s="26" t="str">
        <x:f>HYPERLINK("https://etp-aktiv.ru/catalog/materialy/truboprovody/2000559622-W122/","Открыть позицию")</x:f>
        <x:v>Открыть позицию</x:v>
      </x:c>
    </x:row>
    <x:row r="392" ht="28" customHeight="1">
      <x:c r="A392" s="16" t="str">
        <x:v>Рубцовский ТЭК</x:v>
      </x:c>
      <x:c r="B392" s="16" t="str">
        <x:v>2000559623-W122</x:v>
      </x:c>
      <x:c r="C392" s="16" t="str">
        <x:v>ОТВОД 30° 820*9 09Г2С ТС-583-125 ППМИ 70</x:v>
      </x:c>
      <x:c r="D392" s="16" t="str">
        <x:v>Труб/элем ТИ и Футер</x:v>
      </x:c>
      <x:c r="E392" s="16" t="str">
        <x:v>ШТ</x:v>
      </x:c>
      <x:c r="F392" s="25" t="n">
        <x:v>2</x:v>
      </x:c>
      <x:c r="G392" s="17" t="n">
        <x:v>9257.750399999999</x:v>
      </x:c>
      <x:c r="H392" s="17" t="n">
        <x:f>G392*F392</x:f>
        <x:v>18515.500799999998</x:v>
      </x:c>
      <x:c r="I392" s="26" t="str">
        <x:f>HYPERLINK("https://etp-aktiv.ru/catalog/materialy/truboprovody/2000559623-W122/","Открыть позицию")</x:f>
        <x:v>Открыть позицию</x:v>
      </x:c>
    </x:row>
    <x:row r="393" ht="28" customHeight="1">
      <x:c r="A393" s="16" t="str">
        <x:v>Рубцовский ТЭК</x:v>
      </x:c>
      <x:c r="B393" s="16" t="str">
        <x:v>2000554318-W122</x:v>
      </x:c>
      <x:c r="C393" s="16" t="str">
        <x:v>ОТВОД 45° 09Г2С DN159*6 ГОСТ17375-01</x:v>
      </x:c>
      <x:c r="D393" s="16" t="str">
        <x:v>Детали фасонные</x:v>
      </x:c>
      <x:c r="E393" s="16" t="str">
        <x:v>ШТ</x:v>
      </x:c>
      <x:c r="F393" s="25" t="n">
        <x:v>1</x:v>
      </x:c>
      <x:c r="G393" s="17" t="n">
        <x:v>90.0482</x:v>
      </x:c>
      <x:c r="H393" s="17" t="n">
        <x:f>G393*F393</x:f>
        <x:v>90.0482</x:v>
      </x:c>
      <x:c r="I393" s="26" t="str">
        <x:f>HYPERLINK("https://etp-aktiv.ru/catalog/materialy/truboprovody/2000554318-W122/","Открыть позицию")</x:f>
        <x:v>Открыть позицию</x:v>
      </x:c>
    </x:row>
    <x:row r="394" ht="28" customHeight="1">
      <x:c r="A394" s="16" t="str">
        <x:v>Рубцовский ТЭК</x:v>
      </x:c>
      <x:c r="B394" s="16" t="str">
        <x:v>2000554344-W122</x:v>
      </x:c>
      <x:c r="C394" s="16" t="str">
        <x:v>ОТВОД 45° 17Г1С 720*11-2,5 ТС583.000-153</x:v>
      </x:c>
      <x:c r="D394" s="16" t="str">
        <x:v>Детали фасонные</x:v>
      </x:c>
      <x:c r="E394" s="16" t="str">
        <x:v>ШТ</x:v>
      </x:c>
      <x:c r="F394" s="25" t="n">
        <x:v>2</x:v>
      </x:c>
      <x:c r="G394" s="17" t="n">
        <x:v>2217.899</x:v>
      </x:c>
      <x:c r="H394" s="17" t="n">
        <x:f>G394*F394</x:f>
        <x:v>4435.798</x:v>
      </x:c>
      <x:c r="I394" s="26" t="str">
        <x:f>HYPERLINK("https://etp-aktiv.ru/catalog/materialy/truboprovody/2000554344-W122/","Открыть позицию")</x:f>
        <x:v>Открыть позицию</x:v>
      </x:c>
    </x:row>
    <x:row r="395" ht="28" customHeight="1">
      <x:c r="A395" s="16" t="str">
        <x:v>Рубцовский ТЭК</x:v>
      </x:c>
      <x:c r="B395" s="16" t="str">
        <x:v>2000259021-W122</x:v>
      </x:c>
      <x:c r="C395" s="16" t="str">
        <x:v>ОТВОД 45° 17Г1С DN720 9 PN16 ТС-583.000</x:v>
      </x:c>
      <x:c r="D395" s="16" t="str">
        <x:v>Детали фасонные</x:v>
      </x:c>
      <x:c r="E395" s="16" t="str">
        <x:v>ШТ</x:v>
      </x:c>
      <x:c r="F395" s="25" t="n">
        <x:v>8</x:v>
      </x:c>
      <x:c r="G395" s="17" t="n">
        <x:v>3072.814</x:v>
      </x:c>
      <x:c r="H395" s="17" t="n">
        <x:f>G395*F395</x:f>
        <x:v>24582.512</x:v>
      </x:c>
      <x:c r="I395" s="26" t="str">
        <x:f>HYPERLINK("https://etp-aktiv.ru/catalog/materialy/truboprovody/2000259021-W122/","Открыть позицию")</x:f>
        <x:v>Открыть позицию</x:v>
      </x:c>
    </x:row>
    <x:row r="396" ht="28" customHeight="1">
      <x:c r="A396" s="16" t="str">
        <x:v>Рубцовский ТЭК</x:v>
      </x:c>
      <x:c r="B396" s="16" t="str">
        <x:v>2000554358-W122</x:v>
      </x:c>
      <x:c r="C396" s="16" t="str">
        <x:v>ОТВОД 60° 09Г2С DN159*6 ГОСТ17375-01</x:v>
      </x:c>
      <x:c r="D396" s="16" t="str">
        <x:v>Детали фасонные</x:v>
      </x:c>
      <x:c r="E396" s="16" t="str">
        <x:v>ШТ</x:v>
      </x:c>
      <x:c r="F396" s="25" t="n">
        <x:v>1</x:v>
      </x:c>
      <x:c r="G396" s="17" t="n">
        <x:v>124.5132</x:v>
      </x:c>
      <x:c r="H396" s="17" t="n">
        <x:f>G396*F396</x:f>
        <x:v>124.5132</x:v>
      </x:c>
      <x:c r="I396" s="26" t="str">
        <x:f>HYPERLINK("https://etp-aktiv.ru/catalog/materialy/truboprovody/2000554358-W122/","Открыть позицию")</x:f>
        <x:v>Открыть позицию</x:v>
      </x:c>
    </x:row>
    <x:row r="397" ht="28" customHeight="1">
      <x:c r="A397" s="16" t="str">
        <x:v>Рубцовский ТЭК</x:v>
      </x:c>
      <x:c r="B397" s="16" t="str">
        <x:v>2000261861-W122</x:v>
      </x:c>
      <x:c r="C397" s="16" t="str">
        <x:v>ОТВОД 60° 17Г1С DN720 9 PN16 ТС-583.000</x:v>
      </x:c>
      <x:c r="D397" s="16" t="str">
        <x:v>Детали фасонные</x:v>
      </x:c>
      <x:c r="E397" s="16" t="str">
        <x:v>ШТ</x:v>
      </x:c>
      <x:c r="F397" s="25" t="n">
        <x:v>3</x:v>
      </x:c>
      <x:c r="G397" s="17" t="n">
        <x:v>4847.121</x:v>
      </x:c>
      <x:c r="H397" s="17" t="n">
        <x:f>G397*F397</x:f>
        <x:v>14541.363000000001</x:v>
      </x:c>
      <x:c r="I397" s="26" t="str">
        <x:f>HYPERLINK("https://etp-aktiv.ru/catalog/materialy/truboprovody/2000261861-W122/","Открыть позицию")</x:f>
        <x:v>Открыть позицию</x:v>
      </x:c>
    </x:row>
    <x:row r="398" ht="28" customHeight="1">
      <x:c r="A398" s="16" t="str">
        <x:v>Рубцовский ТЭК</x:v>
      </x:c>
      <x:c r="B398" s="16" t="str">
        <x:v>2000559625-W122</x:v>
      </x:c>
      <x:c r="C398" s="16" t="str">
        <x:v>ОТВОД 60° 820*9 09Г2С ТС-583-000-218 С</x:v>
      </x:c>
      <x:c r="D398" s="16" t="str">
        <x:v>Труб/элем ТИ и Футер</x:v>
      </x:c>
      <x:c r="E398" s="16" t="str">
        <x:v>ШТ</x:v>
      </x:c>
      <x:c r="F398" s="25" t="n">
        <x:v>1</x:v>
      </x:c>
      <x:c r="G398" s="17" t="n">
        <x:v>15982.8418</x:v>
      </x:c>
      <x:c r="H398" s="17" t="n">
        <x:f>G398*F398</x:f>
        <x:v>15982.8418</x:v>
      </x:c>
      <x:c r="I398" s="26" t="str">
        <x:f>HYPERLINK("https://etp-aktiv.ru/catalog/materialy/truboprovody/2000559625-W122/","Открыть позицию")</x:f>
        <x:v>Открыть позицию</x:v>
      </x:c>
    </x:row>
    <x:row r="399" ht="28" customHeight="1">
      <x:c r="A399" s="16" t="str">
        <x:v>Рубцовский ТЭК</x:v>
      </x:c>
      <x:c r="B399" s="16" t="str">
        <x:v>2000730875-W122</x:v>
      </x:c>
      <x:c r="C399" s="16" t="str">
        <x:v>ОТВОД 90 09Г2С-14 DN219 7 ГОСТ17375</x:v>
      </x:c>
      <x:c r="D399" s="16" t="str">
        <x:v>Детали фасонные</x:v>
      </x:c>
      <x:c r="E399" s="16" t="str">
        <x:v>ШТ</x:v>
      </x:c>
      <x:c r="F399" s="25" t="n">
        <x:v>5</x:v>
      </x:c>
      <x:c r="G399" s="17" t="n">
        <x:v>1606.4472</x:v>
      </x:c>
      <x:c r="H399" s="17" t="n">
        <x:f>G399*F399</x:f>
        <x:v>8032.236000000001</x:v>
      </x:c>
      <x:c r="I399" s="26" t="str">
        <x:f>HYPERLINK("https://etp-aktiv.ru/catalog/materialy/truboprovody/2000730875-W122/","Открыть позицию")</x:f>
        <x:v>Открыть позицию</x:v>
      </x:c>
    </x:row>
    <x:row r="400" ht="28" customHeight="1">
      <x:c r="A400" s="16" t="str">
        <x:v>Рубцовский ТЭК</x:v>
      </x:c>
      <x:c r="B400" s="16" t="str">
        <x:v>2000559627-W122</x:v>
      </x:c>
      <x:c r="C400" s="16" t="str">
        <x:v>ОТВОД 90 108*4 09Г2С ТС-582-04 ППМИ 40</x:v>
      </x:c>
      <x:c r="D400" s="16" t="str">
        <x:v>Труб/элем ТИ и Футер</x:v>
      </x:c>
      <x:c r="E400" s="16" t="str">
        <x:v>ШТ</x:v>
      </x:c>
      <x:c r="F400" s="25" t="n">
        <x:v>6</x:v>
      </x:c>
      <x:c r="G400" s="17" t="n">
        <x:v>1215.9618</x:v>
      </x:c>
      <x:c r="H400" s="17" t="n">
        <x:f>G400*F400</x:f>
        <x:v>7295.7708</x:v>
      </x:c>
      <x:c r="I400" s="26" t="str">
        <x:f>HYPERLINK("https://etp-aktiv.ru/catalog/materialy/truboprovody/2000559627-W122/","Открыть позицию")</x:f>
        <x:v>Открыть позицию</x:v>
      </x:c>
    </x:row>
    <x:row r="401" ht="28" customHeight="1">
      <x:c r="A401" s="16" t="str">
        <x:v>Рубцовский ТЭК</x:v>
      </x:c>
      <x:c r="B401" s="16" t="str">
        <x:v>2000554534-W122</x:v>
      </x:c>
      <x:c r="C401" s="16" t="str">
        <x:v>ОТВОД 90 17Г1С 820*9-1,6 ТС583-264 5.903</x:v>
      </x:c>
      <x:c r="D401" s="16" t="str">
        <x:v>Детали фасонные</x:v>
      </x:c>
      <x:c r="E401" s="16" t="str">
        <x:v>ШТ</x:v>
      </x:c>
      <x:c r="F401" s="25" t="n">
        <x:v>11</x:v>
      </x:c>
      <x:c r="G401" s="17" t="n">
        <x:v>10628.090999999999</x:v>
      </x:c>
      <x:c r="H401" s="17" t="n">
        <x:f>G401*F401</x:f>
        <x:v>116909.00099999999</x:v>
      </x:c>
      <x:c r="I401" s="26" t="str">
        <x:f>HYPERLINK("https://etp-aktiv.ru/catalog/materialy/truboprovody/2000554534-W122/","Открыть позицию")</x:f>
        <x:v>Открыть позицию</x:v>
      </x:c>
    </x:row>
    <x:row r="402" ht="28" customHeight="1">
      <x:c r="A402" s="16" t="str">
        <x:v>Рубцовский ТЭК</x:v>
      </x:c>
      <x:c r="B402" s="16" t="str">
        <x:v>2000559615-W122</x:v>
      </x:c>
      <x:c r="C402" s="16" t="str">
        <x:v>ОТВОД 90 89*3,5 09Г2С 180-ППУ-ОЦ СОДК</x:v>
      </x:c>
      <x:c r="D402" s="16" t="str">
        <x:v>Труб/элем ТИ и Футер</x:v>
      </x:c>
      <x:c r="E402" s="16" t="str">
        <x:v>ШТ</x:v>
      </x:c>
      <x:c r="F402" s="25" t="n">
        <x:v>20</x:v>
      </x:c>
      <x:c r="G402" s="17" t="n">
        <x:v>1087.3006</x:v>
      </x:c>
      <x:c r="H402" s="17" t="n">
        <x:f>G402*F402</x:f>
        <x:v>21746.012000000002</x:v>
      </x:c>
      <x:c r="I402" s="26" t="str">
        <x:f>HYPERLINK("https://etp-aktiv.ru/catalog/materialy/truboprovody/2000559615-W122/","Открыть позицию")</x:f>
        <x:v>Открыть позицию</x:v>
      </x:c>
    </x:row>
    <x:row r="403" ht="28" customHeight="1">
      <x:c r="A403" s="16" t="str">
        <x:v>Рубцовский ТЭК</x:v>
      </x:c>
      <x:c r="B403" s="16" t="str">
        <x:v>2000698140-W122</x:v>
      </x:c>
      <x:c r="C403" s="16" t="str">
        <x:v>ОТВОД 90° СТ20 426*20 ГОСТ17375-01</x:v>
      </x:c>
      <x:c r="D403" s="16" t="str">
        <x:v>Детали фасонные</x:v>
      </x:c>
      <x:c r="E403" s="16" t="str">
        <x:v>ШТ</x:v>
      </x:c>
      <x:c r="F403" s="25" t="n">
        <x:v>1</x:v>
      </x:c>
      <x:c r="G403" s="17" t="n">
        <x:v>34538.9808</x:v>
      </x:c>
      <x:c r="H403" s="17" t="n">
        <x:f>G403*F403</x:f>
        <x:v>34538.9808</x:v>
      </x:c>
      <x:c r="I403" s="26" t="str">
        <x:f>HYPERLINK("https://etp-aktiv.ru/catalog/materialy/truboprovody/2000698140-W122/","Открыть позицию")</x:f>
        <x:v>Открыть позицию</x:v>
      </x:c>
    </x:row>
    <x:row r="404" ht="28" customHeight="1">
      <x:c r="A404" s="16" t="str">
        <x:v>Рубцовский ТЭК</x:v>
      </x:c>
      <x:c r="B404" s="16" t="str">
        <x:v>2000140260-W122</x:v>
      </x:c>
      <x:c r="C404" s="16" t="str">
        <x:v>ОТВОД 90° СТ20 57*4 ГОСТ17375-01</x:v>
      </x:c>
      <x:c r="D404" s="16" t="str">
        <x:v>Детали фасонные</x:v>
      </x:c>
      <x:c r="E404" s="16" t="str">
        <x:v>ШТ</x:v>
      </x:c>
      <x:c r="F404" s="25" t="n">
        <x:v>109</x:v>
      </x:c>
      <x:c r="G404" s="17" t="n">
        <x:v>147.3638</x:v>
      </x:c>
      <x:c r="H404" s="17" t="n">
        <x:f>G404*F404</x:f>
        <x:v>16062.654199999999</x:v>
      </x:c>
      <x:c r="I404" s="26" t="str">
        <x:f>HYPERLINK("https://etp-aktiv.ru/catalog/materialy/truboprovody/2000140260-W122/","Открыть позицию")</x:f>
        <x:v>Открыть позицию</x:v>
      </x:c>
    </x:row>
    <x:row r="405" ht="28" customHeight="1">
      <x:c r="A405" s="16" t="str">
        <x:v>Рубцовский ТЭК</x:v>
      </x:c>
      <x:c r="B405" s="16" t="str">
        <x:v>2000140263-W122</x:v>
      </x:c>
      <x:c r="C405" s="16" t="str">
        <x:v>ОТВОД 90° СТ20 89*4 ГОСТ17375-01</x:v>
      </x:c>
      <x:c r="D405" s="16" t="str">
        <x:v>Детали фасонные</x:v>
      </x:c>
      <x:c r="E405" s="16" t="str">
        <x:v>ШТ</x:v>
      </x:c>
      <x:c r="F405" s="25" t="n">
        <x:v>15</x:v>
      </x:c>
      <x:c r="G405" s="17" t="n">
        <x:v>317.5904</x:v>
      </x:c>
      <x:c r="H405" s="17" t="n">
        <x:f>G405*F405</x:f>
        <x:v>4763.856</x:v>
      </x:c>
      <x:c r="I405" s="26" t="str">
        <x:f>HYPERLINK("https://etp-aktiv.ru/catalog/materialy/truboprovody/2000140263-W122/","Открыть позицию")</x:f>
        <x:v>Открыть позицию</x:v>
      </x:c>
    </x:row>
    <x:row r="406" ht="28" customHeight="1">
      <x:c r="A406" s="16" t="str">
        <x:v>Рубцовский ТЭК</x:v>
      </x:c>
      <x:c r="B406" s="16" t="str">
        <x:v>2000148451-W122</x:v>
      </x:c>
      <x:c r="C406" s="16" t="str">
        <x:v>ОТВОД 90° СТ20 DN108 4 ГОСТ17375-01</x:v>
      </x:c>
      <x:c r="D406" s="16" t="str">
        <x:v>Детали фасонные</x:v>
      </x:c>
      <x:c r="E406" s="16" t="str">
        <x:v>ШТ</x:v>
      </x:c>
      <x:c r="F406" s="25" t="n">
        <x:v>8</x:v>
      </x:c>
      <x:c r="G406" s="17" t="n">
        <x:v>253.2232</x:v>
      </x:c>
      <x:c r="H406" s="17" t="n">
        <x:f>G406*F406</x:f>
        <x:v>2025.7856</x:v>
      </x:c>
      <x:c r="I406" s="26" t="str">
        <x:f>HYPERLINK("https://etp-aktiv.ru/catalog/materialy/truboprovody/2000148451-W122/","Открыть позицию")</x:f>
        <x:v>Открыть позицию</x:v>
      </x:c>
    </x:row>
    <x:row r="407" ht="28" customHeight="1">
      <x:c r="A407" s="16" t="str">
        <x:v>Рубцовский ТЭК</x:v>
      </x:c>
      <x:c r="B407" s="16" t="str">
        <x:v>2000148453-W122</x:v>
      </x:c>
      <x:c r="C407" s="16" t="str">
        <x:v>ОТВОД 90° СТ20 DN133 4,5 ГОСТ17375-01</x:v>
      </x:c>
      <x:c r="D407" s="16" t="str">
        <x:v>Детали фасонные</x:v>
      </x:c>
      <x:c r="E407" s="16" t="str">
        <x:v>ШТ</x:v>
      </x:c>
      <x:c r="F407" s="25" t="n">
        <x:v>16</x:v>
      </x:c>
      <x:c r="G407" s="17" t="n">
        <x:v>879.3394</x:v>
      </x:c>
      <x:c r="H407" s="17" t="n">
        <x:f>G407*F407</x:f>
        <x:v>14069.4304</x:v>
      </x:c>
      <x:c r="I407" s="26" t="str">
        <x:f>HYPERLINK("https://etp-aktiv.ru/catalog/materialy/truboprovody/2000148453-W122/","Открыть позицию")</x:f>
        <x:v>Открыть позицию</x:v>
      </x:c>
    </x:row>
    <x:row r="408" ht="28" customHeight="1">
      <x:c r="A408" s="16" t="str">
        <x:v>Рубцовский ТЭК</x:v>
      </x:c>
      <x:c r="B408" s="16" t="str">
        <x:v>2000007081-W122</x:v>
      </x:c>
      <x:c r="C408" s="16" t="str">
        <x:v>ОТВОД 90° СТ20 DN133 5 ГОСТ17375-01</x:v>
      </x:c>
      <x:c r="D408" s="16" t="str">
        <x:v>Детали фасонные</x:v>
      </x:c>
      <x:c r="E408" s="16" t="str">
        <x:v>ШТ</x:v>
      </x:c>
      <x:c r="F408" s="25" t="n">
        <x:v>1</x:v>
      </x:c>
      <x:c r="G408" s="17" t="n">
        <x:v>572.0702</x:v>
      </x:c>
      <x:c r="H408" s="17" t="n">
        <x:f>G408*F408</x:f>
        <x:v>572.0702</x:v>
      </x:c>
      <x:c r="I408" s="26" t="str">
        <x:f>HYPERLINK("https://etp-aktiv.ru/catalog/materialy/truboprovody/2000007081-W122/","Открыть позицию")</x:f>
        <x:v>Открыть позицию</x:v>
      </x:c>
    </x:row>
    <x:row r="409" ht="28" customHeight="1">
      <x:c r="A409" s="16" t="str">
        <x:v>Рубцовский ТЭК</x:v>
      </x:c>
      <x:c r="B409" s="16" t="str">
        <x:v>2000140258-W122</x:v>
      </x:c>
      <x:c r="C409" s="16" t="str">
        <x:v>ОТВОД 90° СТ20 DN159 5 ГОСТ17375-01</x:v>
      </x:c>
      <x:c r="D409" s="16" t="str">
        <x:v>Детали фасонные</x:v>
      </x:c>
      <x:c r="E409" s="16" t="str">
        <x:v>ШТ</x:v>
      </x:c>
      <x:c r="F409" s="25" t="n">
        <x:v>2</x:v>
      </x:c>
      <x:c r="G409" s="17" t="n">
        <x:v>941.535</x:v>
      </x:c>
      <x:c r="H409" s="17" t="n">
        <x:f>G409*F409</x:f>
        <x:v>1883.07</x:v>
      </x:c>
      <x:c r="I409" s="26" t="str">
        <x:f>HYPERLINK("https://etp-aktiv.ru/catalog/materialy/truboprovody/2000140258-W122/","Открыть позицию")</x:f>
        <x:v>Открыть позицию</x:v>
      </x:c>
    </x:row>
    <x:row r="410" ht="28" customHeight="1">
      <x:c r="A410" s="16" t="str">
        <x:v>Рубцовский ТЭК</x:v>
      </x:c>
      <x:c r="B410" s="16" t="str">
        <x:v>2000167744-W122</x:v>
      </x:c>
      <x:c r="C410" s="16" t="str">
        <x:v>ОТВОД 90° СТ20 DN57 3 ГОСТ17375-01</x:v>
      </x:c>
      <x:c r="D410" s="16" t="str">
        <x:v>Детали фасонные</x:v>
      </x:c>
      <x:c r="E410" s="16" t="str">
        <x:v>ШТ</x:v>
      </x:c>
      <x:c r="F410" s="25" t="n">
        <x:v>4</x:v>
      </x:c>
      <x:c r="G410" s="17" t="n">
        <x:v>91.5</x:v>
      </x:c>
      <x:c r="H410" s="17" t="n">
        <x:f>G410*F410</x:f>
        <x:v>366</x:v>
      </x:c>
      <x:c r="I410" s="26" t="str">
        <x:f>HYPERLINK("https://etp-aktiv.ru/catalog/materialy/truboprovody/2000167744-W122/","Открыть позицию")</x:f>
        <x:v>Открыть позицию</x:v>
      </x:c>
    </x:row>
    <x:row r="411" ht="28" customHeight="1">
      <x:c r="A411" s="16" t="str">
        <x:v>Рубцовский ТЭК</x:v>
      </x:c>
      <x:c r="B411" s="16" t="str">
        <x:v>2000954080-W122</x:v>
      </x:c>
      <x:c r="C411" s="16" t="str">
        <x:v>ОТВОД 90° СТ20 DN820*9 ГОСТ17375-2001</x:v>
      </x:c>
      <x:c r="D411" s="16" t="str">
        <x:v>Детали фасонные</x:v>
      </x:c>
      <x:c r="E411" s="16" t="str">
        <x:v>ШТ</x:v>
      </x:c>
      <x:c r="F411" s="25" t="n">
        <x:v>10</x:v>
      </x:c>
      <x:c r="G411" s="17" t="n">
        <x:v>76738</x:v>
      </x:c>
      <x:c r="H411" s="17" t="n">
        <x:f>G411*F411</x:f>
        <x:v>767380</x:v>
      </x:c>
      <x:c r="I411" s="26" t="str">
        <x:f>HYPERLINK("https://etp-aktiv.ru/catalog/materialy/truboprovody/2000954080-W122/","Открыть позицию")</x:f>
        <x:v>Открыть позицию</x:v>
      </x:c>
    </x:row>
    <x:row r="412" ht="28" customHeight="1">
      <x:c r="A412" s="16" t="str">
        <x:v>Рубцовский ТЭК</x:v>
      </x:c>
      <x:c r="B412" s="16" t="str">
        <x:v>2000554596-W122</x:v>
      </x:c>
      <x:c r="C412" s="16" t="str">
        <x:v>ОТВОД П 90° 09Г2С DN530*8 ГОСТ30753-01</x:v>
      </x:c>
      <x:c r="D412" s="16" t="str">
        <x:v>Детали фасонные</x:v>
      </x:c>
      <x:c r="E412" s="16" t="str">
        <x:v>ШТ</x:v>
      </x:c>
      <x:c r="F412" s="25" t="n">
        <x:v>2</x:v>
      </x:c>
      <x:c r="G412" s="17" t="n">
        <x:v>21571.2958</x:v>
      </x:c>
      <x:c r="H412" s="17" t="n">
        <x:f>G412*F412</x:f>
        <x:v>43142.5916</x:v>
      </x:c>
      <x:c r="I412" s="26" t="str">
        <x:f>HYPERLINK("https://etp-aktiv.ru/catalog/materialy/truboprovody/2000554596-W122/","Открыть позицию")</x:f>
        <x:v>Открыть позицию</x:v>
      </x:c>
    </x:row>
    <x:row r="413" ht="28" customHeight="1">
      <x:c r="A413" s="16" t="str">
        <x:v>Рубцовский ТЭК</x:v>
      </x:c>
      <x:c r="B413" s="16" t="str">
        <x:v>2000991211-W122</x:v>
      </x:c>
      <x:c r="C413" s="16" t="str">
        <x:v>ОТВОД СТ20 159*6 90° 1ППУ-ПЭ СОДК Г30732</x:v>
      </x:c>
      <x:c r="D413" s="16" t="str">
        <x:v>Труб/элем ТИ и Футер</x:v>
      </x:c>
      <x:c r="E413" s="16" t="str">
        <x:v>ШТ</x:v>
      </x:c>
      <x:c r="F413" s="25" t="n">
        <x:v>16</x:v>
      </x:c>
      <x:c r="G413" s="17" t="n">
        <x:v>16633.48</x:v>
      </x:c>
      <x:c r="H413" s="17" t="n">
        <x:f>G413*F413</x:f>
        <x:v>266135.68</x:v>
      </x:c>
      <x:c r="I413" s="26" t="str">
        <x:f>HYPERLINK("https://etp-aktiv.ru/catalog/materialy/truboprovody/2000991211-W122/","Открыть позицию")</x:f>
        <x:v>Открыть позицию</x:v>
      </x:c>
    </x:row>
    <x:row r="414" ht="28" customHeight="1">
      <x:c r="A414" s="16" t="str">
        <x:v>Рубцовский ТЭК</x:v>
      </x:c>
      <x:c r="B414" s="16" t="str">
        <x:v>2000917260-W122</x:v>
      </x:c>
      <x:c r="C414" s="16" t="str">
        <x:v>ОТВОД СТ20 89*4 90° 1-ППУ-ПЭ ГОСТ30732</x:v>
      </x:c>
      <x:c r="D414" s="16" t="str">
        <x:v>Труб/элем ТИ и Футер</x:v>
      </x:c>
      <x:c r="E414" s="16" t="str">
        <x:v>ШТ</x:v>
      </x:c>
      <x:c r="F414" s="25" t="n">
        <x:v>13</x:v>
      </x:c>
      <x:c r="G414" s="17" t="n">
        <x:v>7740.9976</x:v>
      </x:c>
      <x:c r="H414" s="17" t="n">
        <x:f>G414*F414</x:f>
        <x:v>100632.9688</x:v>
      </x:c>
      <x:c r="I414" s="26" t="str">
        <x:f>HYPERLINK("https://etp-aktiv.ru/catalog/materialy/truboprovody/2000917260-W122/","Открыть позицию")</x:f>
        <x:v>Открыть позицию</x:v>
      </x:c>
    </x:row>
    <x:row r="415" ht="28" customHeight="1">
      <x:c r="A415" s="16" t="str">
        <x:v>Рубцовский ТЭК</x:v>
      </x:c>
      <x:c r="B415" s="16" t="str">
        <x:v>2000785386-W122</x:v>
      </x:c>
      <x:c r="C415" s="16" t="str">
        <x:v>ОТВОД УК СТ20 133*5 90 1370 ППУ ПЭ СОДК</x:v>
      </x:c>
      <x:c r="D415" s="16" t="str">
        <x:v>Труб/элем ТИ и Футер</x:v>
      </x:c>
      <x:c r="E415" s="16" t="str">
        <x:v>ШТ</x:v>
      </x:c>
      <x:c r="F415" s="25" t="n">
        <x:v>2</x:v>
      </x:c>
      <x:c r="G415" s="17" t="n">
        <x:v>8234.109400000001</x:v>
      </x:c>
      <x:c r="H415" s="17" t="n">
        <x:f>G415*F415</x:f>
        <x:v>16468.218800000002</x:v>
      </x:c>
      <x:c r="I415" s="26" t="str">
        <x:f>HYPERLINK("https://etp-aktiv.ru/catalog/materialy/truboprovody/2000785386-W122/","Открыть позицию")</x:f>
        <x:v>Открыть позицию</x:v>
      </x:c>
    </x:row>
    <x:row r="416" ht="28" customHeight="1">
      <x:c r="A416" s="16" t="str">
        <x:v>Рубцовский ТЭК</x:v>
      </x:c>
      <x:c r="B416" s="16" t="str">
        <x:v>2000990907-W122</x:v>
      </x:c>
      <x:c r="C416" s="16" t="str">
        <x:v>ОТВОД УК СТ20 159*6 90 L1200 ППУ1ПЭ СОДК</x:v>
      </x:c>
      <x:c r="D416" s="16" t="str">
        <x:v>Труб/элем ТИ и Футер</x:v>
      </x:c>
      <x:c r="E416" s="16" t="str">
        <x:v>ШТ</x:v>
      </x:c>
      <x:c r="F416" s="25" t="n">
        <x:v>1</x:v>
      </x:c>
      <x:c r="G416" s="17" t="n">
        <x:v>8970.6112</x:v>
      </x:c>
      <x:c r="H416" s="17" t="n">
        <x:f>G416*F416</x:f>
        <x:v>8970.6112</x:v>
      </x:c>
      <x:c r="I416" s="26" t="str">
        <x:f>HYPERLINK("https://etp-aktiv.ru/catalog/materialy/truboprovody/2000990907-W122/","Открыть позицию")</x:f>
        <x:v>Открыть позицию</x:v>
      </x:c>
    </x:row>
    <x:row r="417" ht="28" customHeight="1">
      <x:c r="A417" s="16" t="str">
        <x:v>Рубцовский ТЭК</x:v>
      </x:c>
      <x:c r="B417" s="16" t="str">
        <x:v>2000554892-W122</x:v>
      </x:c>
      <x:c r="C417" s="16" t="str">
        <x:v>ПЕРЕХОД К СТ20 114*4-76*3,5 ГОСТ17378-01</x:v>
      </x:c>
      <x:c r="D417" s="16" t="str">
        <x:v>Детали фасонные</x:v>
      </x:c>
      <x:c r="E417" s="16" t="str">
        <x:v>ШТ</x:v>
      </x:c>
      <x:c r="F417" s="25" t="n">
        <x:v>2</x:v>
      </x:c>
      <x:c r="G417" s="17" t="n">
        <x:v>16.6774</x:v>
      </x:c>
      <x:c r="H417" s="17" t="n">
        <x:f>G417*F417</x:f>
        <x:v>33.3548</x:v>
      </x:c>
      <x:c r="I417" s="26" t="str">
        <x:f>HYPERLINK("https://etp-aktiv.ru/catalog/materialy/truboprovody/2000554892-W122/","Открыть позицию")</x:f>
        <x:v>Открыть позицию</x:v>
      </x:c>
    </x:row>
    <x:row r="418" ht="28" customHeight="1">
      <x:c r="A418" s="16" t="str">
        <x:v>Рубцовский ТЭК</x:v>
      </x:c>
      <x:c r="B418" s="16" t="str">
        <x:v>2000150925-W122</x:v>
      </x:c>
      <x:c r="C418" s="16" t="str">
        <x:v>ПЕРЕХОД К СТ20 219*10 159 8 ГОСТ17378-01</x:v>
      </x:c>
      <x:c r="D418" s="16" t="str">
        <x:v>Детали фасонные</x:v>
      </x:c>
      <x:c r="E418" s="16" t="str">
        <x:v>ШТ</x:v>
      </x:c>
      <x:c r="F418" s="25" t="n">
        <x:v>2</x:v>
      </x:c>
      <x:c r="G418" s="17" t="n">
        <x:v>222.01559999999998</x:v>
      </x:c>
      <x:c r="H418" s="17" t="n">
        <x:f>G418*F418</x:f>
        <x:v>444.03119999999996</x:v>
      </x:c>
      <x:c r="I418" s="26" t="str">
        <x:f>HYPERLINK("https://etp-aktiv.ru/catalog/materialy/truboprovody/2000150925-W122/","Открыть позицию")</x:f>
        <x:v>Открыть позицию</x:v>
      </x:c>
    </x:row>
    <x:row r="419" ht="28" customHeight="1">
      <x:c r="A419" s="16" t="str">
        <x:v>Рубцовский ТЭК</x:v>
      </x:c>
      <x:c r="B419" s="16" t="str">
        <x:v>2000554941-W122</x:v>
      </x:c>
      <x:c r="C419" s="16" t="str">
        <x:v>ПЕРЕХОД К СТ20 219*8-159*6 ГОСТ17378-01</x:v>
      </x:c>
      <x:c r="D419" s="16" t="str">
        <x:v>Детали фасонные</x:v>
      </x:c>
      <x:c r="E419" s="16" t="str">
        <x:v>ШТ</x:v>
      </x:c>
      <x:c r="F419" s="25" t="n">
        <x:v>1</x:v>
      </x:c>
      <x:c r="G419" s="17" t="n">
        <x:v>827.3308</x:v>
      </x:c>
      <x:c r="H419" s="17" t="n">
        <x:f>G419*F419</x:f>
        <x:v>827.3308</x:v>
      </x:c>
      <x:c r="I419" s="26" t="str">
        <x:f>HYPERLINK("https://etp-aktiv.ru/catalog/materialy/truboprovody/2000554941-W122/","Открыть позицию")</x:f>
        <x:v>Открыть позицию</x:v>
      </x:c>
    </x:row>
    <x:row r="420" ht="28" customHeight="1">
      <x:c r="A420" s="16" t="str">
        <x:v>Рубцовский ТЭК</x:v>
      </x:c>
      <x:c r="B420" s="16" t="str">
        <x:v>2000553356-W122</x:v>
      </x:c>
      <x:c r="C420" s="16" t="str">
        <x:v>ПРУЖИНА 18 ОСТ108.764.01-80</x:v>
      </x:c>
      <x:c r="D420" s="16" t="str">
        <x:v>Система опорн-подвес</x:v>
      </x:c>
      <x:c r="E420" s="16" t="str">
        <x:v>ШТ</x:v>
      </x:c>
      <x:c r="F420" s="25" t="n">
        <x:v>3</x:v>
      </x:c>
      <x:c r="G420" s="17" t="n">
        <x:v>224.2726</x:v>
      </x:c>
      <x:c r="H420" s="17" t="n">
        <x:f>G420*F420</x:f>
        <x:v>672.8178</x:v>
      </x:c>
      <x:c r="I420" s="26" t="str">
        <x:f>HYPERLINK("https://etp-aktiv.ru/catalog/materialy/truboprovody/2000553356-W122/","Открыть позицию")</x:f>
        <x:v>Открыть позицию</x:v>
      </x:c>
    </x:row>
    <x:row r="421" ht="28" customHeight="1">
      <x:c r="A421" s="16" t="str">
        <x:v>Рубцовский ТЭК</x:v>
      </x:c>
      <x:c r="B421" s="16" t="str">
        <x:v>2000577843-W122</x:v>
      </x:c>
      <x:c r="C421" s="16" t="str">
        <x:v>РАН КШЦП080/070.025.02 80/25 Р/П П/П A</x:v>
      </x:c>
      <x:c r="D421" s="16" t="str">
        <x:v>@Трубопр армат промы</x:v>
      </x:c>
      <x:c r="E421" s="16" t="str">
        <x:v>ШТ</x:v>
      </x:c>
      <x:c r="F421" s="25" t="n">
        <x:v>1</x:v>
      </x:c>
      <x:c r="G421" s="17" t="n">
        <x:v>261.75100000000003</x:v>
      </x:c>
      <x:c r="H421" s="17" t="n">
        <x:f>G421*F421</x:f>
        <x:v>261.75100000000003</x:v>
      </x:c>
      <x:c r="I421" s="26" t="str">
        <x:f>HYPERLINK("https://etp-aktiv.ru/catalog/materialy/truboprovodnaya-armatura-i-komplektuyushchie/2000577843-W122/","Открыть позицию")</x:f>
        <x:v>Открыть позицию</x:v>
      </x:c>
    </x:row>
    <x:row r="422" ht="28" customHeight="1">
      <x:c r="A422" s="16" t="str">
        <x:v>Рубцовский ТЭК</x:v>
      </x:c>
      <x:c r="B422" s="16" t="str">
        <x:v>2000088451-W122</x:v>
      </x:c>
      <x:c r="C422" s="16" t="str">
        <x:v>РЕЗЬБА D32 ГОСТ6357-81</x:v>
      </x:c>
      <x:c r="D422" s="16" t="str">
        <x:v>Детали фасонные</x:v>
      </x:c>
      <x:c r="E422" s="16" t="str">
        <x:v>ШТ</x:v>
      </x:c>
      <x:c r="F422" s="25" t="n">
        <x:v>10</x:v>
      </x:c>
      <x:c r="G422" s="17" t="n">
        <x:v>61</x:v>
      </x:c>
      <x:c r="H422" s="17" t="n">
        <x:f>G422*F422</x:f>
        <x:v>610</x:v>
      </x:c>
      <x:c r="I422" s="26" t="str">
        <x:f>HYPERLINK("https://etp-aktiv.ru/catalog/materialy/truboprovody/2000088451-W122/","Открыть позицию")</x:f>
        <x:v>Открыть позицию</x:v>
      </x:c>
    </x:row>
    <x:row r="423" ht="28" customHeight="1">
      <x:c r="A423" s="16" t="str">
        <x:v>Рубцовский ТЭК</x:v>
      </x:c>
      <x:c r="B423" s="16" t="str">
        <x:v>2000552915-W122</x:v>
      </x:c>
      <x:c r="C423" s="16" t="str">
        <x:v>СГОН DN15 СТ20 ГОСТ8969-75</x:v>
      </x:c>
      <x:c r="D423" s="16" t="str">
        <x:v>Детали фасонные</x:v>
      </x:c>
      <x:c r="E423" s="16" t="str">
        <x:v>ШТ</x:v>
      </x:c>
      <x:c r="F423" s="25" t="n">
        <x:v>2</x:v>
      </x:c>
      <x:c r="G423" s="17" t="n">
        <x:v>8.6742</x:v>
      </x:c>
      <x:c r="H423" s="17" t="n">
        <x:f>G423*F423</x:f>
        <x:v>17.3484</x:v>
      </x:c>
      <x:c r="I423" s="26" t="str">
        <x:f>HYPERLINK("https://etp-aktiv.ru/catalog/materialy/truboprovody/2000552915-W122/","Открыть позицию")</x:f>
        <x:v>Открыть позицию</x:v>
      </x:c>
    </x:row>
    <x:row r="424" ht="28" customHeight="1">
      <x:c r="A424" s="16" t="str">
        <x:v>Рубцовский ТЭК</x:v>
      </x:c>
      <x:c r="B424" s="16" t="str">
        <x:v>2000554663-W122</x:v>
      </x:c>
      <x:c r="C424" s="16" t="str">
        <x:v>СЕКТОР 15 17Г1С Б530*8-259-1,6 583.001-1</x:v>
      </x:c>
      <x:c r="D424" s="16" t="str">
        <x:v>Детали фасонные</x:v>
      </x:c>
      <x:c r="E424" s="16" t="str">
        <x:v>ШТ</x:v>
      </x:c>
      <x:c r="F424" s="25" t="n">
        <x:v>1</x:v>
      </x:c>
      <x:c r="G424" s="17" t="n">
        <x:v>2661.8936</x:v>
      </x:c>
      <x:c r="H424" s="17" t="n">
        <x:f>G424*F424</x:f>
        <x:v>2661.8936</x:v>
      </x:c>
      <x:c r="I424" s="26" t="str">
        <x:f>HYPERLINK("https://etp-aktiv.ru/catalog/materialy/truboprovody/2000554663-W122/","Открыть позицию")</x:f>
        <x:v>Открыть позицию</x:v>
      </x:c>
    </x:row>
    <x:row r="425" ht="28" customHeight="1">
      <x:c r="A425" s="16" t="str">
        <x:v>Рубцовский ТЭК</x:v>
      </x:c>
      <x:c r="B425" s="16" t="str">
        <x:v>2000554664-W122</x:v>
      </x:c>
      <x:c r="C425" s="16" t="str">
        <x:v>СЕКТОР 15 17Г1С Б530*8-800-1,6 583.001-1</x:v>
      </x:c>
      <x:c r="D425" s="16" t="str">
        <x:v>Детали фасонные</x:v>
      </x:c>
      <x:c r="E425" s="16" t="str">
        <x:v>ШТ</x:v>
      </x:c>
      <x:c r="F425" s="25" t="n">
        <x:v>2</x:v>
      </x:c>
      <x:c r="G425" s="17" t="n">
        <x:v>4552.344599999999</x:v>
      </x:c>
      <x:c r="H425" s="17" t="n">
        <x:f>G425*F425</x:f>
        <x:v>9104.689199999999</x:v>
      </x:c>
      <x:c r="I425" s="26" t="str">
        <x:f>HYPERLINK("https://etp-aktiv.ru/catalog/materialy/truboprovody/2000554664-W122/","Открыть позицию")</x:f>
        <x:v>Открыть позицию</x:v>
      </x:c>
    </x:row>
    <x:row r="426" ht="28" customHeight="1">
      <x:c r="A426" s="16" t="str">
        <x:v>Рубцовский ТЭК</x:v>
      </x:c>
      <x:c r="B426" s="16" t="str">
        <x:v>2000555279-W122</x:v>
      </x:c>
      <x:c r="C426" s="16" t="str">
        <x:v>ТРОЙНИК 17Г1С 720*11-377*9 1,6 ТС588-109</x:v>
      </x:c>
      <x:c r="D426" s="16" t="str">
        <x:v>Детали фасонные</x:v>
      </x:c>
      <x:c r="E426" s="16" t="str">
        <x:v>ШТ</x:v>
      </x:c>
      <x:c r="F426" s="25" t="n">
        <x:v>2</x:v>
      </x:c>
      <x:c r="G426" s="17" t="n">
        <x:v>7423.9562</x:v>
      </x:c>
      <x:c r="H426" s="17" t="n">
        <x:f>G426*F426</x:f>
        <x:v>14847.9124</x:v>
      </x:c>
      <x:c r="I426" s="26" t="str">
        <x:f>HYPERLINK("https://etp-aktiv.ru/catalog/materialy/truboprovody/2000555279-W122/","Открыть позицию")</x:f>
        <x:v>Открыть позицию</x:v>
      </x:c>
    </x:row>
    <x:row r="427" ht="28" customHeight="1">
      <x:c r="A427" s="16" t="str">
        <x:v>Рубцовский ТЭК</x:v>
      </x:c>
      <x:c r="B427" s="16" t="str">
        <x:v>2000559646-W122</x:v>
      </x:c>
      <x:c r="C427" s="16" t="str">
        <x:v>ТРОЙНИК 720-273 09Г2С ТС588.000-105 ПИ70</x:v>
      </x:c>
      <x:c r="D427" s="16" t="str">
        <x:v>Труб/элем ТИ и Футер</x:v>
      </x:c>
      <x:c r="E427" s="16" t="str">
        <x:v>ШТ</x:v>
      </x:c>
      <x:c r="F427" s="25" t="n">
        <x:v>2</x:v>
      </x:c>
      <x:c r="G427" s="17" t="n">
        <x:v>17307.7984</x:v>
      </x:c>
      <x:c r="H427" s="17" t="n">
        <x:f>G427*F427</x:f>
        <x:v>34615.5968</x:v>
      </x:c>
      <x:c r="I427" s="26" t="str">
        <x:f>HYPERLINK("https://etp-aktiv.ru/catalog/materialy/truboprovody/2000559646-W122/","Открыть позицию")</x:f>
        <x:v>Открыть позицию</x:v>
      </x:c>
    </x:row>
    <x:row r="428" ht="28" customHeight="1">
      <x:c r="A428" s="16" t="str">
        <x:v>Рубцовский ТЭК</x:v>
      </x:c>
      <x:c r="B428" s="16" t="str">
        <x:v>2000383214-W122</x:v>
      </x:c>
      <x:c r="C428" s="16" t="str">
        <x:v>ТРОЙНИК СТ20 159*4,5 159 4,5 ГОСТ17376-2</x:v>
      </x:c>
      <x:c r="D428" s="16" t="str">
        <x:v>Детали фасонные</x:v>
      </x:c>
      <x:c r="E428" s="16" t="str">
        <x:v>ШТ</x:v>
      </x:c>
      <x:c r="F428" s="25" t="n">
        <x:v>1</x:v>
      </x:c>
      <x:c r="G428" s="17" t="n">
        <x:v>830.9542</x:v>
      </x:c>
      <x:c r="H428" s="17" t="n">
        <x:f>G428*F428</x:f>
        <x:v>830.9542</x:v>
      </x:c>
      <x:c r="I428" s="26" t="str">
        <x:f>HYPERLINK("https://etp-aktiv.ru/catalog/materialy/truboprovody/2000383214-W122/","Открыть позицию")</x:f>
        <x:v>Открыть позицию</x:v>
      </x:c>
    </x:row>
    <x:row r="429" ht="28" customHeight="1">
      <x:c r="A429" s="16" t="str">
        <x:v>Рубцовский ТЭК</x:v>
      </x:c>
      <x:c r="B429" s="16" t="str">
        <x:v>2000383215-W122</x:v>
      </x:c>
      <x:c r="C429" s="16" t="str">
        <x:v>ТРОЙНИК СТ20 219*6 219 6 ГОСТ17376-2001</x:v>
      </x:c>
      <x:c r="D429" s="16" t="str">
        <x:v>Детали фасонные</x:v>
      </x:c>
      <x:c r="E429" s="16" t="str">
        <x:v>ШТ</x:v>
      </x:c>
      <x:c r="F429" s="25" t="n">
        <x:v>2</x:v>
      </x:c>
      <x:c r="G429" s="17" t="n">
        <x:v>4112.925</x:v>
      </x:c>
      <x:c r="H429" s="17" t="n">
        <x:f>G429*F429</x:f>
        <x:v>8225.85</x:v>
      </x:c>
      <x:c r="I429" s="26" t="str">
        <x:f>HYPERLINK("https://etp-aktiv.ru/catalog/materialy/truboprovody/2000383215-W122/","Открыть позицию")</x:f>
        <x:v>Открыть позицию</x:v>
      </x:c>
    </x:row>
    <x:row r="430" ht="28" customHeight="1">
      <x:c r="A430" s="16" t="str">
        <x:v>Рубцовский ТЭК</x:v>
      </x:c>
      <x:c r="B430" s="16" t="str">
        <x:v>2000557785-W122</x:v>
      </x:c>
      <x:c r="C430" s="16" t="str">
        <x:v>ТРУБА 09Г2С 108*4-ППУ-ПЭ ОДК ГОСТ30732</x:v>
      </x:c>
      <x:c r="D430" s="16" t="str">
        <x:v>Труб/элем ТИ и Футер</x:v>
      </x:c>
      <x:c r="E430" s="16" t="str">
        <x:v>ПМ</x:v>
      </x:c>
      <x:c r="F430" s="24" t="n">
        <x:v>9.14</x:v>
      </x:c>
      <x:c r="G430" s="17" t="n">
        <x:v>2110.0388</x:v>
      </x:c>
      <x:c r="H430" s="17" t="n">
        <x:f>G430*F430</x:f>
        <x:v>19285.754632</x:v>
      </x:c>
      <x:c r="I430" s="26" t="str">
        <x:f>HYPERLINK("https://etp-aktiv.ru/catalog/materialy/truboprovody/2000557785-W122/","Открыть позицию")</x:f>
        <x:v>Открыть позицию</x:v>
      </x:c>
    </x:row>
    <x:row r="431" ht="28" customHeight="1">
      <x:c r="A431" s="16" t="str">
        <x:v>Рубцовский ТЭК</x:v>
      </x:c>
      <x:c r="B431" s="16" t="str">
        <x:v>2000557792-W122</x:v>
      </x:c>
      <x:c r="C431" s="16" t="str">
        <x:v>ТРУБА 09Г2С 133*4-ППУ-ПЭ ОДК ГОСТ30732</x:v>
      </x:c>
      <x:c r="D431" s="16" t="str">
        <x:v>Труб/элем ТИ и Футер</x:v>
      </x:c>
      <x:c r="E431" s="16" t="str">
        <x:v>М</x:v>
      </x:c>
      <x:c r="F431" s="24" t="n">
        <x:v>82.52</x:v>
      </x:c>
      <x:c r="G431" s="17" t="n">
        <x:v>2815.638</x:v>
      </x:c>
      <x:c r="H431" s="17" t="n">
        <x:f>G431*F431</x:f>
        <x:v>232346.44775999998</x:v>
      </x:c>
      <x:c r="I431" s="26" t="str">
        <x:f>HYPERLINK("https://etp-aktiv.ru/catalog/materialy/truboprovody/2000557792-W122/","Открыть позицию")</x:f>
        <x:v>Открыть позицию</x:v>
      </x:c>
    </x:row>
    <x:row r="432" ht="28" customHeight="1">
      <x:c r="A432" s="16" t="str">
        <x:v>Рубцовский ТЭК</x:v>
      </x:c>
      <x:c r="B432" s="16" t="str">
        <x:v>2000560154-W122</x:v>
      </x:c>
      <x:c r="C432" s="16" t="str">
        <x:v>ТРУБА 09Г2С 159*4,5 ГОСТ8731-74</x:v>
      </x:c>
      <x:c r="D432" s="16" t="str">
        <x:v>Трубы черные бесшов</x:v>
      </x:c>
      <x:c r="E432" s="16" t="str">
        <x:v>КГ</x:v>
      </x:c>
      <x:c r="F432" s="24" t="n">
        <x:v>52.72</x:v>
      </x:c>
      <x:c r="G432" s="17" t="n">
        <x:v>56.242</x:v>
      </x:c>
      <x:c r="H432" s="17" t="n">
        <x:f>G432*F432</x:f>
        <x:v>2965.07824</x:v>
      </x:c>
      <x:c r="I432" s="26" t="str">
        <x:f>HYPERLINK("https://etp-aktiv.ru/catalog/materialy/truby-stalnye-i-polimernye/2000560154-W122/","Открыть позицию")</x:f>
        <x:v>Открыть позицию</x:v>
      </x:c>
    </x:row>
    <x:row r="433" ht="28" customHeight="1">
      <x:c r="A433" s="16" t="str">
        <x:v>Рубцовский ТЭК</x:v>
      </x:c>
      <x:c r="B433" s="16" t="str">
        <x:v>2000557868-W122</x:v>
      </x:c>
      <x:c r="C433" s="16" t="str">
        <x:v>ТРУБА 09Г2С 159*5-ППУ-ОЦ ГОСТ30732-2006</x:v>
      </x:c>
      <x:c r="D433" s="16" t="str">
        <x:v>Труб/элем ТИ и Футер</x:v>
      </x:c>
      <x:c r="E433" s="16" t="str">
        <x:v>М</x:v>
      </x:c>
      <x:c r="F433" s="24" t="n">
        <x:v>20.75</x:v>
      </x:c>
      <x:c r="G433" s="17" t="n">
        <x:v>4633.5966</x:v>
      </x:c>
      <x:c r="H433" s="17" t="n">
        <x:f>G433*F433</x:f>
        <x:v>96147.12945</x:v>
      </x:c>
      <x:c r="I433" s="26" t="str">
        <x:f>HYPERLINK("https://etp-aktiv.ru/catalog/materialy/truboprovody/2000557868-W122/","Открыть позицию")</x:f>
        <x:v>Открыть позицию</x:v>
      </x:c>
    </x:row>
    <x:row r="434" ht="28" customHeight="1">
      <x:c r="A434" s="16" t="str">
        <x:v>Рубцовский ТЭК</x:v>
      </x:c>
      <x:c r="B434" s="16" t="str">
        <x:v>2000557791-W122</x:v>
      </x:c>
      <x:c r="C434" s="16" t="str">
        <x:v>ТРУБА 09Г2С 89*3,5-ППУ-ПЭ ОДК ГОСТ30732</x:v>
      </x:c>
      <x:c r="D434" s="16" t="str">
        <x:v>Труб/элем ТИ и Футер</x:v>
      </x:c>
      <x:c r="E434" s="16" t="str">
        <x:v>ПМ</x:v>
      </x:c>
      <x:c r="F434" s="24" t="n">
        <x:v>17.86</x:v>
      </x:c>
      <x:c r="G434" s="17" t="n">
        <x:v>854.8051999999999</x:v>
      </x:c>
      <x:c r="H434" s="17" t="n">
        <x:f>G434*F434</x:f>
        <x:v>15266.820871999998</x:v>
      </x:c>
      <x:c r="I434" s="26" t="str">
        <x:f>HYPERLINK("https://etp-aktiv.ru/catalog/materialy/truboprovody/2000557791-W122/","Открыть позицию")</x:f>
        <x:v>Открыть позицию</x:v>
      </x:c>
    </x:row>
    <x:row r="435" ht="28" customHeight="1">
      <x:c r="A435" s="16" t="str">
        <x:v>Рубцовский ТЭК</x:v>
      </x:c>
      <x:c r="B435" s="16" t="str">
        <x:v>2000560598-W122</x:v>
      </x:c>
      <x:c r="C435" s="16" t="str">
        <x:v>ТРУБА 17Г1С 630*8 ГОСТ20295-85</x:v>
      </x:c>
      <x:c r="D435" s="16" t="str">
        <x:v>ТрубЧерСварБольшДиам</x:v>
      </x:c>
      <x:c r="E435" s="16" t="str">
        <x:v>Т</x:v>
      </x:c>
      <x:c r="F435" s="24" t="n">
        <x:v>1.308</x:v>
      </x:c>
      <x:c r="G435" s="17" t="n">
        <x:v>84576.67079999999</x:v>
      </x:c>
      <x:c r="H435" s="17" t="n">
        <x:f>G435*F435</x:f>
        <x:v>110626.2854064</x:v>
      </x:c>
      <x:c r="I435" s="26" t="str">
        <x:f>HYPERLINK("https://etp-aktiv.ru/catalog/materialy/truby-stalnye-i-polimernye/2000560598-W122/","Открыть позицию")</x:f>
        <x:v>Открыть позицию</x:v>
      </x:c>
    </x:row>
    <x:row r="436" ht="28" customHeight="1">
      <x:c r="A436" s="16" t="str">
        <x:v>Рубцовский ТЭК</x:v>
      </x:c>
      <x:c r="B436" s="16" t="str">
        <x:v>2000145254-W122</x:v>
      </x:c>
      <x:c r="C436" s="16" t="str">
        <x:v>ТРУБА 17Г1С 720*9 ГОСТ20295-85</x:v>
      </x:c>
      <x:c r="D436" s="16" t="str">
        <x:v>ТрубЧерСварБольшДиам</x:v>
      </x:c>
      <x:c r="E436" s="16" t="str">
        <x:v>Т</x:v>
      </x:c>
      <x:c r="F436" s="30" t="n">
        <x:v>0.111</x:v>
      </x:c>
      <x:c r="G436" s="17" t="n">
        <x:v>57187.5</x:v>
      </x:c>
      <x:c r="H436" s="17" t="n">
        <x:f>G436*F436</x:f>
        <x:v>6347.8125</x:v>
      </x:c>
      <x:c r="I436" s="26" t="str">
        <x:f>HYPERLINK("https://etp-aktiv.ru/catalog/materialy/truby-stalnye-i-polimernye/2000145254-W122/","Открыть позицию")</x:f>
        <x:v>Открыть позицию</x:v>
      </x:c>
    </x:row>
    <x:row r="437" ht="28" customHeight="1">
      <x:c r="A437" s="16" t="str">
        <x:v>Рубцовский ТЭК</x:v>
      </x:c>
      <x:c r="B437" s="16" t="str">
        <x:v>2000560599-W122</x:v>
      </x:c>
      <x:c r="C437" s="16" t="str">
        <x:v>ТРУБА 17Г1С-У 630*8 ГОСТ20295-85</x:v>
      </x:c>
      <x:c r="D437" s="16" t="str">
        <x:v>ТрубЧерСварБольшДиам</x:v>
      </x:c>
      <x:c r="E437" s="16" t="str">
        <x:v>Т</x:v>
      </x:c>
      <x:c r="F437" s="24" t="n">
        <x:v>1.284</x:v>
      </x:c>
      <x:c r="G437" s="17" t="n">
        <x:v>91684.03700000001</x:v>
      </x:c>
      <x:c r="H437" s="17" t="n">
        <x:f>G437*F437</x:f>
        <x:v>117722.30350800001</x:v>
      </x:c>
      <x:c r="I437" s="26" t="str">
        <x:f>HYPERLINK("https://etp-aktiv.ru/catalog/materialy/truby-stalnye-i-polimernye/2000560599-W122/","Открыть позицию")</x:f>
        <x:v>Открыть позицию</x:v>
      </x:c>
    </x:row>
    <x:row r="438" ht="28" customHeight="1">
      <x:c r="A438" s="16" t="str">
        <x:v>Рубцовский ТЭК</x:v>
      </x:c>
      <x:c r="B438" s="16" t="str">
        <x:v>2000568485-W122</x:v>
      </x:c>
      <x:c r="C438" s="16" t="str">
        <x:v>ТРУБА 219*6 В-20 ППМИ60 012.РД-001.03</x:v>
      </x:c>
      <x:c r="D438" s="16" t="str">
        <x:v>Труб/элем ТИ и Футер</x:v>
      </x:c>
      <x:c r="E438" s="16" t="str">
        <x:v>ПМ</x:v>
      </x:c>
      <x:c r="F438" s="24" t="n">
        <x:v>25.01</x:v>
      </x:c>
      <x:c r="G438" s="17" t="n">
        <x:v>5089.473999999999</x:v>
      </x:c>
      <x:c r="H438" s="17" t="n">
        <x:f>G438*F438</x:f>
        <x:v>127287.74474</x:v>
      </x:c>
      <x:c r="I438" s="26" t="str">
        <x:f>HYPERLINK("https://etp-aktiv.ru/catalog/materialy/truboprovody/2000568485-W122/","Открыть позицию")</x:f>
        <x:v>Открыть позицию</x:v>
      </x:c>
    </x:row>
    <x:row r="439" ht="28" customHeight="1">
      <x:c r="A439" s="16" t="str">
        <x:v>Рубцовский ТЭК</x:v>
      </x:c>
      <x:c r="B439" s="16" t="str">
        <x:v>2000563602-W122</x:v>
      </x:c>
      <x:c r="C439" s="16" t="str">
        <x:v>ТРУБА 89*4 09Г2С ППУОЦ180 СОДК ГОСТ30732</x:v>
      </x:c>
      <x:c r="D439" s="16" t="str">
        <x:v>Труб/элем ТИ и Футер</x:v>
      </x:c>
      <x:c r="E439" s="16" t="str">
        <x:v>ПМ</x:v>
      </x:c>
      <x:c r="F439" s="30" t="n">
        <x:v>0.05</x:v>
      </x:c>
      <x:c r="G439" s="17" t="n">
        <x:v>1203.1396</x:v>
      </x:c>
      <x:c r="H439" s="17" t="n">
        <x:f>G439*F439</x:f>
        <x:v>60.156980000000004</x:v>
      </x:c>
      <x:c r="I439" s="26" t="str">
        <x:f>HYPERLINK("https://etp-aktiv.ru/catalog/materialy/truboprovody/2000563602-W122/","Открыть позицию")</x:f>
        <x:v>Открыть позицию</x:v>
      </x:c>
    </x:row>
    <x:row r="440" ht="28" customHeight="1">
      <x:c r="A440" s="16" t="str">
        <x:v>Рубцовский ТЭК</x:v>
      </x:c>
      <x:c r="B440" s="16" t="str">
        <x:v>2000595718-W122</x:v>
      </x:c>
      <x:c r="C440" s="16" t="str">
        <x:v>ТРУБА 89*4 СТ20 ППМИ50 5768-007-71774886</x:v>
      </x:c>
      <x:c r="D440" s="16" t="str">
        <x:v>Труб/элем ТИ и Футер</x:v>
      </x:c>
      <x:c r="E440" s="16" t="str">
        <x:v>ПМ</x:v>
      </x:c>
      <x:c r="F440" s="24" t="n">
        <x:v>11.93</x:v>
      </x:c>
      <x:c r="G440" s="17" t="n">
        <x:v>2519.544</x:v>
      </x:c>
      <x:c r="H440" s="17" t="n">
        <x:f>G440*F440</x:f>
        <x:v>30058.15992</x:v>
      </x:c>
      <x:c r="I440" s="26" t="str">
        <x:f>HYPERLINK("https://etp-aktiv.ru/catalog/materialy/truboprovody/2000595718-W122/","Открыть позицию")</x:f>
        <x:v>Открыть позицию</x:v>
      </x:c>
    </x:row>
    <x:row r="441" ht="28" customHeight="1">
      <x:c r="A441" s="16" t="str">
        <x:v>Рубцовский ТЭК</x:v>
      </x:c>
      <x:c r="B441" s="16" t="str">
        <x:v>2000568499-W122</x:v>
      </x:c>
      <x:c r="C441" s="16" t="str">
        <x:v>ТРУБА 89*4,5 8731 В-20 ППМИ 50ММ 56227</x:v>
      </x:c>
      <x:c r="D441" s="16" t="str">
        <x:v>Труб/элем ТИ и Футер</x:v>
      </x:c>
      <x:c r="E441" s="16" t="str">
        <x:v>ПМ</x:v>
      </x:c>
      <x:c r="F441" s="24" t="n">
        <x:v>10.12</x:v>
      </x:c>
      <x:c r="G441" s="17" t="n">
        <x:v>1869.772</x:v>
      </x:c>
      <x:c r="H441" s="17" t="n">
        <x:f>G441*F441</x:f>
        <x:v>18922.09264</x:v>
      </x:c>
      <x:c r="I441" s="26" t="str">
        <x:f>HYPERLINK("https://etp-aktiv.ru/catalog/materialy/truboprovody/2000568499-W122/","Открыть позицию")</x:f>
        <x:v>Открыть позицию</x:v>
      </x:c>
    </x:row>
    <x:row r="442" ht="28" customHeight="1">
      <x:c r="A442" s="16" t="str">
        <x:v>Рубцовский ТЭК</x:v>
      </x:c>
      <x:c r="B442" s="16" t="str">
        <x:v>2000259028-W122</x:v>
      </x:c>
      <x:c r="C442" s="16" t="str">
        <x:v>ТРУБА Б/Ш 09Г2С 108*4 ТУ14-159-1128-08</x:v>
      </x:c>
      <x:c r="D442" s="16" t="str">
        <x:v>Трубы черные бесшов</x:v>
      </x:c>
      <x:c r="E442" s="16" t="str">
        <x:v>Т</x:v>
      </x:c>
      <x:c r="F442" s="30" t="n">
        <x:v>0.11</x:v>
      </x:c>
      <x:c r="G442" s="17" t="n">
        <x:v>125050.061</x:v>
      </x:c>
      <x:c r="H442" s="17" t="n">
        <x:f>G442*F442</x:f>
        <x:v>13755.50671</x:v>
      </x:c>
      <x:c r="I442" s="26" t="str">
        <x:f>HYPERLINK("https://etp-aktiv.ru/catalog/materialy/truby-stalnye-i-polimernye/2000259028-W122/","Открыть позицию")</x:f>
        <x:v>Открыть позицию</x:v>
      </x:c>
    </x:row>
    <x:row r="443" ht="28" customHeight="1">
      <x:c r="A443" s="16" t="str">
        <x:v>Рубцовский ТЭК</x:v>
      </x:c>
      <x:c r="B443" s="16" t="str">
        <x:v>2000149777-W122</x:v>
      </x:c>
      <x:c r="C443" s="16" t="str">
        <x:v>ТРУБА Б/Ш 09Г2С Г/Д 325*8 ГОСТ8732-78</x:v>
      </x:c>
      <x:c r="D443" s="16" t="str">
        <x:v>Трубы черные бесшов</x:v>
      </x:c>
      <x:c r="E443" s="16" t="str">
        <x:v>Т</x:v>
      </x:c>
      <x:c r="F443" s="30" t="n">
        <x:v>0.354</x:v>
      </x:c>
      <x:c r="G443" s="17" t="n">
        <x:v>166733.33740000002</x:v>
      </x:c>
      <x:c r="H443" s="17" t="n">
        <x:f>G443*F443</x:f>
        <x:v>59023.6014396</x:v>
      </x:c>
      <x:c r="I443" s="26" t="str">
        <x:f>HYPERLINK("https://etp-aktiv.ru/catalog/materialy/truby-stalnye-i-polimernye/2000149777-W122/","Открыть позицию")</x:f>
        <x:v>Открыть позицию</x:v>
      </x:c>
    </x:row>
    <x:row r="444" ht="28" customHeight="1">
      <x:c r="A444" s="16" t="str">
        <x:v>Рубцовский ТЭК</x:v>
      </x:c>
      <x:c r="B444" s="16" t="str">
        <x:v>2000503050-W122</x:v>
      </x:c>
      <x:c r="C444" s="16" t="str">
        <x:v>ТРУБА Б/Ш Г/Д СТ3 273*6 ГОСТ8732-78</x:v>
      </x:c>
      <x:c r="D444" s="16" t="str">
        <x:v>Трубы черные бесшов</x:v>
      </x:c>
      <x:c r="E444" s="16" t="str">
        <x:v>Т</x:v>
      </x:c>
      <x:c r="F444" s="30" t="n">
        <x:v>0.608</x:v>
      </x:c>
      <x:c r="G444" s="17" t="n">
        <x:v>169630.8496</x:v>
      </x:c>
      <x:c r="H444" s="17" t="n">
        <x:f>G444*F444</x:f>
        <x:v>103135.55655679999</x:v>
      </x:c>
      <x:c r="I444" s="26" t="str">
        <x:f>HYPERLINK("https://etp-aktiv.ru/catalog/materialy/truby-stalnye-i-polimernye/2000503050-W122/","Открыть позицию")</x:f>
        <x:v>Открыть позицию</x:v>
      </x:c>
    </x:row>
    <x:row r="445" ht="28" customHeight="1">
      <x:c r="A445" s="16" t="str">
        <x:v>Рубцовский ТЭК</x:v>
      </x:c>
      <x:c r="B445" s="16" t="str">
        <x:v>2000079726-W122</x:v>
      </x:c>
      <x:c r="C445" s="16" t="str">
        <x:v>ТРУБА Б/Ш СТ17Г1С/У 530*8 ГОСТ20295-85</x:v>
      </x:c>
      <x:c r="D445" s="16" t="str">
        <x:v>ТрубЧерСварБольшДиам</x:v>
      </x:c>
      <x:c r="E445" s="16" t="str">
        <x:v>Т</x:v>
      </x:c>
      <x:c r="F445" s="30" t="n">
        <x:v>0.448</x:v>
      </x:c>
      <x:c r="G445" s="17" t="n">
        <x:v>77117.9934</x:v>
      </x:c>
      <x:c r="H445" s="17" t="n">
        <x:f>G445*F445</x:f>
        <x:v>34548.861043200006</x:v>
      </x:c>
      <x:c r="I445" s="26" t="str">
        <x:f>HYPERLINK("https://etp-aktiv.ru/catalog/materialy/truby-stalnye-i-polimernye/2000079726-W122/","Открыть позицию")</x:f>
        <x:v>Открыть позицию</x:v>
      </x:c>
    </x:row>
    <x:row r="446" ht="28" customHeight="1">
      <x:c r="A446" s="16" t="str">
        <x:v>Рубцовский ТЭК</x:v>
      </x:c>
      <x:c r="B446" s="16" t="str">
        <x:v>2000592912-W122</x:v>
      </x:c>
      <x:c r="C446" s="16" t="str">
        <x:v>ТРУБА Б/Ш СТ20 133*4,5 ГОСТ8732-78</x:v>
      </x:c>
      <x:c r="D446" s="16" t="str">
        <x:v>Трубы черные бесшов</x:v>
      </x:c>
      <x:c r="E446" s="16" t="str">
        <x:v>Т</x:v>
      </x:c>
      <x:c r="F446" s="30" t="n">
        <x:v>0.106</x:v>
      </x:c>
      <x:c r="G446" s="17" t="n">
        <x:v>109723.689</x:v>
      </x:c>
      <x:c r="H446" s="17" t="n">
        <x:f>G446*F446</x:f>
        <x:v>11630.711034</x:v>
      </x:c>
      <x:c r="I446" s="26" t="str">
        <x:f>HYPERLINK("https://etp-aktiv.ru/catalog/materialy/truby-stalnye-i-polimernye/2000592912-W122/","Открыть позицию")</x:f>
        <x:v>Открыть позицию</x:v>
      </x:c>
    </x:row>
    <x:row r="447" ht="28" customHeight="1">
      <x:c r="A447" s="16" t="str">
        <x:v>Рубцовский ТЭК</x:v>
      </x:c>
      <x:c r="B447" s="16" t="str">
        <x:v>2000783973-W122</x:v>
      </x:c>
      <x:c r="C447" s="16" t="str">
        <x:v>ТРУБА Б/Ш СТ20 15*3,5 ГОСТ8733-74</x:v>
      </x:c>
      <x:c r="D447" s="16" t="str">
        <x:v>Трубы черные бесшов</x:v>
      </x:c>
      <x:c r="E447" s="16" t="str">
        <x:v>Т</x:v>
      </x:c>
      <x:c r="F447" s="30" t="n">
        <x:v>0.005</x:v>
      </x:c>
      <x:c r="G447" s="17" t="n">
        <x:v>297375</x:v>
      </x:c>
      <x:c r="H447" s="17" t="n">
        <x:f>G447*F447</x:f>
        <x:v>1486.875</x:v>
      </x:c>
      <x:c r="I447" s="26" t="str">
        <x:f>HYPERLINK("https://etp-aktiv.ru/catalog/materialy/truby-stalnye-i-polimernye/2000783973-W122/","Открыть позицию")</x:f>
        <x:v>Открыть позицию</x:v>
      </x:c>
    </x:row>
    <x:row r="448" ht="28" customHeight="1">
      <x:c r="A448" s="16" t="str">
        <x:v>Рубцовский ТЭК</x:v>
      </x:c>
      <x:c r="B448" s="16" t="str">
        <x:v>2000517999-W122</x:v>
      </x:c>
      <x:c r="C448" s="16" t="str">
        <x:v>ТРУБА Б/Ш СТ20 16*3,5 ГОСТ8734-75</x:v>
      </x:c>
      <x:c r="D448" s="16" t="str">
        <x:v>Трубы черные бесшов</x:v>
      </x:c>
      <x:c r="E448" s="16" t="str">
        <x:v>Т</x:v>
      </x:c>
      <x:c r="F448" s="30" t="n">
        <x:v>0.001</x:v>
      </x:c>
      <x:c r="G448" s="17" t="n">
        <x:v>228750</x:v>
      </x:c>
      <x:c r="H448" s="17" t="n">
        <x:f>G448*F448</x:f>
        <x:v>228.75</x:v>
      </x:c>
      <x:c r="I448" s="26" t="str">
        <x:f>HYPERLINK("https://etp-aktiv.ru/catalog/materialy/truby-stalnye-i-polimernye/2000517999-W122/","Открыть позицию")</x:f>
        <x:v>Открыть позицию</x:v>
      </x:c>
    </x:row>
    <x:row r="449" ht="28" customHeight="1">
      <x:c r="A449" s="16" t="str">
        <x:v>Рубцовский ТЭК</x:v>
      </x:c>
      <x:c r="B449" s="16" t="str">
        <x:v>2000479395-W122</x:v>
      </x:c>
      <x:c r="C449" s="16" t="str">
        <x:v>ТРУБА Б/Ш СТ20 273*7 ГОСТ8732-78</x:v>
      </x:c>
      <x:c r="D449" s="16" t="str">
        <x:v>Трубы черные бесшов</x:v>
      </x:c>
      <x:c r="E449" s="16" t="str">
        <x:v>Т</x:v>
      </x:c>
      <x:c r="F449" s="30" t="n">
        <x:v>0.682</x:v>
      </x:c>
      <x:c r="G449" s="17" t="n">
        <x:v>161120.94700000001</x:v>
      </x:c>
      <x:c r="H449" s="17" t="n">
        <x:f>G449*F449</x:f>
        <x:v>109884.48585400001</x:v>
      </x:c>
      <x:c r="I449" s="26" t="str">
        <x:f>HYPERLINK("https://etp-aktiv.ru/catalog/materialy/truby-stalnye-i-polimernye/2000479395-W122/","Открыть позицию")</x:f>
        <x:v>Открыть позицию</x:v>
      </x:c>
    </x:row>
    <x:row r="450" ht="28" customHeight="1">
      <x:c r="A450" s="16" t="str">
        <x:v>Рубцовский ТЭК</x:v>
      </x:c>
      <x:c r="B450" s="16" t="str">
        <x:v>2000140829-W122</x:v>
      </x:c>
      <x:c r="C450" s="16" t="str">
        <x:v>ТРУБА Б/Ш СТ20 Г/Д 159*5 ГОСТ8732-78</x:v>
      </x:c>
      <x:c r="D450" s="16" t="str">
        <x:v>Трубы черные бесшов</x:v>
      </x:c>
      <x:c r="E450" s="16" t="str">
        <x:v>Т</x:v>
      </x:c>
      <x:c r="F450" s="30" t="n">
        <x:v>0.108</x:v>
      </x:c>
      <x:c r="G450" s="17" t="n">
        <x:v>66524.9896</x:v>
      </x:c>
      <x:c r="H450" s="17" t="n">
        <x:f>G450*F450</x:f>
        <x:v>7184.6988768</x:v>
      </x:c>
      <x:c r="I450" s="26" t="str">
        <x:f>HYPERLINK("https://etp-aktiv.ru/catalog/materialy/truby-stalnye-i-polimernye/2000140829-W122/","Открыть позицию")</x:f>
        <x:v>Открыть позицию</x:v>
      </x:c>
    </x:row>
    <x:row r="451" ht="28" customHeight="1">
      <x:c r="A451" s="16" t="str">
        <x:v>Рубцовский ТЭК</x:v>
      </x:c>
      <x:c r="B451" s="16" t="str">
        <x:v>2000444954-W122</x:v>
      </x:c>
      <x:c r="C451" s="16" t="str">
        <x:v>ТРУБА Б/Ш СТ20 Г/Д 159*9 ГОСТ8732-78</x:v>
      </x:c>
      <x:c r="D451" s="16" t="str">
        <x:v>Трубы черные бесшов</x:v>
      </x:c>
      <x:c r="E451" s="16" t="str">
        <x:v>Т</x:v>
      </x:c>
      <x:c r="F451" s="30" t="n">
        <x:v>0.391</x:v>
      </x:c>
      <x:c r="G451" s="17" t="n">
        <x:v>100831.658</x:v>
      </x:c>
      <x:c r="H451" s="17" t="n">
        <x:f>G451*F451</x:f>
        <x:v>39425.178278</x:v>
      </x:c>
      <x:c r="I451" s="26" t="str">
        <x:f>HYPERLINK("https://etp-aktiv.ru/catalog/materialy/truby-stalnye-i-polimernye/2000444954-W122/","Открыть позицию")</x:f>
        <x:v>Открыть позицию</x:v>
      </x:c>
    </x:row>
    <x:row r="452" ht="28" customHeight="1">
      <x:c r="A452" s="16" t="str">
        <x:v>Рубцовский ТЭК</x:v>
      </x:c>
      <x:c r="B452" s="16" t="str">
        <x:v>2000140832-W122</x:v>
      </x:c>
      <x:c r="C452" s="16" t="str">
        <x:v>ТРУБА Б/Ш СТ20 Г/Д 219*7 ГОСТ8732-78</x:v>
      </x:c>
      <x:c r="D452" s="16" t="str">
        <x:v>Трубы черные бесшов</x:v>
      </x:c>
      <x:c r="E452" s="16" t="str">
        <x:v>Т</x:v>
      </x:c>
      <x:c r="F452" s="30" t="n">
        <x:v>0.108</x:v>
      </x:c>
      <x:c r="G452" s="17" t="n">
        <x:v>48772.5622</x:v>
      </x:c>
      <x:c r="H452" s="17" t="n">
        <x:f>G452*F452</x:f>
        <x:v>5267.4367176</x:v>
      </x:c>
      <x:c r="I452" s="26" t="str">
        <x:f>HYPERLINK("https://etp-aktiv.ru/catalog/materialy/truby-stalnye-i-polimernye/2000140832-W122/","Открыть позицию")</x:f>
        <x:v>Открыть позицию</x:v>
      </x:c>
    </x:row>
    <x:row r="453" ht="28" customHeight="1">
      <x:c r="A453" s="16" t="str">
        <x:v>Рубцовский ТЭК</x:v>
      </x:c>
      <x:c r="B453" s="16" t="str">
        <x:v>2000141670-W122</x:v>
      </x:c>
      <x:c r="C453" s="16" t="str">
        <x:v>ТРУБА Б/Ш СТ20 Г/Д 32*3 ГОСТ8732-78</x:v>
      </x:c>
      <x:c r="D453" s="16" t="str">
        <x:v>Трубы черные бесшов</x:v>
      </x:c>
      <x:c r="E453" s="16" t="str">
        <x:v>Т</x:v>
      </x:c>
      <x:c r="F453" s="30" t="n">
        <x:v>0.013</x:v>
      </x:c>
      <x:c r="G453" s="17" t="n">
        <x:v>176917.3606</x:v>
      </x:c>
      <x:c r="H453" s="17" t="n">
        <x:f>G453*F453</x:f>
        <x:v>2299.9256878</x:v>
      </x:c>
      <x:c r="I453" s="26" t="str">
        <x:f>HYPERLINK("https://etp-aktiv.ru/catalog/materialy/truby-stalnye-i-polimernye/2000141670-W122/","Открыть позицию")</x:f>
        <x:v>Открыть позицию</x:v>
      </x:c>
    </x:row>
    <x:row r="454" ht="28" customHeight="1">
      <x:c r="A454" s="16" t="str">
        <x:v>Рубцовский ТЭК</x:v>
      </x:c>
      <x:c r="B454" s="16" t="str">
        <x:v>2000141676-W122</x:v>
      </x:c>
      <x:c r="C454" s="16" t="str">
        <x:v>ТРУБА Б/Ш СТ20 Г/Д 76*3,5 ГОСТ8732-78</x:v>
      </x:c>
      <x:c r="D454" s="16" t="str">
        <x:v>Трубы черные бесшов</x:v>
      </x:c>
      <x:c r="E454" s="16" t="str">
        <x:v>Т</x:v>
      </x:c>
      <x:c r="F454" s="30" t="n">
        <x:v>0.018</x:v>
      </x:c>
      <x:c r="G454" s="17" t="n">
        <x:v>62449.2624</x:v>
      </x:c>
      <x:c r="H454" s="17" t="n">
        <x:f>G454*F454</x:f>
        <x:v>1124.0867231999998</x:v>
      </x:c>
      <x:c r="I454" s="26" t="str">
        <x:f>HYPERLINK("https://etp-aktiv.ru/catalog/materialy/truby-stalnye-i-polimernye/2000141676-W122/","Открыть позицию")</x:f>
        <x:v>Открыть позицию</x:v>
      </x:c>
    </x:row>
    <x:row r="455" ht="28" customHeight="1">
      <x:c r="A455" s="16" t="str">
        <x:v>Рубцовский ТЭК</x:v>
      </x:c>
      <x:c r="B455" s="16" t="str">
        <x:v>2000334343-W122</x:v>
      </x:c>
      <x:c r="C455" s="16" t="str">
        <x:v>ТРУБА Б/Ш СТ3 Г/Д 108*10 ГОСТ8732-78</x:v>
      </x:c>
      <x:c r="D455" s="16" t="str">
        <x:v>Трубы черные бесшов</x:v>
      </x:c>
      <x:c r="E455" s="16" t="str">
        <x:v>Т</x:v>
      </x:c>
      <x:c r="F455" s="30" t="n">
        <x:v>0.115</x:v>
      </x:c>
      <x:c r="G455" s="17" t="n">
        <x:v>75623.7984</x:v>
      </x:c>
      <x:c r="H455" s="17" t="n">
        <x:f>G455*F455</x:f>
        <x:v>8696.736816</x:v>
      </x:c>
      <x:c r="I455" s="26" t="str">
        <x:f>HYPERLINK("https://etp-aktiv.ru/catalog/materialy/truby-stalnye-i-polimernye/2000334343-W122/","Открыть позицию")</x:f>
        <x:v>Открыть позицию</x:v>
      </x:c>
    </x:row>
    <x:row r="456" ht="28" customHeight="1">
      <x:c r="A456" s="16" t="str">
        <x:v>Рубцовский ТЭК</x:v>
      </x:c>
      <x:c r="B456" s="16" t="str">
        <x:v>2000560421-W122</x:v>
      </x:c>
      <x:c r="C456" s="16" t="str">
        <x:v>ТРУБА КВАДР СТ3 100*100*6 ГОСТ13663-86</x:v>
      </x:c>
      <x:c r="D456" s="16" t="str">
        <x:v>Трубы профильные</x:v>
      </x:c>
      <x:c r="E456" s="16" t="str">
        <x:v>Т</x:v>
      </x:c>
      <x:c r="F456" s="30" t="n">
        <x:v>0.184</x:v>
      </x:c>
      <x:c r="G456" s="17" t="n">
        <x:v>110512.2116</x:v>
      </x:c>
      <x:c r="H456" s="17" t="n">
        <x:f>G456*F456</x:f>
        <x:v>20334.2469344</x:v>
      </x:c>
      <x:c r="I456" s="26" t="str">
        <x:f>HYPERLINK("https://etp-aktiv.ru/catalog/materialy/truby-stalnye-i-polimernye/2000560421-W122/","Открыть позицию")</x:f>
        <x:v>Открыть позицию</x:v>
      </x:c>
    </x:row>
    <x:row r="457" ht="28" customHeight="1">
      <x:c r="A457" s="16" t="str">
        <x:v>Рубцовский ТЭК</x:v>
      </x:c>
      <x:c r="B457" s="16" t="str">
        <x:v>2000560430-W122</x:v>
      </x:c>
      <x:c r="C457" s="16" t="str">
        <x:v>ТРУБА ПРЯМОУГ СТ3СП 60*40*4 ГОСТ13663-86</x:v>
      </x:c>
      <x:c r="D457" s="16" t="str">
        <x:v>Трубы профильные</x:v>
      </x:c>
      <x:c r="E457" s="16" t="str">
        <x:v>Т</x:v>
      </x:c>
      <x:c r="F457" s="30" t="n">
        <x:v>0.121</x:v>
      </x:c>
      <x:c r="G457" s="17" t="n">
        <x:v>69845.8906</x:v>
      </x:c>
      <x:c r="H457" s="17" t="n">
        <x:f>G457*F457</x:f>
        <x:v>8451.3527626</x:v>
      </x:c>
      <x:c r="I457" s="26" t="str">
        <x:f>HYPERLINK("https://etp-aktiv.ru/catalog/materialy/truby-stalnye-i-polimernye/2000560430-W122/","Открыть позицию")</x:f>
        <x:v>Открыть позицию</x:v>
      </x:c>
    </x:row>
    <x:row r="458" ht="28" customHeight="1">
      <x:c r="A458" s="16" t="str">
        <x:v>Рубцовский ТЭК</x:v>
      </x:c>
      <x:c r="B458" s="16" t="str">
        <x:v>2000571097-W122</x:v>
      </x:c>
      <x:c r="C458" s="16" t="str">
        <x:v>ТРУБА СТ(Э/С) 114*4,5-ППУ-ОЦ ГОСТ30732</x:v>
      </x:c>
      <x:c r="D458" s="16" t="str">
        <x:v>Труб/элем ТИ и Футер</x:v>
      </x:c>
      <x:c r="E458" s="16" t="str">
        <x:v>М</x:v>
      </x:c>
      <x:c r="F458" s="24" t="n">
        <x:v>8.41</x:v>
      </x:c>
      <x:c r="G458" s="17" t="n">
        <x:v>1892.7202</x:v>
      </x:c>
      <x:c r="H458" s="17" t="n">
        <x:f>G458*F458</x:f>
        <x:v>15917.776882</x:v>
      </x:c>
      <x:c r="I458" s="26" t="str">
        <x:f>HYPERLINK("https://etp-aktiv.ru/catalog/materialy/truboprovody/2000571097-W122/","Открыть позицию")</x:f>
        <x:v>Открыть позицию</x:v>
      </x:c>
    </x:row>
    <x:row r="459" ht="28" customHeight="1">
      <x:c r="A459" s="16" t="str">
        <x:v>Рубцовский ТЭК</x:v>
      </x:c>
      <x:c r="B459" s="16" t="str">
        <x:v>2000571093-W122</x:v>
      </x:c>
      <x:c r="C459" s="16" t="str">
        <x:v>ТРУБА СТ(Э/С) 219*6-ППУ-ОЦ ГОСТ30732-06</x:v>
      </x:c>
      <x:c r="D459" s="16" t="str">
        <x:v>Труб/элем ТИ и Футер</x:v>
      </x:c>
      <x:c r="E459" s="16" t="str">
        <x:v>М</x:v>
      </x:c>
      <x:c r="F459" s="25" t="n">
        <x:v>4</x:v>
      </x:c>
      <x:c r="G459" s="17" t="n">
        <x:v>2643.1787999999997</x:v>
      </x:c>
      <x:c r="H459" s="17" t="n">
        <x:f>G459*F459</x:f>
        <x:v>10572.715199999999</x:v>
      </x:c>
      <x:c r="I459" s="26" t="str">
        <x:f>HYPERLINK("https://etp-aktiv.ru/catalog/materialy/truboprovody/2000571093-W122/","Открыть позицию")</x:f>
        <x:v>Открыть позицию</x:v>
      </x:c>
    </x:row>
    <x:row r="460" ht="28" customHeight="1">
      <x:c r="A460" s="16" t="str">
        <x:v>Рубцовский ТЭК</x:v>
      </x:c>
      <x:c r="B460" s="16" t="str">
        <x:v>2000571095-W122</x:v>
      </x:c>
      <x:c r="C460" s="16" t="str">
        <x:v>ТРУБА СТ(Э/С) 273*7-ППУ-ОЦ ГОСТ30732-06</x:v>
      </x:c>
      <x:c r="D460" s="16" t="str">
        <x:v>Труб/элем ТИ и Футер</x:v>
      </x:c>
      <x:c r="E460" s="16" t="str">
        <x:v>М</x:v>
      </x:c>
      <x:c r="F460" s="25" t="n">
        <x:v>4</x:v>
      </x:c>
      <x:c r="G460" s="17" t="n">
        <x:v>7031.6286</x:v>
      </x:c>
      <x:c r="H460" s="17" t="n">
        <x:f>G460*F460</x:f>
        <x:v>28126.5144</x:v>
      </x:c>
      <x:c r="I460" s="26" t="str">
        <x:f>HYPERLINK("https://etp-aktiv.ru/catalog/materialy/truboprovody/2000571095-W122/","Открыть позицию")</x:f>
        <x:v>Открыть позицию</x:v>
      </x:c>
    </x:row>
    <x:row r="461" ht="28" customHeight="1">
      <x:c r="A461" s="16" t="str">
        <x:v>Рубцовский ТЭК</x:v>
      </x:c>
      <x:c r="B461" s="16" t="str">
        <x:v>2000560521-W122</x:v>
      </x:c>
      <x:c r="C461" s="16" t="str">
        <x:v>ТРУБА СТ10 40*1,5 ГОСТ10705-80</x:v>
      </x:c>
      <x:c r="D461" s="16" t="str">
        <x:v>ТрбЧерСварМалСрдДиам</x:v>
      </x:c>
      <x:c r="E461" s="16" t="str">
        <x:v>Т</x:v>
      </x:c>
      <x:c r="F461" s="24" t="n">
        <x:v>2.504</x:v>
      </x:c>
      <x:c r="G461" s="17" t="n">
        <x:v>94785.71620000001</x:v>
      </x:c>
      <x:c r="H461" s="17" t="n">
        <x:f>G461*F461</x:f>
        <x:v>237343.43336480003</x:v>
      </x:c>
      <x:c r="I461" s="26" t="str">
        <x:f>HYPERLINK("https://etp-aktiv.ru/catalog/materialy/truby-stalnye-i-polimernye/2000560521-W122/","Открыть позицию")</x:f>
        <x:v>Открыть позицию</x:v>
      </x:c>
    </x:row>
    <x:row r="462" ht="28" customHeight="1">
      <x:c r="A462" s="16" t="str">
        <x:v>Рубцовский ТЭК</x:v>
      </x:c>
      <x:c r="B462" s="16" t="str">
        <x:v>2000183165-W122</x:v>
      </x:c>
      <x:c r="C462" s="16" t="str">
        <x:v>ТРУБА СТ10ПС 40*3,5 ГОСТ3262-75</x:v>
      </x:c>
      <x:c r="D462" s="16" t="str">
        <x:v>ТрбЧерСварМалСрдДиам</x:v>
      </x:c>
      <x:c r="E462" s="16" t="str">
        <x:v>Т</x:v>
      </x:c>
      <x:c r="F462" s="30" t="n">
        <x:v>0.007</x:v>
      </x:c>
      <x:c r="G462" s="17" t="n">
        <x:v>45198.3892</x:v>
      </x:c>
      <x:c r="H462" s="17" t="n">
        <x:f>G462*F462</x:f>
        <x:v>316.3887244</x:v>
      </x:c>
      <x:c r="I462" s="26" t="str">
        <x:f>HYPERLINK("https://etp-aktiv.ru/catalog/materialy/truby-stalnye-i-polimernye/2000183165-W122/","Открыть позицию")</x:f>
        <x:v>Открыть позицию</x:v>
      </x:c>
    </x:row>
    <x:row r="463" ht="28" customHeight="1">
      <x:c r="A463" s="16" t="str">
        <x:v>Рубцовский ТЭК</x:v>
      </x:c>
      <x:c r="B463" s="16" t="str">
        <x:v>2000257643-W122</x:v>
      </x:c>
      <x:c r="C463" s="16" t="str">
        <x:v>ТРУБА СТ20 108*4,5 ГОСТ10705-80</x:v>
      </x:c>
      <x:c r="D463" s="16" t="str">
        <x:v>ТрбЧерСварМалСрдДиам</x:v>
      </x:c>
      <x:c r="E463" s="16" t="str">
        <x:v>Т</x:v>
      </x:c>
      <x:c r="F463" s="30" t="n">
        <x:v>0.142</x:v>
      </x:c>
      <x:c r="G463" s="17" t="n">
        <x:v>54177.08899999999</x:v>
      </x:c>
      <x:c r="H463" s="17" t="n">
        <x:f>G463*F463</x:f>
        <x:v>7693.146637999998</x:v>
      </x:c>
      <x:c r="I463" s="26" t="str">
        <x:f>HYPERLINK("https://etp-aktiv.ru/catalog/materialy/truby-stalnye-i-polimernye/2000257643-W122/","Открыть позицию")</x:f>
        <x:v>Открыть позицию</x:v>
      </x:c>
    </x:row>
    <x:row r="464" ht="28" customHeight="1">
      <x:c r="A464" s="16" t="str">
        <x:v>Рубцовский ТЭК</x:v>
      </x:c>
      <x:c r="B464" s="16" t="str">
        <x:v>2000560475-W122</x:v>
      </x:c>
      <x:c r="C464" s="16" t="str">
        <x:v>ТРУБА СТ20 133*5 ГОСТ10705-80</x:v>
      </x:c>
      <x:c r="D464" s="16" t="str">
        <x:v>ТрбЧерСварМалСрдДиам</x:v>
      </x:c>
      <x:c r="E464" s="16" t="str">
        <x:v>Т</x:v>
      </x:c>
      <x:c r="F464" s="30" t="n">
        <x:v>0.299</x:v>
      </x:c>
      <x:c r="G464" s="17" t="n">
        <x:v>37362.5976</x:v>
      </x:c>
      <x:c r="H464" s="17" t="n">
        <x:f>G464*F464</x:f>
        <x:v>11171.4166824</x:v>
      </x:c>
      <x:c r="I464" s="26" t="str">
        <x:f>HYPERLINK("https://etp-aktiv.ru/catalog/materialy/truby-stalnye-i-polimernye/2000560475-W122/","Открыть позицию")</x:f>
        <x:v>Открыть позицию</x:v>
      </x:c>
    </x:row>
    <x:row r="465" ht="28" customHeight="1">
      <x:c r="A465" s="16" t="str">
        <x:v>Рубцовский ТЭК</x:v>
      </x:c>
      <x:c r="B465" s="16" t="str">
        <x:v>2000991301-W122</x:v>
      </x:c>
      <x:c r="C465" s="16" t="str">
        <x:v>ТРУБА СТ20 159*6 1-ППУ-ПЭ СОДК ГОСТ30732</x:v>
      </x:c>
      <x:c r="D465" s="16" t="str">
        <x:v>Труб/элем ТИ и Футер</x:v>
      </x:c>
      <x:c r="E465" s="16" t="str">
        <x:v>М</x:v>
      </x:c>
      <x:c r="F465" s="24" t="n">
        <x:v>95.4</x:v>
      </x:c>
      <x:c r="G465" s="17" t="n">
        <x:v>3173.22</x:v>
      </x:c>
      <x:c r="H465" s="17" t="n">
        <x:f>G465*F465</x:f>
        <x:v>302725.188</x:v>
      </x:c>
      <x:c r="I465" s="26" t="str">
        <x:f>HYPERLINK("https://etp-aktiv.ru/catalog/materialy/truboprovody/2000991301-W122/","Открыть позицию")</x:f>
        <x:v>Открыть позицию</x:v>
      </x:c>
    </x:row>
    <x:row r="466" ht="28" customHeight="1">
      <x:c r="A466" s="16" t="str">
        <x:v>Рубцовский ТЭК</x:v>
      </x:c>
      <x:c r="B466" s="16" t="str">
        <x:v>2000545956-W122</x:v>
      </x:c>
      <x:c r="C466" s="16" t="str">
        <x:v>ТРУБА СТ20 159*6 ТУ14-3Р-55-01</x:v>
      </x:c>
      <x:c r="D466" s="16" t="str">
        <x:v>Трубы котельные в/д</x:v>
      </x:c>
      <x:c r="E466" s="16" t="str">
        <x:v>Т</x:v>
      </x:c>
      <x:c r="F466" s="30" t="n">
        <x:v>0.03</x:v>
      </x:c>
      <x:c r="G466" s="17" t="n">
        <x:v>102937.5</x:v>
      </x:c>
      <x:c r="H466" s="17" t="n">
        <x:f>G466*F466</x:f>
        <x:v>3088.125</x:v>
      </x:c>
      <x:c r="I466" s="26" t="str">
        <x:f>HYPERLINK("https://etp-aktiv.ru/catalog/materialy/truby-stalnye-i-polimernye/2000545956-W122/","Открыть позицию")</x:f>
        <x:v>Открыть позицию</x:v>
      </x:c>
    </x:row>
    <x:row r="467" ht="28" customHeight="1">
      <x:c r="A467" s="16" t="str">
        <x:v>Рубцовский ТЭК</x:v>
      </x:c>
      <x:c r="B467" s="16" t="str">
        <x:v>2000546009-W122</x:v>
      </x:c>
      <x:c r="C467" s="16" t="str">
        <x:v>ТРУБА СТ20 159*8 ТУ14-3-190-04</x:v>
      </x:c>
      <x:c r="D467" s="16" t="str">
        <x:v>Трубы котельные в/д</x:v>
      </x:c>
      <x:c r="E467" s="16" t="str">
        <x:v>Т</x:v>
      </x:c>
      <x:c r="F467" s="30" t="n">
        <x:v>0.28</x:v>
      </x:c>
      <x:c r="G467" s="17" t="n">
        <x:v>28025.8034</x:v>
      </x:c>
      <x:c r="H467" s="17" t="n">
        <x:f>G467*F467</x:f>
        <x:v>7847.224952000001</x:v>
      </x:c>
      <x:c r="I467" s="26" t="str">
        <x:f>HYPERLINK("https://etp-aktiv.ru/catalog/materialy/truby-stalnye-i-polimernye/2000546009-W122/","Открыть позицию")</x:f>
        <x:v>Открыть позицию</x:v>
      </x:c>
    </x:row>
    <x:row r="468" ht="28" customHeight="1">
      <x:c r="A468" s="16" t="str">
        <x:v>Рубцовский ТЭК</x:v>
      </x:c>
      <x:c r="B468" s="16" t="str">
        <x:v>2000566566-W122</x:v>
      </x:c>
      <x:c r="C468" s="16" t="str">
        <x:v>ТРУБА СТ20 20*2,5 ГОСТ8733-74</x:v>
      </x:c>
      <x:c r="D468" s="16" t="str">
        <x:v>Трубы черные бесшов</x:v>
      </x:c>
      <x:c r="E468" s="16" t="str">
        <x:v>Т</x:v>
      </x:c>
      <x:c r="F468" s="30" t="n">
        <x:v>0.005</x:v>
      </x:c>
      <x:c r="G468" s="17" t="n">
        <x:v>122000.61</x:v>
      </x:c>
      <x:c r="H468" s="17" t="n">
        <x:f>G468*F468</x:f>
        <x:v>610.00305</x:v>
      </x:c>
      <x:c r="I468" s="26" t="str">
        <x:f>HYPERLINK("https://etp-aktiv.ru/catalog/materialy/truby-stalnye-i-polimernye/2000566566-W122/","Открыть позицию")</x:f>
        <x:v>Открыть позицию</x:v>
      </x:c>
    </x:row>
    <x:row r="469" ht="28" customHeight="1">
      <x:c r="A469" s="16" t="str">
        <x:v>Рубцовский ТЭК</x:v>
      </x:c>
      <x:c r="B469" s="16" t="str">
        <x:v>2000560192-W122</x:v>
      </x:c>
      <x:c r="C469" s="16" t="str">
        <x:v>ТРУБА СТ20 25*3,5 ГОСТ8733-74</x:v>
      </x:c>
      <x:c r="D469" s="16" t="str">
        <x:v>Трубы черные бесшов</x:v>
      </x:c>
      <x:c r="E469" s="16" t="str">
        <x:v>Т</x:v>
      </x:c>
      <x:c r="F469" s="30" t="n">
        <x:v>0.004</x:v>
      </x:c>
      <x:c r="G469" s="17" t="n">
        <x:v>90267.0436</x:v>
      </x:c>
      <x:c r="H469" s="17" t="n">
        <x:f>G469*F469</x:f>
        <x:v>361.06817440000003</x:v>
      </x:c>
      <x:c r="I469" s="26" t="str">
        <x:f>HYPERLINK("https://etp-aktiv.ru/catalog/materialy/truby-stalnye-i-polimernye/2000560192-W122/","Открыть позицию")</x:f>
        <x:v>Открыть позицию</x:v>
      </x:c>
    </x:row>
    <x:row r="470" ht="28" customHeight="1">
      <x:c r="A470" s="16" t="str">
        <x:v>Рубцовский ТЭК</x:v>
      </x:c>
      <x:c r="B470" s="16" t="str">
        <x:v>2000560193-W122</x:v>
      </x:c>
      <x:c r="C470" s="16" t="str">
        <x:v>ТРУБА СТ20 25*4 ГОСТ8731-74</x:v>
      </x:c>
      <x:c r="D470" s="16" t="str">
        <x:v>Трубы черные бесшов</x:v>
      </x:c>
      <x:c r="E470" s="16" t="str">
        <x:v>Т</x:v>
      </x:c>
      <x:c r="F470" s="30" t="n">
        <x:v>0.011</x:v>
      </x:c>
      <x:c r="G470" s="17" t="n">
        <x:v>263607.3398</x:v>
      </x:c>
      <x:c r="H470" s="17" t="n">
        <x:f>G470*F470</x:f>
        <x:v>2899.6807378</x:v>
      </x:c>
      <x:c r="I470" s="26" t="str">
        <x:f>HYPERLINK("https://etp-aktiv.ru/catalog/materialy/truby-stalnye-i-polimernye/2000560193-W122/","Открыть позицию")</x:f>
        <x:v>Открыть позицию</x:v>
      </x:c>
    </x:row>
    <x:row r="471" ht="28" customHeight="1">
      <x:c r="A471" s="16" t="str">
        <x:v>Рубцовский ТЭК</x:v>
      </x:c>
      <x:c r="B471" s="16" t="str">
        <x:v>2000560199-W122</x:v>
      </x:c>
      <x:c r="C471" s="16" t="str">
        <x:v>ТРУБА СТ20 273*6 ГОСТ8731-74</x:v>
      </x:c>
      <x:c r="D471" s="16" t="str">
        <x:v>Трубы черные бесшов</x:v>
      </x:c>
      <x:c r="E471" s="16" t="str">
        <x:v>Т</x:v>
      </x:c>
      <x:c r="F471" s="30" t="n">
        <x:v>0.19</x:v>
      </x:c>
      <x:c r="G471" s="17" t="n">
        <x:v>64660.012200000005</x:v>
      </x:c>
      <x:c r="H471" s="17" t="n">
        <x:f>G471*F471</x:f>
        <x:v>12285.402318</x:v>
      </x:c>
      <x:c r="I471" s="26" t="str">
        <x:f>HYPERLINK("https://etp-aktiv.ru/catalog/materialy/truby-stalnye-i-polimernye/2000560199-W122/","Открыть позицию")</x:f>
        <x:v>Открыть позицию</x:v>
      </x:c>
    </x:row>
    <x:row r="472" ht="28" customHeight="1">
      <x:c r="A472" s="16" t="str">
        <x:v>Рубцовский ТЭК</x:v>
      </x:c>
      <x:c r="B472" s="16" t="str">
        <x:v>2000560202-W122</x:v>
      </x:c>
      <x:c r="C472" s="16" t="str">
        <x:v>ТРУБА СТ20 28*3 ГОСТ8733-74</x:v>
      </x:c>
      <x:c r="D472" s="16" t="str">
        <x:v>Трубы черные бесшов</x:v>
      </x:c>
      <x:c r="E472" s="16" t="str">
        <x:v>Т</x:v>
      </x:c>
      <x:c r="F472" s="30" t="n">
        <x:v>0.001</x:v>
      </x:c>
      <x:c r="G472" s="17" t="n">
        <x:v>187803.75</x:v>
      </x:c>
      <x:c r="H472" s="17" t="n">
        <x:f>G472*F472</x:f>
        <x:v>187.80375</x:v>
      </x:c>
      <x:c r="I472" s="26" t="str">
        <x:f>HYPERLINK("https://etp-aktiv.ru/catalog/materialy/truby-stalnye-i-polimernye/2000560202-W122/","Открыть позицию")</x:f>
        <x:v>Открыть позицию</x:v>
      </x:c>
    </x:row>
    <x:row r="473" ht="28" customHeight="1">
      <x:c r="A473" s="16" t="str">
        <x:v>Рубцовский ТЭК</x:v>
      </x:c>
      <x:c r="B473" s="16" t="str">
        <x:v>2000560208-W122</x:v>
      </x:c>
      <x:c r="C473" s="16" t="str">
        <x:v>ТРУБА СТ20 32*2 ГОСТ8733-74</x:v>
      </x:c>
      <x:c r="D473" s="16" t="str">
        <x:v>Трубы черные бесшов</x:v>
      </x:c>
      <x:c r="E473" s="16" t="str">
        <x:v>Т</x:v>
      </x:c>
      <x:c r="F473" s="30" t="n">
        <x:v>0.152</x:v>
      </x:c>
      <x:c r="G473" s="17" t="n">
        <x:v>29646</x:v>
      </x:c>
      <x:c r="H473" s="17" t="n">
        <x:f>G473*F473</x:f>
        <x:v>4506.192</x:v>
      </x:c>
      <x:c r="I473" s="26" t="str">
        <x:f>HYPERLINK("https://etp-aktiv.ru/catalog/materialy/truby-stalnye-i-polimernye/2000560208-W122/","Открыть позицию")</x:f>
        <x:v>Открыть позицию</x:v>
      </x:c>
    </x:row>
    <x:row r="474" ht="28" customHeight="1">
      <x:c r="A474" s="16" t="str">
        <x:v>Рубцовский ТЭК</x:v>
      </x:c>
      <x:c r="B474" s="16" t="str">
        <x:v>2000560517-W122</x:v>
      </x:c>
      <x:c r="C474" s="16" t="str">
        <x:v>ТРУБА СТ20 377*9 ГОСТ10705-80</x:v>
      </x:c>
      <x:c r="D474" s="16" t="str">
        <x:v>ТрбЧерСварМалСрдДиам</x:v>
      </x:c>
      <x:c r="E474" s="16" t="str">
        <x:v>Т</x:v>
      </x:c>
      <x:c r="F474" s="30" t="n">
        <x:v>0.974</x:v>
      </x:c>
      <x:c r="G474" s="17" t="n">
        <x:v>59475</x:v>
      </x:c>
      <x:c r="H474" s="17" t="n">
        <x:f>G474*F474</x:f>
        <x:v>57928.65</x:v>
      </x:c>
      <x:c r="I474" s="26" t="str">
        <x:f>HYPERLINK("https://etp-aktiv.ru/catalog/materialy/truby-stalnye-i-polimernye/2000560517-W122/","Открыть позицию")</x:f>
        <x:v>Открыть позицию</x:v>
      </x:c>
    </x:row>
    <x:row r="475" ht="28" customHeight="1">
      <x:c r="A475" s="16" t="str">
        <x:v>Рубцовский ТЭК</x:v>
      </x:c>
      <x:c r="B475" s="16" t="str">
        <x:v>2000560235-W122</x:v>
      </x:c>
      <x:c r="C475" s="16" t="str">
        <x:v>ТРУБА СТ20 377*9 ГОСТ8731-74</x:v>
      </x:c>
      <x:c r="D475" s="16" t="str">
        <x:v>Трубы черные бесшов</x:v>
      </x:c>
      <x:c r="E475" s="16" t="str">
        <x:v>Т</x:v>
      </x:c>
      <x:c r="F475" s="30" t="n">
        <x:v>0.918</x:v>
      </x:c>
      <x:c r="G475" s="17" t="n">
        <x:v>68919.6666</x:v>
      </x:c>
      <x:c r="H475" s="17" t="n">
        <x:f>G475*F475</x:f>
        <x:v>63268.2539388</x:v>
      </x:c>
      <x:c r="I475" s="26" t="str">
        <x:f>HYPERLINK("https://etp-aktiv.ru/catalog/materialy/truby-stalnye-i-polimernye/2000560235-W122/","Открыть позицию")</x:f>
        <x:v>Открыть позицию</x:v>
      </x:c>
    </x:row>
    <x:row r="476" ht="28" customHeight="1">
      <x:c r="A476" s="16" t="str">
        <x:v>Рубцовский ТЭК</x:v>
      </x:c>
      <x:c r="B476" s="16" t="str">
        <x:v>2000189564-W122</x:v>
      </x:c>
      <x:c r="C476" s="16" t="str">
        <x:v>ТРУБА СТ20 40*3,5 ГОСТ8734-78</x:v>
      </x:c>
      <x:c r="D476" s="16" t="str">
        <x:v>Трубы черные бесшов</x:v>
      </x:c>
      <x:c r="E476" s="16" t="str">
        <x:v>Т</x:v>
      </x:c>
      <x:c r="F476" s="30" t="n">
        <x:v>0.015</x:v>
      </x:c>
      <x:c r="G476" s="17" t="n">
        <x:v>223594.88999999998</x:v>
      </x:c>
      <x:c r="H476" s="17" t="n">
        <x:f>G476*F476</x:f>
        <x:v>3353.9233499999996</x:v>
      </x:c>
      <x:c r="I476" s="26" t="str">
        <x:f>HYPERLINK("https://etp-aktiv.ru/catalog/materialy/truby-stalnye-i-polimernye/2000189564-W122/","Открыть позицию")</x:f>
        <x:v>Открыть позицию</x:v>
      </x:c>
    </x:row>
    <x:row r="477" ht="28" customHeight="1">
      <x:c r="A477" s="16" t="str">
        <x:v>Рубцовский ТЭК</x:v>
      </x:c>
      <x:c r="B477" s="16" t="str">
        <x:v>2000560247-W122</x:v>
      </x:c>
      <x:c r="C477" s="16" t="str">
        <x:v>ТРУБА СТ20 40*4 ГОСТ8731-74</x:v>
      </x:c>
      <x:c r="D477" s="16" t="str">
        <x:v>Трубы черные бесшов</x:v>
      </x:c>
      <x:c r="E477" s="16" t="str">
        <x:v>Т</x:v>
      </x:c>
      <x:c r="F477" s="30" t="n">
        <x:v>0.032</x:v>
      </x:c>
      <x:c r="G477" s="17" t="n">
        <x:v>118187.6952</x:v>
      </x:c>
      <x:c r="H477" s="17" t="n">
        <x:f>G477*F477</x:f>
        <x:v>3782.0062464000002</x:v>
      </x:c>
      <x:c r="I477" s="26" t="str">
        <x:f>HYPERLINK("https://etp-aktiv.ru/catalog/materialy/truby-stalnye-i-polimernye/2000560247-W122/","Открыть позицию")</x:f>
        <x:v>Открыть позицию</x:v>
      </x:c>
    </x:row>
    <x:row r="478" ht="28" customHeight="1">
      <x:c r="A478" s="16" t="str">
        <x:v>Рубцовский ТЭК</x:v>
      </x:c>
      <x:c r="B478" s="16" t="str">
        <x:v>2000699369-W122</x:v>
      </x:c>
      <x:c r="C478" s="16" t="str">
        <x:v>ТРУБА СТ20 48*4 ГОСТ8732-78</x:v>
      </x:c>
      <x:c r="D478" s="16" t="str">
        <x:v>Трубы черные бесшов</x:v>
      </x:c>
      <x:c r="E478" s="16" t="str">
        <x:v>Т</x:v>
      </x:c>
      <x:c r="F478" s="30" t="n">
        <x:v>0.041</x:v>
      </x:c>
      <x:c r="G478" s="17" t="n">
        <x:v>228750</x:v>
      </x:c>
      <x:c r="H478" s="17" t="n">
        <x:f>G478*F478</x:f>
        <x:v>9378.75</x:v>
      </x:c>
      <x:c r="I478" s="26" t="str">
        <x:f>HYPERLINK("https://etp-aktiv.ru/catalog/materialy/truby-stalnye-i-polimernye/2000699369-W122/","Открыть позицию")</x:f>
        <x:v>Открыть позицию</x:v>
      </x:c>
    </x:row>
    <x:row r="479" ht="28" customHeight="1">
      <x:c r="A479" s="16" t="str">
        <x:v>Рубцовский ТЭК</x:v>
      </x:c>
      <x:c r="B479" s="16" t="str">
        <x:v>2000560590-W122</x:v>
      </x:c>
      <x:c r="C479" s="16" t="str">
        <x:v>ТРУБА СТ20 530*10 ГОСТ10705-80</x:v>
      </x:c>
      <x:c r="D479" s="16" t="str">
        <x:v>ТрубЧерСварБольшДиам</x:v>
      </x:c>
      <x:c r="E479" s="16" t="str">
        <x:v>Т</x:v>
      </x:c>
      <x:c r="F479" s="24" t="n">
        <x:v>3.904</x:v>
      </x:c>
      <x:c r="G479" s="17" t="n">
        <x:v>74667.66</x:v>
      </x:c>
      <x:c r="H479" s="17" t="n">
        <x:f>G479*F479</x:f>
        <x:v>291502.54464</x:v>
      </x:c>
      <x:c r="I479" s="26" t="str">
        <x:f>HYPERLINK("https://etp-aktiv.ru/catalog/materialy/truby-stalnye-i-polimernye/2000560590-W122/","Открыть позицию")</x:f>
        <x:v>Открыть позицию</x:v>
      </x:c>
    </x:row>
    <x:row r="480" ht="28" customHeight="1">
      <x:c r="A480" s="16" t="str">
        <x:v>Рубцовский ТЭК</x:v>
      </x:c>
      <x:c r="B480" s="16" t="str">
        <x:v>2000560600-W122</x:v>
      </x:c>
      <x:c r="C480" s="16" t="str">
        <x:v>ТРУБА СТ20 630*8 ГОСТ20295-85</x:v>
      </x:c>
      <x:c r="D480" s="16" t="str">
        <x:v>ТрубЧерСварБольшДиам</x:v>
      </x:c>
      <x:c r="E480" s="16" t="str">
        <x:v>Т</x:v>
      </x:c>
      <x:c r="F480" s="24" t="n">
        <x:v>2.64</x:v>
      </x:c>
      <x:c r="G480" s="17" t="n">
        <x:v>119722.6626</x:v>
      </x:c>
      <x:c r="H480" s="17" t="n">
        <x:f>G480*F480</x:f>
        <x:v>316067.829264</x:v>
      </x:c>
      <x:c r="I480" s="26" t="str">
        <x:f>HYPERLINK("https://etp-aktiv.ru/catalog/materialy/truby-stalnye-i-polimernye/2000560600-W122/","Открыть позицию")</x:f>
        <x:v>Открыть позицию</x:v>
      </x:c>
    </x:row>
    <x:row r="481" ht="28" customHeight="1">
      <x:c r="A481" s="16" t="str">
        <x:v>Рубцовский ТЭК</x:v>
      </x:c>
      <x:c r="B481" s="16" t="str">
        <x:v>2000142986-W122</x:v>
      </x:c>
      <x:c r="C481" s="16" t="str">
        <x:v>ТРУБА СТ3 15*2,5 ГОСТ3262-75</x:v>
      </x:c>
      <x:c r="D481" s="16" t="str">
        <x:v>ТрбЧерСварМалСрдДиам</x:v>
      </x:c>
      <x:c r="E481" s="16" t="str">
        <x:v>Т</x:v>
      </x:c>
      <x:c r="F481" s="30" t="n">
        <x:v>0.035</x:v>
      </x:c>
      <x:c r="G481" s="17" t="n">
        <x:v>14640</x:v>
      </x:c>
      <x:c r="H481" s="17" t="n">
        <x:f>G481*F481</x:f>
        <x:v>512.4000000000001</x:v>
      </x:c>
      <x:c r="I481" s="26" t="str">
        <x:f>HYPERLINK("https://etp-aktiv.ru/catalog/materialy/truby-stalnye-i-polimernye/2000142986-W122/","Открыть позицию")</x:f>
        <x:v>Открыть позицию</x:v>
      </x:c>
    </x:row>
    <x:row r="482" ht="28" customHeight="1">
      <x:c r="A482" s="16" t="str">
        <x:v>Рубцовский ТЭК</x:v>
      </x:c>
      <x:c r="B482" s="16" t="str">
        <x:v>2000206210-W122</x:v>
      </x:c>
      <x:c r="C482" s="16" t="str">
        <x:v>ТРУБА СТ3 20*2,8 ГОСТ10705-80</x:v>
      </x:c>
      <x:c r="D482" s="16" t="str">
        <x:v>ТрбЧерСварМалСрдДиам</x:v>
      </x:c>
      <x:c r="E482" s="16" t="str">
        <x:v>Т</x:v>
      </x:c>
      <x:c r="F482" s="30" t="n">
        <x:v>0.007</x:v>
      </x:c>
      <x:c r="G482" s="17" t="n">
        <x:v>64050</x:v>
      </x:c>
      <x:c r="H482" s="17" t="n">
        <x:f>G482*F482</x:f>
        <x:v>448.35</x:v>
      </x:c>
      <x:c r="I482" s="26" t="str">
        <x:f>HYPERLINK("https://etp-aktiv.ru/catalog/materialy/truby-stalnye-i-polimernye/2000206210-W122/","Открыть позицию")</x:f>
        <x:v>Открыть позицию</x:v>
      </x:c>
    </x:row>
    <x:row r="483" ht="28" customHeight="1">
      <x:c r="A483" s="16" t="str">
        <x:v>Рубцовский ТЭК</x:v>
      </x:c>
      <x:c r="B483" s="16" t="str">
        <x:v>2000260584-W122</x:v>
      </x:c>
      <x:c r="C483" s="16" t="str">
        <x:v>ТРУБА СТ3ПС5 273*6 ГОСТ10705-80</x:v>
      </x:c>
      <x:c r="D483" s="16" t="str">
        <x:v>ТрбЧерСварМалСрдДиам</x:v>
      </x:c>
      <x:c r="E483" s="16" t="str">
        <x:v>Т</x:v>
      </x:c>
      <x:c r="F483" s="30" t="n">
        <x:v>0.467</x:v>
      </x:c>
      <x:c r="G483" s="17" t="n">
        <x:v>90839.1626</x:v>
      </x:c>
      <x:c r="H483" s="17" t="n">
        <x:f>G483*F483</x:f>
        <x:v>42421.888934200004</x:v>
      </x:c>
      <x:c r="I483" s="26" t="str">
        <x:f>HYPERLINK("https://etp-aktiv.ru/catalog/materialy/truby-stalnye-i-polimernye/2000260584-W122/","Открыть позицию")</x:f>
        <x:v>Открыть позицию</x:v>
      </x:c>
    </x:row>
    <x:row r="484" ht="28" customHeight="1">
      <x:c r="A484" s="16" t="str">
        <x:v>Рубцовский ТЭК</x:v>
      </x:c>
      <x:c r="B484" s="16" t="str">
        <x:v>2000694745-W122</x:v>
      </x:c>
      <x:c r="C484" s="16" t="str">
        <x:v>ТРУБА ТЕХ ПЭ100 SDR 26 225*8,6 ГОСТ18599</x:v>
      </x:c>
      <x:c r="D484" s="16" t="str">
        <x:v>Трубы полимерные</x:v>
      </x:c>
      <x:c r="E484" s="16" t="str">
        <x:v>М</x:v>
      </x:c>
      <x:c r="F484" s="24" t="n">
        <x:v>108.02</x:v>
      </x:c>
      <x:c r="G484" s="17" t="n">
        <x:v>1475.1874</x:v>
      </x:c>
      <x:c r="H484" s="17" t="n">
        <x:f>G484*F484</x:f>
        <x:v>159349.742948</x:v>
      </x:c>
      <x:c r="I484" s="26" t="str">
        <x:f>HYPERLINK("https://etp-aktiv.ru/catalog/materialy/truby-stalnye-i-polimernye/2000694745-W122/","Открыть позицию")</x:f>
        <x:v>Открыть позицию</x:v>
      </x:c>
    </x:row>
    <x:row r="485" ht="28" customHeight="1">
      <x:c r="A485" s="16" t="str">
        <x:v>Рубцовский ТЭК</x:v>
      </x:c>
      <x:c r="B485" s="16" t="str">
        <x:v>2000174447-W122</x:v>
      </x:c>
      <x:c r="C485" s="16" t="str">
        <x:v>ТРУБА Э/С СТ20 76*4 ГОСТ10705-80</x:v>
      </x:c>
      <x:c r="D485" s="16" t="str">
        <x:v>ТрбЧерСварМалСрдДиам</x:v>
      </x:c>
      <x:c r="E485" s="16" t="str">
        <x:v>Т</x:v>
      </x:c>
      <x:c r="F485" s="30" t="n">
        <x:v>0.094</x:v>
      </x:c>
      <x:c r="G485" s="17" t="n">
        <x:v>54900</x:v>
      </x:c>
      <x:c r="H485" s="17" t="n">
        <x:f>G485*F485</x:f>
        <x:v>5160.6</x:v>
      </x:c>
      <x:c r="I485" s="26" t="str">
        <x:f>HYPERLINK("https://etp-aktiv.ru/catalog/materialy/truby-stalnye-i-polimernye/2000174447-W122/","Открыть позицию")</x:f>
        <x:v>Открыть позицию</x:v>
      </x:c>
    </x:row>
    <x:row r="486" ht="28" customHeight="1">
      <x:c r="A486" s="16" t="str">
        <x:v>Рубцовский ТЭК</x:v>
      </x:c>
      <x:c r="B486" s="16" t="str">
        <x:v>2001017860-W122</x:v>
      </x:c>
      <x:c r="C486" s="16" t="str">
        <x:v>ТРУБА Э/С СТ20 820*9 ГОСТ10706-76</x:v>
      </x:c>
      <x:c r="D486" s="16" t="str">
        <x:v>ТрубЧерСварБольшДиам</x:v>
      </x:c>
      <x:c r="E486" s="16" t="str">
        <x:v>Т</x:v>
      </x:c>
      <x:c r="F486" s="24" t="n">
        <x:v>2.588</x:v>
      </x:c>
      <x:c r="G486" s="17" t="n">
        <x:v>121750.4612</x:v>
      </x:c>
      <x:c r="H486" s="17" t="n">
        <x:f>G486*F486</x:f>
        <x:v>315090.1935856</x:v>
      </x:c>
      <x:c r="I486" s="26" t="str">
        <x:f>HYPERLINK("https://etp-aktiv.ru/catalog/materialy/truby-stalnye-i-polimernye/2001017860-W122/","Открыть позицию")</x:f>
        <x:v>Открыть позицию</x:v>
      </x:c>
    </x:row>
    <x:row r="487" ht="28" customHeight="1">
      <x:c r="A487" s="16" t="str">
        <x:v>Рубцовский ТЭК</x:v>
      </x:c>
      <x:c r="B487" s="16" t="str">
        <x:v>2000280356-W122</x:v>
      </x:c>
      <x:c r="C487" s="16" t="str">
        <x:v>ТРУБА Э/С СТ3 377*4 ГОСТ10705-80</x:v>
      </x:c>
      <x:c r="D487" s="16" t="str">
        <x:v>ТрбЧерСварМалСрдДиам</x:v>
      </x:c>
      <x:c r="E487" s="16" t="str">
        <x:v>Т</x:v>
      </x:c>
      <x:c r="F487" s="24" t="n">
        <x:v>1.207</x:v>
      </x:c>
      <x:c r="G487" s="17" t="n">
        <x:v>88450</x:v>
      </x:c>
      <x:c r="H487" s="17" t="n">
        <x:f>G487*F487</x:f>
        <x:v>106759.15000000001</x:v>
      </x:c>
      <x:c r="I487" s="26" t="str">
        <x:f>HYPERLINK("https://etp-aktiv.ru/catalog/materialy/truby-stalnye-i-polimernye/2000280356-W122/","Открыть позицию")</x:f>
        <x:v>Открыть позицию</x:v>
      </x:c>
    </x:row>
    <x:row r="488" ht="28" customHeight="1">
      <x:c r="A488" s="16" t="str">
        <x:v>Рубцовский ТЭК</x:v>
      </x:c>
      <x:c r="B488" s="16" t="str">
        <x:v>2000556299-W122</x:v>
      </x:c>
      <x:c r="C488" s="16" t="str">
        <x:v>ТРУБКА Л68 19*1*4550 ГОСТ21646-2003</x:v>
      </x:c>
      <x:c r="D488" s="16" t="str">
        <x:v>М/прокат цветной</x:v>
      </x:c>
      <x:c r="E488" s="16" t="str">
        <x:v>КГ</x:v>
      </x:c>
      <x:c r="F488" s="24" t="n">
        <x:v>132.6</x:v>
      </x:c>
      <x:c r="G488" s="17" t="n">
        <x:v>549</x:v>
      </x:c>
      <x:c r="H488" s="17" t="n">
        <x:f>G488*F488</x:f>
        <x:v>72797.4</x:v>
      </x:c>
      <x:c r="I488" s="26" t="str">
        <x:f>HYPERLINK("https://etp-aktiv.ru/catalog/materialy/metalloprodukciya/2000556299-W122/","Открыть позицию")</x:f>
        <x:v>Открыть позицию</x:v>
      </x:c>
    </x:row>
    <x:row r="489" ht="28" customHeight="1">
      <x:c r="A489" s="16" t="str">
        <x:v>Рубцовский ТЭК</x:v>
      </x:c>
      <x:c r="B489" s="16" t="str">
        <x:v>2000556301-W122</x:v>
      </x:c>
      <x:c r="C489" s="16" t="str">
        <x:v>ТРУБКА Л68 19*1,0*3450 ГОСТ21646-2003</x:v>
      </x:c>
      <x:c r="D489" s="16" t="str">
        <x:v>М/прокат цветной</x:v>
      </x:c>
      <x:c r="E489" s="16" t="str">
        <x:v>КГ</x:v>
      </x:c>
      <x:c r="F489" s="24" t="n">
        <x:v>144.4</x:v>
      </x:c>
      <x:c r="G489" s="17" t="n">
        <x:v>746.7498</x:v>
      </x:c>
      <x:c r="H489" s="17" t="n">
        <x:f>G489*F489</x:f>
        <x:v>107830.67112000001</x:v>
      </x:c>
      <x:c r="I489" s="26" t="str">
        <x:f>HYPERLINK("https://etp-aktiv.ru/catalog/materialy/metalloprodukciya/2000556301-W122/","Открыть позицию")</x:f>
        <x:v>Открыть позицию</x:v>
      </x:c>
    </x:row>
    <x:row r="490" ht="28" customHeight="1">
      <x:c r="A490" s="16" t="str">
        <x:v>Рубцовский ТЭК</x:v>
      </x:c>
      <x:c r="B490" s="16" t="str">
        <x:v>2000548670-W122</x:v>
      </x:c>
      <x:c r="C490" s="16" t="str">
        <x:v>ТРУБКА ПВХ 305 ТВ-40 16ММ ЧЕРН ГОСТ19034</x:v>
      </x:c>
      <x:c r="D490" s="16" t="str">
        <x:v>Э/изоляцион мат-лы</x:v>
      </x:c>
      <x:c r="E490" s="16" t="str">
        <x:v>КГ</x:v>
      </x:c>
      <x:c r="F490" s="24" t="n">
        <x:v>1.02</x:v>
      </x:c>
      <x:c r="G490" s="17" t="n">
        <x:v>180.4868</x:v>
      </x:c>
      <x:c r="H490" s="17" t="n">
        <x:f>G490*F490</x:f>
        <x:v>184.096536</x:v>
      </x:c>
      <x:c r="I490" s="26" t="str">
        <x:f>HYPERLINK("https://etp-aktiv.ru/catalog/materialy/ehlektroizolyacionnye-materialy/2000548670-W122/","Открыть позицию")</x:f>
        <x:v>Открыть позицию</x:v>
      </x:c>
    </x:row>
    <x:row r="491" ht="28" customHeight="1">
      <x:c r="A491" s="16" t="str">
        <x:v>Рубцовский ТЭК</x:v>
      </x:c>
      <x:c r="B491" s="16" t="str">
        <x:v>2000043366-W122</x:v>
      </x:c>
      <x:c r="C491" s="16" t="str">
        <x:v>ТРУБКА ТКР ТИП 203 10ММ</x:v>
      </x:c>
      <x:c r="D491" s="16" t="str">
        <x:v>Э/изоляцион мат-лы</x:v>
      </x:c>
      <x:c r="E491" s="16" t="str">
        <x:v>М</x:v>
      </x:c>
      <x:c r="F491" s="25" t="n">
        <x:v>40</x:v>
      </x:c>
      <x:c r="G491" s="17" t="n">
        <x:v>25.388199999999998</x:v>
      </x:c>
      <x:c r="H491" s="17" t="n">
        <x:f>G491*F491</x:f>
        <x:v>1015.5279999999999</x:v>
      </x:c>
      <x:c r="I491" s="26" t="str">
        <x:f>HYPERLINK("https://etp-aktiv.ru/catalog/materialy/ehlektroizolyacionnye-materialy/2000043366-W122/","Открыть позицию")</x:f>
        <x:v>Открыть позицию</x:v>
      </x:c>
    </x:row>
    <x:row r="492" ht="28" customHeight="1">
      <x:c r="A492" s="16" t="str">
        <x:v>Рубцовский ТЭК</x:v>
      </x:c>
      <x:c r="B492" s="16" t="str">
        <x:v>2000043368-W122</x:v>
      </x:c>
      <x:c r="C492" s="16" t="str">
        <x:v>ТРУБКА ТКР ТИП 203 14ММ</x:v>
      </x:c>
      <x:c r="D492" s="16" t="str">
        <x:v>Э/изоляцион мат-лы</x:v>
      </x:c>
      <x:c r="E492" s="16" t="str">
        <x:v>М</x:v>
      </x:c>
      <x:c r="F492" s="24" t="n">
        <x:v>7.5</x:v>
      </x:c>
      <x:c r="G492" s="17" t="n">
        <x:v>110.45880000000001</x:v>
      </x:c>
      <x:c r="H492" s="17" t="n">
        <x:f>G492*F492</x:f>
        <x:v>828.441</x:v>
      </x:c>
      <x:c r="I492" s="26" t="str">
        <x:f>HYPERLINK("https://etp-aktiv.ru/catalog/materialy/ehlektroizolyacionnye-materialy/2000043368-W122/","Открыть позицию")</x:f>
        <x:v>Открыть позицию</x:v>
      </x:c>
    </x:row>
    <x:row r="493" ht="28" customHeight="1">
      <x:c r="A493" s="16" t="str">
        <x:v>Рубцовский ТЭК</x:v>
      </x:c>
      <x:c r="B493" s="16" t="str">
        <x:v>2000043374-W122</x:v>
      </x:c>
      <x:c r="C493" s="16" t="str">
        <x:v>ТРУБКА ТКР ТИП 203 3ММ</x:v>
      </x:c>
      <x:c r="D493" s="16" t="str">
        <x:v>Э/изоляцион мат-лы</x:v>
      </x:c>
      <x:c r="E493" s="16" t="str">
        <x:v>М</x:v>
      </x:c>
      <x:c r="F493" s="25" t="n">
        <x:v>3</x:v>
      </x:c>
      <x:c r="G493" s="17" t="n">
        <x:v>11.895</x:v>
      </x:c>
      <x:c r="H493" s="17" t="n">
        <x:f>G493*F493</x:f>
        <x:v>35.685</x:v>
      </x:c>
      <x:c r="I493" s="26" t="str">
        <x:f>HYPERLINK("https://etp-aktiv.ru/catalog/materialy/ehlektroizolyacionnye-materialy/2000043374-W122/","Открыть позицию")</x:f>
        <x:v>Открыть позицию</x:v>
      </x:c>
    </x:row>
    <x:row r="494" ht="28" customHeight="1">
      <x:c r="A494" s="16" t="str">
        <x:v>Рубцовский ТЭК</x:v>
      </x:c>
      <x:c r="B494" s="16" t="str">
        <x:v>2000043375-W122</x:v>
      </x:c>
      <x:c r="C494" s="16" t="str">
        <x:v>ТРУБКА ТКР ТИП 203 4ММ</x:v>
      </x:c>
      <x:c r="D494" s="16" t="str">
        <x:v>Э/изоляцион мат-лы</x:v>
      </x:c>
      <x:c r="E494" s="16" t="str">
        <x:v>М</x:v>
      </x:c>
      <x:c r="F494" s="25" t="n">
        <x:v>14</x:v>
      </x:c>
      <x:c r="G494" s="17" t="n">
        <x:v>21.8868</x:v>
      </x:c>
      <x:c r="H494" s="17" t="n">
        <x:f>G494*F494</x:f>
        <x:v>306.4152</x:v>
      </x:c>
      <x:c r="I494" s="26" t="str">
        <x:f>HYPERLINK("https://etp-aktiv.ru/catalog/materialy/ehlektroizolyacionnye-materialy/2000043375-W122/","Открыть позицию")</x:f>
        <x:v>Открыть позицию</x:v>
      </x:c>
    </x:row>
    <x:row r="495" ht="28" customHeight="1">
      <x:c r="A495" s="16" t="str">
        <x:v>Рубцовский ТЭК</x:v>
      </x:c>
      <x:c r="B495" s="16" t="str">
        <x:v>2000043378-W122</x:v>
      </x:c>
      <x:c r="C495" s="16" t="str">
        <x:v>ТРУБКА ТКР ТИП 203 6ММ</x:v>
      </x:c>
      <x:c r="D495" s="16" t="str">
        <x:v>Э/изоляцион мат-лы</x:v>
      </x:c>
      <x:c r="E495" s="16" t="str">
        <x:v>М</x:v>
      </x:c>
      <x:c r="F495" s="25" t="n">
        <x:v>5</x:v>
      </x:c>
      <x:c r="G495" s="17" t="n">
        <x:v>22.948199999999996</x:v>
      </x:c>
      <x:c r="H495" s="17" t="n">
        <x:f>G495*F495</x:f>
        <x:v>114.74099999999999</x:v>
      </x:c>
      <x:c r="I495" s="26" t="str">
        <x:f>HYPERLINK("https://etp-aktiv.ru/catalog/materialy/ehlektroizolyacionnye-materialy/2000043378-W122/","Открыть позицию")</x:f>
        <x:v>Открыть позицию</x:v>
      </x:c>
    </x:row>
    <x:row r="496" ht="28" customHeight="1">
      <x:c r="A496" s="16" t="str">
        <x:v>Рубцовский ТЭК</x:v>
      </x:c>
      <x:c r="B496" s="16" t="str">
        <x:v>2000552850-W122</x:v>
      </x:c>
      <x:c r="C496" s="16" t="str">
        <x:v>ТРУБОПРОВОД 133*5 20 ППМИ 60ММ</x:v>
      </x:c>
      <x:c r="D496" s="16" t="str">
        <x:v>Трубопроводы компл</x:v>
      </x:c>
      <x:c r="E496" s="16" t="str">
        <x:v>Т</x:v>
      </x:c>
      <x:c r="F496" s="30" t="n">
        <x:v>0.079</x:v>
      </x:c>
      <x:c r="G496" s="17" t="n">
        <x:v>34253.1958</x:v>
      </x:c>
      <x:c r="H496" s="17" t="n">
        <x:f>G496*F496</x:f>
        <x:v>2706.0024682000003</x:v>
      </x:c>
      <x:c r="I496" s="26" t="str">
        <x:f>HYPERLINK("https://etp-aktiv.ru/catalog/materialy/truboprovody/2000552850-W122/","Открыть позицию")</x:f>
        <x:v>Открыть позицию</x:v>
      </x:c>
    </x:row>
    <x:row r="497" ht="28" customHeight="1">
      <x:c r="A497" s="16" t="str">
        <x:v>Рубцовский ТЭК</x:v>
      </x:c>
      <x:c r="B497" s="16" t="str">
        <x:v>2000552854-W122</x:v>
      </x:c>
      <x:c r="C497" s="16" t="str">
        <x:v>ТРУБОПРОВОД 720*8 17Г1С-У ГОСТ20295ППМ70</x:v>
      </x:c>
      <x:c r="D497" s="16" t="str">
        <x:v>Трубопроводы компл</x:v>
      </x:c>
      <x:c r="E497" s="16" t="str">
        <x:v>Т</x:v>
      </x:c>
      <x:c r="F497" s="24" t="n">
        <x:v>2.352</x:v>
      </x:c>
      <x:c r="G497" s="17" t="n">
        <x:v>176203.258</x:v>
      </x:c>
      <x:c r="H497" s="17" t="n">
        <x:f>G497*F497</x:f>
        <x:v>414430.06281599996</x:v>
      </x:c>
      <x:c r="I497" s="26" t="str">
        <x:f>HYPERLINK("https://etp-aktiv.ru/catalog/materialy/truboprovody/2000552854-W122/","Открыть позицию")</x:f>
        <x:v>Открыть позицию</x:v>
      </x:c>
    </x:row>
    <x:row r="498" ht="28" customHeight="1">
      <x:c r="A498" s="16" t="str">
        <x:v>Рубцовский ТЭК</x:v>
      </x:c>
      <x:c r="B498" s="16" t="str">
        <x:v>2000552855-W122</x:v>
      </x:c>
      <x:c r="C498" s="16" t="str">
        <x:v>ТРУБОПРОВОД 720*9 17Г1С-У ГОСТ20295ППМ70</x:v>
      </x:c>
      <x:c r="D498" s="16" t="str">
        <x:v>Трубопроводы компл</x:v>
      </x:c>
      <x:c r="E498" s="16" t="str">
        <x:v>М</x:v>
      </x:c>
      <x:c r="F498" s="24" t="n">
        <x:v>79.11</x:v>
      </x:c>
      <x:c r="G498" s="17" t="n">
        <x:v>5504.213</x:v>
      </x:c>
      <x:c r="H498" s="17" t="n">
        <x:f>G498*F498</x:f>
        <x:v>435438.29043</x:v>
      </x:c>
      <x:c r="I498" s="26" t="str">
        <x:f>HYPERLINK("https://etp-aktiv.ru/catalog/materialy/truboprovody/2000552855-W122/","Открыть позицию")</x:f>
        <x:v>Открыть позицию</x:v>
      </x:c>
    </x:row>
    <x:row r="499" ht="28" customHeight="1">
      <x:c r="A499" s="16" t="str">
        <x:v>Рубцовский ТЭК</x:v>
      </x:c>
      <x:c r="B499" s="16" t="str">
        <x:v>2000631159-W122</x:v>
      </x:c>
      <x:c r="C499" s="16" t="str">
        <x:v>ТРУБОПРОВОД ППМИ 159*5 60ММ СТ20 ИЗГ</x:v>
      </x:c>
      <x:c r="D499" s="16" t="str">
        <x:v>Изделия, изгот СИБЭР</x:v>
      </x:c>
      <x:c r="E499" s="16" t="str">
        <x:v>М</x:v>
      </x:c>
      <x:c r="F499" s="24" t="n">
        <x:v>20.54</x:v>
      </x:c>
      <x:c r="G499" s="17" t="n">
        <x:v>1810.4556</x:v>
      </x:c>
      <x:c r="H499" s="17" t="n">
        <x:f>G499*F499</x:f>
        <x:v>37186.758023999995</x:v>
      </x:c>
      <x:c r="I499" s="26" t="str">
        <x:f>HYPERLINK("https://etp-aktiv.ru/catalog/materialy/prochie-materialy/2000631159-W122/","Открыть позицию")</x:f>
        <x:v>Открыть позицию</x:v>
      </x:c>
    </x:row>
    <x:row r="500" ht="28" customHeight="1">
      <x:c r="A500" s="16" t="str">
        <x:v>Рубцовский ТЭК</x:v>
      </x:c>
      <x:c r="B500" s="16" t="str">
        <x:v>2000554708-W122</x:v>
      </x:c>
      <x:c r="C500" s="16" t="str">
        <x:v>ФЛАНЕЦ 09Г2С DN200 PN16 И.1 ГОСТ12820</x:v>
      </x:c>
      <x:c r="D500" s="16" t="str">
        <x:v>Детали фасонные</x:v>
      </x:c>
      <x:c r="E500" s="16" t="str">
        <x:v>ШТ</x:v>
      </x:c>
      <x:c r="F500" s="25" t="n">
        <x:v>3</x:v>
      </x:c>
      <x:c r="G500" s="17" t="n">
        <x:v>253.99179999999998</x:v>
      </x:c>
      <x:c r="H500" s="17" t="n">
        <x:f>G500*F500</x:f>
        <x:v>761.9753999999999</x:v>
      </x:c>
      <x:c r="I500" s="26" t="str">
        <x:f>HYPERLINK("https://etp-aktiv.ru/catalog/materialy/truboprovody/2000554708-W122/","Открыть позицию")</x:f>
        <x:v>Открыть позицию</x:v>
      </x:c>
    </x:row>
    <x:row r="501" ht="28" customHeight="1">
      <x:c r="A501" s="16" t="str">
        <x:v>Рубцовский ТЭК</x:v>
      </x:c>
      <x:c r="B501" s="16" t="str">
        <x:v>2000554856-W122</x:v>
      </x:c>
      <x:c r="C501" s="16" t="str">
        <x:v>ФЛАНЕЦ 09Г2С DN250 PN16 И.1 ГОСТ12820</x:v>
      </x:c>
      <x:c r="D501" s="16" t="str">
        <x:v>Детали фасонные</x:v>
      </x:c>
      <x:c r="E501" s="16" t="str">
        <x:v>ШТ</x:v>
      </x:c>
      <x:c r="F501" s="25" t="n">
        <x:v>2</x:v>
      </x:c>
      <x:c r="G501" s="17" t="n">
        <x:v>393.79159999999996</x:v>
      </x:c>
      <x:c r="H501" s="17" t="n">
        <x:f>G501*F501</x:f>
        <x:v>787.5831999999999</x:v>
      </x:c>
      <x:c r="I501" s="26" t="str">
        <x:f>HYPERLINK("https://etp-aktiv.ru/catalog/materialy/truboprovody/2000554856-W122/","Открыть позицию")</x:f>
        <x:v>Открыть позицию</x:v>
      </x:c>
    </x:row>
    <x:row r="502" ht="28" customHeight="1">
      <x:c r="A502" s="16" t="str">
        <x:v>Рубцовский ТЭК</x:v>
      </x:c>
      <x:c r="B502" s="16" t="str">
        <x:v>2000554735-W122</x:v>
      </x:c>
      <x:c r="C502" s="16" t="str">
        <x:v>ФЛАНЕЦ 09Г2С DN300 PN1,6 И.1 ГОСТ12820</x:v>
      </x:c>
      <x:c r="D502" s="16" t="str">
        <x:v>Детали фасонные</x:v>
      </x:c>
      <x:c r="E502" s="16" t="str">
        <x:v>ШТ</x:v>
      </x:c>
      <x:c r="F502" s="25" t="n">
        <x:v>2</x:v>
      </x:c>
      <x:c r="G502" s="17" t="n">
        <x:v>578.0604</x:v>
      </x:c>
      <x:c r="H502" s="17" t="n">
        <x:f>G502*F502</x:f>
        <x:v>1156.1208</x:v>
      </x:c>
      <x:c r="I502" s="26" t="str">
        <x:f>HYPERLINK("https://etp-aktiv.ru/catalog/materialy/truboprovody/2000554735-W122/","Открыть позицию")</x:f>
        <x:v>Открыть позицию</x:v>
      </x:c>
    </x:row>
    <x:row r="503" ht="28" customHeight="1">
      <x:c r="A503" s="16" t="str">
        <x:v>Рубцовский ТЭК</x:v>
      </x:c>
      <x:c r="B503" s="16" t="str">
        <x:v>2000249529-W122</x:v>
      </x:c>
      <x:c r="C503" s="16" t="str">
        <x:v>ФЛАНЕЦ С ПОЛИМ ПОКР DN200 PN10 ПАТ-225</x:v>
      </x:c>
      <x:c r="D503" s="16" t="str">
        <x:v>Детали фасонные</x:v>
      </x:c>
      <x:c r="E503" s="16" t="str">
        <x:v>ШТ</x:v>
      </x:c>
      <x:c r="F503" s="25" t="n">
        <x:v>2</x:v>
      </x:c>
      <x:c r="G503" s="17" t="n">
        <x:v>1230.675</x:v>
      </x:c>
      <x:c r="H503" s="17" t="n">
        <x:f>G503*F503</x:f>
        <x:v>2461.35</x:v>
      </x:c>
      <x:c r="I503" s="26" t="str">
        <x:f>HYPERLINK("https://etp-aktiv.ru/catalog/materialy/truboprovody/2000249529-W122/","Открыть позицию")</x:f>
        <x:v>Открыть позицию</x:v>
      </x:c>
    </x:row>
    <x:row r="504" ht="28" customHeight="1">
      <x:c r="A504" s="16" t="str">
        <x:v>Рубцовский ТЭК</x:v>
      </x:c>
      <x:c r="B504" s="16" t="str">
        <x:v>2000554677-W122</x:v>
      </x:c>
      <x:c r="C504" s="16" t="str">
        <x:v>ФЛАНЕЦ СТ20 DN1000 PN1,6 ИСП.1 ГОСТ12820</x:v>
      </x:c>
      <x:c r="D504" s="16" t="str">
        <x:v>Детали фасонные</x:v>
      </x:c>
      <x:c r="E504" s="16" t="str">
        <x:v>ШТ</x:v>
      </x:c>
      <x:c r="F504" s="25" t="n">
        <x:v>2</x:v>
      </x:c>
      <x:c r="G504" s="17" t="n">
        <x:v>6798.5476</x:v>
      </x:c>
      <x:c r="H504" s="17" t="n">
        <x:f>G504*F504</x:f>
        <x:v>13597.0952</x:v>
      </x:c>
      <x:c r="I504" s="26" t="str">
        <x:f>HYPERLINK("https://etp-aktiv.ru/catalog/materialy/truboprovody/2000554677-W122/","Открыть позицию")</x:f>
        <x:v>Открыть позицию</x:v>
      </x:c>
    </x:row>
    <x:row r="505" ht="28" customHeight="1">
      <x:c r="A505" s="16" t="str">
        <x:v>Рубцовский ТЭК</x:v>
      </x:c>
      <x:c r="B505" s="16" t="str">
        <x:v>2000233699-W122</x:v>
      </x:c>
      <x:c r="C505" s="16" t="str">
        <x:v>ФЛАНЕЦ СТ20 DN15 PN16 ИСП1 ГОСТ12821-80</x:v>
      </x:c>
      <x:c r="D505" s="16" t="str">
        <x:v>Детали фасонные</x:v>
      </x:c>
      <x:c r="E505" s="16" t="str">
        <x:v>ШТ</x:v>
      </x:c>
      <x:c r="F505" s="25" t="n">
        <x:v>2</x:v>
      </x:c>
      <x:c r="G505" s="17" t="n">
        <x:v>13.676200000000001</x:v>
      </x:c>
      <x:c r="H505" s="17" t="n">
        <x:f>G505*F505</x:f>
        <x:v>27.352400000000003</x:v>
      </x:c>
      <x:c r="I505" s="26" t="str">
        <x:f>HYPERLINK("https://etp-aktiv.ru/catalog/materialy/truboprovody/2000233699-W122/","Открыть позицию")</x:f>
        <x:v>Открыть позицию</x:v>
      </x:c>
    </x:row>
    <x:row r="506" ht="28" customHeight="1">
      <x:c r="A506" s="16" t="str">
        <x:v>Рубцовский ТЭК</x:v>
      </x:c>
      <x:c r="B506" s="16" t="str">
        <x:v>2000009573-W122</x:v>
      </x:c>
      <x:c r="C506" s="16" t="str">
        <x:v>ФЛАНЕЦ СТ20 DN200 PN16 ИСП1 ГОСТ12820-80</x:v>
      </x:c>
      <x:c r="D506" s="16" t="str">
        <x:v>Детали фасонные</x:v>
      </x:c>
      <x:c r="E506" s="16" t="str">
        <x:v>ШТ</x:v>
      </x:c>
      <x:c r="F506" s="25" t="n">
        <x:v>6</x:v>
      </x:c>
      <x:c r="G506" s="17" t="n">
        <x:v>1177.6172</x:v>
      </x:c>
      <x:c r="H506" s="17" t="n">
        <x:f>G506*F506</x:f>
        <x:v>7065.7032</x:v>
      </x:c>
      <x:c r="I506" s="26" t="str">
        <x:f>HYPERLINK("https://etp-aktiv.ru/catalog/materialy/truboprovody/2000009573-W122/","Открыть позицию")</x:f>
        <x:v>Открыть позицию</x:v>
      </x:c>
    </x:row>
    <x:row r="507" ht="28" customHeight="1">
      <x:c r="A507" s="16" t="str">
        <x:v>Рубцовский ТЭК</x:v>
      </x:c>
      <x:c r="B507" s="16" t="str">
        <x:v>2000554725-W122</x:v>
      </x:c>
      <x:c r="C507" s="16" t="str">
        <x:v>ФЛАНЕЦ СТ20 DN25 PN1,6 ИСП.1 ГОСТ12821</x:v>
      </x:c>
      <x:c r="D507" s="16" t="str">
        <x:v>Детали фасонные</x:v>
      </x:c>
      <x:c r="E507" s="16" t="str">
        <x:v>ШТ</x:v>
      </x:c>
      <x:c r="F507" s="25" t="n">
        <x:v>2</x:v>
      </x:c>
      <x:c r="G507" s="17" t="n">
        <x:v>27.1572</x:v>
      </x:c>
      <x:c r="H507" s="17" t="n">
        <x:f>G507*F507</x:f>
        <x:v>54.3144</x:v>
      </x:c>
      <x:c r="I507" s="26" t="str">
        <x:f>HYPERLINK("https://etp-aktiv.ru/catalog/materialy/truboprovody/2000554725-W122/","Открыть позицию")</x:f>
        <x:v>Открыть позицию</x:v>
      </x:c>
    </x:row>
    <x:row r="508" ht="28" customHeight="1">
      <x:c r="A508" s="16" t="str">
        <x:v>Рубцовский ТЭК</x:v>
      </x:c>
      <x:c r="B508" s="16" t="str">
        <x:v>2000221520-W122</x:v>
      </x:c>
      <x:c r="C508" s="16" t="str">
        <x:v>ФЛАНЕЦ СТ20 DN25 PN16 ИСП1 ГОСТ12820-80</x:v>
      </x:c>
      <x:c r="D508" s="16" t="str">
        <x:v>Детали фасонные</x:v>
      </x:c>
      <x:c r="E508" s="16" t="str">
        <x:v>ШТ</x:v>
      </x:c>
      <x:c r="F508" s="25" t="n">
        <x:v>78</x:v>
      </x:c>
      <x:c r="G508" s="17" t="n">
        <x:v>510.0576</x:v>
      </x:c>
      <x:c r="H508" s="17" t="n">
        <x:f>G508*F508</x:f>
        <x:v>39784.4928</x:v>
      </x:c>
      <x:c r="I508" s="26" t="str">
        <x:f>HYPERLINK("https://etp-aktiv.ru/catalog/materialy/truboprovody/2000221520-W122/","Открыть позицию")</x:f>
        <x:v>Открыть позицию</x:v>
      </x:c>
    </x:row>
    <x:row r="509" ht="28" customHeight="1">
      <x:c r="A509" s="16" t="str">
        <x:v>Рубцовский ТЭК</x:v>
      </x:c>
      <x:c r="B509" s="16" t="str">
        <x:v>2000554720-W122</x:v>
      </x:c>
      <x:c r="C509" s="16" t="str">
        <x:v>ФЛАНЕЦ СТ20 DN250 PN16 ИСП.1 ГОСТ12820</x:v>
      </x:c>
      <x:c r="D509" s="16" t="str">
        <x:v>Детали фасонные</x:v>
      </x:c>
      <x:c r="E509" s="16" t="str">
        <x:v>ШТ</x:v>
      </x:c>
      <x:c r="F509" s="25" t="n">
        <x:v>4</x:v>
      </x:c>
      <x:c r="G509" s="17" t="n">
        <x:v>1478.3228</x:v>
      </x:c>
      <x:c r="H509" s="17" t="n">
        <x:f>G509*F509</x:f>
        <x:v>5913.2912</x:v>
      </x:c>
      <x:c r="I509" s="26" t="str">
        <x:f>HYPERLINK("https://etp-aktiv.ru/catalog/materialy/truboprovody/2000554720-W122/","Открыть позицию")</x:f>
        <x:v>Открыть позицию</x:v>
      </x:c>
    </x:row>
    <x:row r="510" ht="28" customHeight="1">
      <x:c r="A510" s="16" t="str">
        <x:v>Рубцовский ТЭК</x:v>
      </x:c>
      <x:c r="B510" s="16" t="str">
        <x:v>2000227182-W122</x:v>
      </x:c>
      <x:c r="C510" s="16" t="str">
        <x:v>ФЛАНЕЦ СТ20 DN300 PN16 ИСП1 ГОСТ12821-80</x:v>
      </x:c>
      <x:c r="D510" s="16" t="str">
        <x:v>Детали фасонные</x:v>
      </x:c>
      <x:c r="E510" s="16" t="str">
        <x:v>ШТ</x:v>
      </x:c>
      <x:c r="F510" s="25" t="n">
        <x:v>2</x:v>
      </x:c>
      <x:c r="G510" s="17" t="n">
        <x:v>492.0382</x:v>
      </x:c>
      <x:c r="H510" s="17" t="n">
        <x:f>G510*F510</x:f>
        <x:v>984.0764</x:v>
      </x:c>
      <x:c r="I510" s="26" t="str">
        <x:f>HYPERLINK("https://etp-aktiv.ru/catalog/materialy/truboprovody/2000227182-W122/","Открыть позицию")</x:f>
        <x:v>Открыть позицию</x:v>
      </x:c>
    </x:row>
    <x:row r="511" ht="28" customHeight="1">
      <x:c r="A511" s="16" t="str">
        <x:v>Рубцовский ТЭК</x:v>
      </x:c>
      <x:c r="B511" s="16" t="str">
        <x:v>2000554741-W122</x:v>
      </x:c>
      <x:c r="C511" s="16" t="str">
        <x:v>ФЛАНЕЦ СТ20 DN32 PN1,6 ИСП.1 ГОСТ12821</x:v>
      </x:c>
      <x:c r="D511" s="16" t="str">
        <x:v>Детали фасонные</x:v>
      </x:c>
      <x:c r="E511" s="16" t="str">
        <x:v>ШТ</x:v>
      </x:c>
      <x:c r="F511" s="25" t="n">
        <x:v>12</x:v>
      </x:c>
      <x:c r="G511" s="17" t="n">
        <x:v>85.96119999999999</x:v>
      </x:c>
      <x:c r="H511" s="17" t="n">
        <x:f>G511*F511</x:f>
        <x:v>1031.5344</x:v>
      </x:c>
      <x:c r="I511" s="26" t="str">
        <x:f>HYPERLINK("https://etp-aktiv.ru/catalog/materialy/truboprovody/2000554741-W122/","Открыть позицию")</x:f>
        <x:v>Открыть позицию</x:v>
      </x:c>
    </x:row>
    <x:row r="512" ht="28" customHeight="1">
      <x:c r="A512" s="16" t="str">
        <x:v>Рубцовский ТЭК</x:v>
      </x:c>
      <x:c r="B512" s="16" t="str">
        <x:v>2000221475-W122</x:v>
      </x:c>
      <x:c r="C512" s="16" t="str">
        <x:v>ФЛАНЕЦ СТ20 DN32 PN16 ИСП1 ГОСТ12820-80</x:v>
      </x:c>
      <x:c r="D512" s="16" t="str">
        <x:v>Детали фасонные</x:v>
      </x:c>
      <x:c r="E512" s="16" t="str">
        <x:v>ШТ</x:v>
      </x:c>
      <x:c r="F512" s="25" t="n">
        <x:v>104</x:v>
      </x:c>
      <x:c r="G512" s="17" t="n">
        <x:v>77.3968</x:v>
      </x:c>
      <x:c r="H512" s="17" t="n">
        <x:f>G512*F512</x:f>
        <x:v>8049.2672</x:v>
      </x:c>
      <x:c r="I512" s="26" t="str">
        <x:f>HYPERLINK("https://etp-aktiv.ru/catalog/materialy/truboprovody/2000221475-W122/","Открыть позицию")</x:f>
        <x:v>Открыть позицию</x:v>
      </x:c>
    </x:row>
    <x:row r="513" ht="28" customHeight="1">
      <x:c r="A513" s="16" t="str">
        <x:v>Рубцовский ТЭК</x:v>
      </x:c>
      <x:c r="B513" s="16" t="str">
        <x:v>2000554749-W122</x:v>
      </x:c>
      <x:c r="C513" s="16" t="str">
        <x:v>ФЛАНЕЦ СТ20 DN40 PN1,6 ИСП.1 ГОСТ12820</x:v>
      </x:c>
      <x:c r="D513" s="16" t="str">
        <x:v>Детали фасонные</x:v>
      </x:c>
      <x:c r="E513" s="16" t="str">
        <x:v>ШТ</x:v>
      </x:c>
      <x:c r="F513" s="25" t="n">
        <x:v>53</x:v>
      </x:c>
      <x:c r="G513" s="17" t="n">
        <x:v>106.2742</x:v>
      </x:c>
      <x:c r="H513" s="17" t="n">
        <x:f>G513*F513</x:f>
        <x:v>5632.5326</x:v>
      </x:c>
      <x:c r="I513" s="26" t="str">
        <x:f>HYPERLINK("https://etp-aktiv.ru/catalog/materialy/truboprovody/2000554749-W122/","Открыть позицию")</x:f>
        <x:v>Открыть позицию</x:v>
      </x:c>
    </x:row>
    <x:row r="514" ht="28" customHeight="1">
      <x:c r="A514" s="16" t="str">
        <x:v>Рубцовский ТЭК</x:v>
      </x:c>
      <x:c r="B514" s="16" t="str">
        <x:v>2000373946-W122</x:v>
      </x:c>
      <x:c r="C514" s="16" t="str">
        <x:v>ФЛАНЕЦ СТ20 DN40 PN16 ГОСТ12820-80</x:v>
      </x:c>
      <x:c r="D514" s="16" t="str">
        <x:v>Детали фасонные</x:v>
      </x:c>
      <x:c r="E514" s="16" t="str">
        <x:v>ШТ</x:v>
      </x:c>
      <x:c r="F514" s="25" t="n">
        <x:v>22</x:v>
      </x:c>
      <x:c r="G514" s="17" t="n">
        <x:v>151.2922</x:v>
      </x:c>
      <x:c r="H514" s="17" t="n">
        <x:f>G514*F514</x:f>
        <x:v>3328.4284000000002</x:v>
      </x:c>
      <x:c r="I514" s="26" t="str">
        <x:f>HYPERLINK("https://etp-aktiv.ru/catalog/materialy/truboprovody/2000373946-W122/","Открыть позицию")</x:f>
        <x:v>Открыть позицию</x:v>
      </x:c>
    </x:row>
    <x:row r="515" ht="28" customHeight="1">
      <x:c r="A515" s="16" t="str">
        <x:v>Рубцовский ТЭК</x:v>
      </x:c>
      <x:c r="B515" s="16" t="str">
        <x:v>2000554750-W122</x:v>
      </x:c>
      <x:c r="C515" s="16" t="str">
        <x:v>ФЛАНЕЦ СТ20 DN40 PN4 ИСП.1 ГОСТ12821-80</x:v>
      </x:c>
      <x:c r="D515" s="16" t="str">
        <x:v>Детали фасонные</x:v>
      </x:c>
      <x:c r="E515" s="16" t="str">
        <x:v>ШТ</x:v>
      </x:c>
      <x:c r="F515" s="25" t="n">
        <x:v>6</x:v>
      </x:c>
      <x:c r="G515" s="17" t="n">
        <x:v>563.3471999999999</x:v>
      </x:c>
      <x:c r="H515" s="17" t="n">
        <x:f>G515*F515</x:f>
        <x:v>3380.0831999999996</x:v>
      </x:c>
      <x:c r="I515" s="26" t="str">
        <x:f>HYPERLINK("https://etp-aktiv.ru/catalog/materialy/truboprovody/2000554750-W122/","Открыть позицию")</x:f>
        <x:v>Открыть позицию</x:v>
      </x:c>
    </x:row>
    <x:row r="516" ht="28" customHeight="1">
      <x:c r="A516" s="16" t="str">
        <x:v>Рубцовский ТЭК</x:v>
      </x:c>
      <x:c r="B516" s="16" t="str">
        <x:v>2000165227-W122</x:v>
      </x:c>
      <x:c r="C516" s="16" t="str">
        <x:v>ФЛАНЕЦ СТ20 DN400 PN16 ИСП1 ГОСТ12820-80</x:v>
      </x:c>
      <x:c r="D516" s="16" t="str">
        <x:v>Детали фасонные</x:v>
      </x:c>
      <x:c r="E516" s="16" t="str">
        <x:v>ШТ</x:v>
      </x:c>
      <x:c r="F516" s="25" t="n">
        <x:v>2</x:v>
      </x:c>
      <x:c r="G516" s="17" t="n">
        <x:v>2879.5416</x:v>
      </x:c>
      <x:c r="H516" s="17" t="n">
        <x:f>G516*F516</x:f>
        <x:v>5759.0832</x:v>
      </x:c>
      <x:c r="I516" s="26" t="str">
        <x:f>HYPERLINK("https://etp-aktiv.ru/catalog/materialy/truboprovody/2000165227-W122/","Открыть позицию")</x:f>
        <x:v>Открыть позицию</x:v>
      </x:c>
    </x:row>
    <x:row r="517" ht="28" customHeight="1">
      <x:c r="A517" s="16" t="str">
        <x:v>Рубцовский ТЭК</x:v>
      </x:c>
      <x:c r="B517" s="16" t="str">
        <x:v>2000554759-W122</x:v>
      </x:c>
      <x:c r="C517" s="16" t="str">
        <x:v>ФЛАНЕЦ СТ20 DN50 PN1,6 ИСП.1 ГОСТ12821</x:v>
      </x:c>
      <x:c r="D517" s="16" t="str">
        <x:v>Детали фасонные</x:v>
      </x:c>
      <x:c r="E517" s="16" t="str">
        <x:v>ШТ</x:v>
      </x:c>
      <x:c r="F517" s="25" t="n">
        <x:v>2</x:v>
      </x:c>
      <x:c r="G517" s="17" t="n">
        <x:v>499.8828</x:v>
      </x:c>
      <x:c r="H517" s="17" t="n">
        <x:f>G517*F517</x:f>
        <x:v>999.7656</x:v>
      </x:c>
      <x:c r="I517" s="26" t="str">
        <x:f>HYPERLINK("https://etp-aktiv.ru/catalog/materialy/truboprovody/2000554759-W122/","Открыть позицию")</x:f>
        <x:v>Открыть позицию</x:v>
      </x:c>
    </x:row>
    <x:row r="518" ht="28" customHeight="1">
      <x:c r="A518" s="16" t="str">
        <x:v>Рубцовский ТЭК</x:v>
      </x:c>
      <x:c r="B518" s="16" t="str">
        <x:v>2000165264-W122</x:v>
      </x:c>
      <x:c r="C518" s="16" t="str">
        <x:v>ФЛАНЕЦ СТ20 DN80 PN16 ИСП1 ГОСТ12821-8</x:v>
      </x:c>
      <x:c r="D518" s="16" t="str">
        <x:v>Детали фасонные</x:v>
      </x:c>
      <x:c r="E518" s="16" t="str">
        <x:v>ШТ</x:v>
      </x:c>
      <x:c r="F518" s="25" t="n">
        <x:v>12</x:v>
      </x:c>
      <x:c r="G518" s="17" t="n">
        <x:v>545.4376</x:v>
      </x:c>
      <x:c r="H518" s="17" t="n">
        <x:f>G518*F518</x:f>
        <x:v>6545.2512</x:v>
      </x:c>
      <x:c r="I518" s="26" t="str">
        <x:f>HYPERLINK("https://etp-aktiv.ru/catalog/materialy/truboprovody/2000165264-W122/","Открыть позицию")</x:f>
        <x:v>Открыть позицию</x:v>
      </x:c>
    </x:row>
    <x:row r="519" ht="28" customHeight="1">
      <x:c r="A519" s="16" t="str">
        <x:v>Филиал БТСК</x:v>
      </x:c>
      <x:c r="B519" s="16" t="str">
        <x:v>2000555667-W121</x:v>
      </x:c>
      <x:c r="C519" s="16" t="str">
        <x:v>АРМАТУРА А-I СТ3СП D8ММ ГОСТ5781-82</x:v>
      </x:c>
      <x:c r="D519" s="16" t="str">
        <x:v>М/прокат черный</x:v>
      </x:c>
      <x:c r="E519" s="16" t="str">
        <x:v>Т</x:v>
      </x:c>
      <x:c r="F519" s="30" t="n">
        <x:v>0.632</x:v>
      </x:c>
      <x:c r="G519" s="17" t="n">
        <x:v>16675.875</x:v>
      </x:c>
      <x:c r="H519" s="17" t="n">
        <x:f>G519*F519</x:f>
        <x:v>10539.153</x:v>
      </x:c>
      <x:c r="I519" s="26" t="str">
        <x:f>HYPERLINK("https://etp-aktiv.ru/catalog/materialy/metalloprodukciya/2000555667-W121/","Открыть позицию")</x:f>
        <x:v>Открыть позицию</x:v>
      </x:c>
    </x:row>
    <x:row r="520" ht="28" customHeight="1">
      <x:c r="A520" s="16" t="str">
        <x:v>Филиал БТСК</x:v>
      </x:c>
      <x:c r="B520" s="16" t="str">
        <x:v>2000580353-W121</x:v>
      </x:c>
      <x:c r="C520" s="16" t="str">
        <x:v>БОЧОНОК DN20 ГОСТ6357-81</x:v>
      </x:c>
      <x:c r="D520" s="16" t="str">
        <x:v>Детали фасонные</x:v>
      </x:c>
      <x:c r="E520" s="16" t="str">
        <x:v>ШТ</x:v>
      </x:c>
      <x:c r="F520" s="25" t="n">
        <x:v>5</x:v>
      </x:c>
      <x:c r="G520" s="17" t="n">
        <x:v>1.9276</x:v>
      </x:c>
      <x:c r="H520" s="17" t="n">
        <x:f>G520*F520</x:f>
        <x:v>9.638</x:v>
      </x:c>
      <x:c r="I520" s="26" t="str">
        <x:f>HYPERLINK("https://etp-aktiv.ru/catalog/materialy/truboprovody/2000580353-W121/","Открыть позицию")</x:f>
        <x:v>Открыть позицию</x:v>
      </x:c>
    </x:row>
    <x:row r="521" ht="28" customHeight="1">
      <x:c r="A521" s="16" t="str">
        <x:v>Филиал БТСК</x:v>
      </x:c>
      <x:c r="B521" s="16" t="str">
        <x:v>2000515669-W121</x:v>
      </x:c>
      <x:c r="C521" s="16" t="str">
        <x:v>БОЧОНОК DN25 ГОСТ6357-81</x:v>
      </x:c>
      <x:c r="D521" s="16" t="str">
        <x:v>Детали фасонные</x:v>
      </x:c>
      <x:c r="E521" s="16" t="str">
        <x:v>ШТ</x:v>
      </x:c>
      <x:c r="F521" s="25" t="n">
        <x:v>5</x:v>
      </x:c>
      <x:c r="G521" s="17" t="n">
        <x:v>3.0256</x:v>
      </x:c>
      <x:c r="H521" s="17" t="n">
        <x:f>G521*F521</x:f>
        <x:v>15.128</x:v>
      </x:c>
      <x:c r="I521" s="26" t="str">
        <x:f>HYPERLINK("https://etp-aktiv.ru/catalog/materialy/truboprovody/2000515669-W121/","Открыть позицию")</x:f>
        <x:v>Открыть позицию</x:v>
      </x:c>
    </x:row>
    <x:row r="522" ht="28" customHeight="1">
      <x:c r="A522" s="16" t="str">
        <x:v>Филиал БТСК</x:v>
      </x:c>
      <x:c r="B522" s="16" t="str">
        <x:v>2000260853-W121</x:v>
      </x:c>
      <x:c r="C522" s="16" t="str">
        <x:v>БОЧОНОК DN40 ГОСТ6357-81</x:v>
      </x:c>
      <x:c r="D522" s="16" t="str">
        <x:v>Детали фасонные</x:v>
      </x:c>
      <x:c r="E522" s="16" t="str">
        <x:v>ШТ</x:v>
      </x:c>
      <x:c r="F522" s="25" t="n">
        <x:v>5</x:v>
      </x:c>
      <x:c r="G522" s="17" t="n">
        <x:v>3.7332</x:v>
      </x:c>
      <x:c r="H522" s="17" t="n">
        <x:f>G522*F522</x:f>
        <x:v>18.666</x:v>
      </x:c>
      <x:c r="I522" s="26" t="str">
        <x:f>HYPERLINK("https://etp-aktiv.ru/catalog/materialy/truboprovody/2000260853-W121/","Открыть позицию")</x:f>
        <x:v>Открыть позицию</x:v>
      </x:c>
    </x:row>
    <x:row r="523" ht="28" customHeight="1">
      <x:c r="A523" s="16" t="str">
        <x:v>Филиал БТСК</x:v>
      </x:c>
      <x:c r="B523" s="16" t="str">
        <x:v>2000260852-W121</x:v>
      </x:c>
      <x:c r="C523" s="16" t="str">
        <x:v>БОЧОНОК DN50 ГОСТ6357-81</x:v>
      </x:c>
      <x:c r="D523" s="16" t="str">
        <x:v>Детали фасонные</x:v>
      </x:c>
      <x:c r="E523" s="16" t="str">
        <x:v>ШТ</x:v>
      </x:c>
      <x:c r="F523" s="25" t="n">
        <x:v>5</x:v>
      </x:c>
      <x:c r="G523" s="17" t="n">
        <x:v>6.0024</x:v>
      </x:c>
      <x:c r="H523" s="17" t="n">
        <x:f>G523*F523</x:f>
        <x:v>30.012</x:v>
      </x:c>
      <x:c r="I523" s="26" t="str">
        <x:f>HYPERLINK("https://etp-aktiv.ru/catalog/materialy/truboprovody/2000260852-W121/","Открыть позицию")</x:f>
        <x:v>Открыть позицию</x:v>
      </x:c>
    </x:row>
    <x:row r="524" ht="28" customHeight="1">
      <x:c r="A524" s="16" t="str">
        <x:v>Филиал БТСК</x:v>
      </x:c>
      <x:c r="B524" s="16" t="str">
        <x:v>2000560954-W121</x:v>
      </x:c>
      <x:c r="C524" s="16" t="str">
        <x:v>ГРЯЗЕВИК ТС-568.00.000-03 DN600 PN25</x:v>
      </x:c>
      <x:c r="D524" s="16" t="str">
        <x:v>Детали фасонные</x:v>
      </x:c>
      <x:c r="E524" s="16" t="str">
        <x:v>ШТ</x:v>
      </x:c>
      <x:c r="F524" s="25" t="n">
        <x:v>2</x:v>
      </x:c>
      <x:c r="G524" s="17" t="n">
        <x:v>57127.842</x:v>
      </x:c>
      <x:c r="H524" s="17" t="n">
        <x:f>G524*F524</x:f>
        <x:v>114255.684</x:v>
      </x:c>
      <x:c r="I524" s="26" t="str">
        <x:f>HYPERLINK("https://etp-aktiv.ru/catalog/materialy/truboprovody/2000560954-W121/","Открыть позицию")</x:f>
        <x:v>Открыть позицию</x:v>
      </x:c>
    </x:row>
    <x:row r="525" ht="28" customHeight="1">
      <x:c r="A525" s="16" t="str">
        <x:v>Филиал БТСК</x:v>
      </x:c>
      <x:c r="B525" s="16" t="str">
        <x:v>2000554223-W121</x:v>
      </x:c>
      <x:c r="C525" s="16" t="str">
        <x:v>ЗАГЛУШКА СТ20 DN65 PN1,6 ТС595.000-13</x:v>
      </x:c>
      <x:c r="D525" s="16" t="str">
        <x:v>Детали фасонные</x:v>
      </x:c>
      <x:c r="E525" s="16" t="str">
        <x:v>ШТ</x:v>
      </x:c>
      <x:c r="F525" s="25" t="n">
        <x:v>4</x:v>
      </x:c>
      <x:c r="G525" s="17" t="n">
        <x:v>357.4722</x:v>
      </x:c>
      <x:c r="H525" s="17" t="n">
        <x:f>G525*F525</x:f>
        <x:v>1429.8888</x:v>
      </x:c>
      <x:c r="I525" s="26" t="str">
        <x:f>HYPERLINK("https://etp-aktiv.ru/catalog/materialy/truboprovody/2000554223-W121/","Открыть позицию")</x:f>
        <x:v>Открыть позицию</x:v>
      </x:c>
    </x:row>
    <x:row r="526" ht="28" customHeight="1">
      <x:c r="A526" s="16" t="str">
        <x:v>Филиал БТСК</x:v>
      </x:c>
      <x:c r="B526" s="16" t="str">
        <x:v>2000539361-W121</x:v>
      </x:c>
      <x:c r="C526" s="16" t="str">
        <x:v>ЗАДВИЖКА 30С41НЖ DN50 PN16 Р/П ФЛ А КОФ</x:v>
      </x:c>
      <x:c r="D526" s="16" t="str">
        <x:v>Задвиж/клапан стальн</x:v>
      </x:c>
      <x:c r="E526" s="16" t="str">
        <x:v>ШТ</x:v>
      </x:c>
      <x:c r="F526" s="25" t="n">
        <x:v>1</x:v>
      </x:c>
      <x:c r="G526" s="17" t="n">
        <x:v>846.375</x:v>
      </x:c>
      <x:c r="H526" s="17" t="n">
        <x:f>G526*F526</x:f>
        <x:v>846.375</x:v>
      </x:c>
      <x:c r="I526" s="26" t="str">
        <x:f>HYPERLINK("https://etp-aktiv.ru/catalog/materialy/truboprovodnaya-armatura-i-komplektuyushchie/2000539361-W121/","Открыть позицию")</x:f>
        <x:v>Открыть позицию</x:v>
      </x:c>
    </x:row>
    <x:row r="527" ht="28" customHeight="1">
      <x:c r="A527" s="16" t="str">
        <x:v>Филиал БТСК</x:v>
      </x:c>
      <x:c r="B527" s="16" t="str">
        <x:v>2000539348-W121</x:v>
      </x:c>
      <x:c r="C527" s="16" t="str">
        <x:v>ЗАДВИЖКА ВЫДВ.ШП. 30С41НЖ 100/16 РП ПП A</x:v>
      </x:c>
      <x:c r="D527" s="16" t="str">
        <x:v>Задвиж/клапан стальн</x:v>
      </x:c>
      <x:c r="E527" s="16" t="str">
        <x:v>ШТ</x:v>
      </x:c>
      <x:c r="F527" s="25" t="n">
        <x:v>2</x:v>
      </x:c>
      <x:c r="G527" s="17" t="n">
        <x:v>1975.5826</x:v>
      </x:c>
      <x:c r="H527" s="17" t="n">
        <x:f>G527*F527</x:f>
        <x:v>3951.1652</x:v>
      </x:c>
      <x:c r="I527" s="26" t="str">
        <x:f>HYPERLINK("https://etp-aktiv.ru/catalog/materialy/truboprovodnaya-armatura-i-komplektuyushchie/2000539348-W121/","Открыть позицию")</x:f>
        <x:v>Открыть позицию</x:v>
      </x:c>
    </x:row>
    <x:row r="528" ht="28" customHeight="1">
      <x:c r="A528" s="16" t="str">
        <x:v>Филиал БТСК</x:v>
      </x:c>
      <x:c r="B528" s="16" t="str">
        <x:v>2000539709-W121</x:v>
      </x:c>
      <x:c r="C528" s="16" t="str">
        <x:v>КЛАПАН 16Ч6Р DN150 PN16 Р/П ФЛ А</x:v>
      </x:c>
      <x:c r="D528" s="16" t="str">
        <x:v>ЧугунАрмат (кр.затв)</x:v>
      </x:c>
      <x:c r="E528" s="16" t="str">
        <x:v>ШТ</x:v>
      </x:c>
      <x:c r="F528" s="25" t="n">
        <x:v>1</x:v>
      </x:c>
      <x:c r="G528" s="17" t="n">
        <x:v>1441.0274000000002</x:v>
      </x:c>
      <x:c r="H528" s="17" t="n">
        <x:f>G528*F528</x:f>
        <x:v>1441.0274000000002</x:v>
      </x:c>
      <x:c r="I528" s="26" t="str">
        <x:f>HYPERLINK("https://etp-aktiv.ru/catalog/materialy/truboprovodnaya-armatura-i-komplektuyushchie/2000539709-W121/","Открыть позицию")</x:f>
        <x:v>Открыть позицию</x:v>
      </x:c>
    </x:row>
    <x:row r="529" ht="28" customHeight="1">
      <x:c r="A529" s="16" t="str">
        <x:v>Филиал БТСК</x:v>
      </x:c>
      <x:c r="B529" s="16" t="str">
        <x:v>2000539747-W121</x:v>
      </x:c>
      <x:c r="C529" s="16" t="str">
        <x:v>КЛАПАН ОБР 19Ч01БР 100/16 Б/П М/Ф A СЧ18</x:v>
      </x:c>
      <x:c r="D529" s="16" t="str">
        <x:v>ЧугунАрмат (кр.затв)</x:v>
      </x:c>
      <x:c r="E529" s="16" t="str">
        <x:v>ШТ</x:v>
      </x:c>
      <x:c r="F529" s="25" t="n">
        <x:v>6</x:v>
      </x:c>
      <x:c r="G529" s="17" t="n">
        <x:v>740.3204000000001</x:v>
      </x:c>
      <x:c r="H529" s="17" t="n">
        <x:f>G529*F529</x:f>
        <x:v>4441.9224</x:v>
      </x:c>
      <x:c r="I529" s="26" t="str">
        <x:f>HYPERLINK("https://etp-aktiv.ru/catalog/materialy/truboprovodnaya-armatura-i-komplektuyushchie/2000539747-W121/","Открыть позицию")</x:f>
        <x:v>Открыть позицию</x:v>
      </x:c>
    </x:row>
    <x:row r="530" ht="28" customHeight="1">
      <x:c r="A530" s="16" t="str">
        <x:v>Филиал БТСК</x:v>
      </x:c>
      <x:c r="B530" s="16" t="str">
        <x:v>2000539771-W121</x:v>
      </x:c>
      <x:c r="C530" s="16" t="str">
        <x:v>КЛАПАН ОБР DCV8016 DN80 PN16 М/Ф A ЧУГУН</x:v>
      </x:c>
      <x:c r="D530" s="16" t="str">
        <x:v>ЧугунАрмат (кр.затв)</x:v>
      </x:c>
      <x:c r="E530" s="16" t="str">
        <x:v>ШТ</x:v>
      </x:c>
      <x:c r="F530" s="25" t="n">
        <x:v>2</x:v>
      </x:c>
      <x:c r="G530" s="17" t="n">
        <x:v>491.3794</x:v>
      </x:c>
      <x:c r="H530" s="17" t="n">
        <x:f>G530*F530</x:f>
        <x:v>982.7588</x:v>
      </x:c>
      <x:c r="I530" s="26" t="str">
        <x:f>HYPERLINK("https://etp-aktiv.ru/catalog/materialy/truboprovodnaya-armatura-i-komplektuyushchie/2000539771-W121/","Открыть позицию")</x:f>
        <x:v>Открыть позицию</x:v>
      </x:c>
    </x:row>
    <x:row r="531" ht="28" customHeight="1">
      <x:c r="A531" s="16" t="str">
        <x:v>Филиал БТСК</x:v>
      </x:c>
      <x:c r="B531" s="16" t="str">
        <x:v>2000500192-W121</x:v>
      </x:c>
      <x:c r="C531" s="16" t="str">
        <x:v>КЛАПАН ОБРАТНЫЙ VT.151 DN25 PN16</x:v>
      </x:c>
      <x:c r="D531" s="16" t="str">
        <x:v>@Трубопр армат промы</x:v>
      </x:c>
      <x:c r="E531" s="16" t="str">
        <x:v>ШТ</x:v>
      </x:c>
      <x:c r="F531" s="25" t="n">
        <x:v>15</x:v>
      </x:c>
      <x:c r="G531" s="17" t="n">
        <x:v>333.5968</x:v>
      </x:c>
      <x:c r="H531" s="17" t="n">
        <x:f>G531*F531</x:f>
        <x:v>5003.951999999999</x:v>
      </x:c>
      <x:c r="I531" s="26" t="str">
        <x:f>HYPERLINK("https://etp-aktiv.ru/catalog/materialy/truboprovodnaya-armatura-i-komplektuyushchie/2000500192-W121/","Открыть позицию")</x:f>
        <x:v>Открыть позицию</x:v>
      </x:c>
    </x:row>
    <x:row r="532" ht="28" customHeight="1">
      <x:c r="A532" s="16" t="str">
        <x:v>Филиал БТСК</x:v>
      </x:c>
      <x:c r="B532" s="16" t="str">
        <x:v>2000675296-W121</x:v>
      </x:c>
      <x:c r="C532" s="16" t="str">
        <x:v>КЛАПАН РЕГ VFG2 065B2429 250 40 РП ФЛ</x:v>
      </x:c>
      <x:c r="D532" s="16" t="str">
        <x:v>Армат из медн сплав</x:v>
      </x:c>
      <x:c r="E532" s="16" t="str">
        <x:v>ШТ</x:v>
      </x:c>
      <x:c r="F532" s="25" t="n">
        <x:v>1</x:v>
      </x:c>
      <x:c r="G532" s="17" t="n">
        <x:v>305301.035</x:v>
      </x:c>
      <x:c r="H532" s="17" t="n">
        <x:f>G532*F532</x:f>
        <x:v>305301.035</x:v>
      </x:c>
      <x:c r="I532" s="26" t="str">
        <x:f>HYPERLINK("https://etp-aktiv.ru/catalog/materialy/truboprovodnaya-armatura-i-komplektuyushchie/2000675296-W121/","Открыть позицию")</x:f>
        <x:v>Открыть позицию</x:v>
      </x:c>
    </x:row>
    <x:row r="533" ht="28" customHeight="1">
      <x:c r="A533" s="16" t="str">
        <x:v>Филиал БТСК</x:v>
      </x:c>
      <x:c r="B533" s="16" t="str">
        <x:v>2000741558-W121</x:v>
      </x:c>
      <x:c r="C533" s="16" t="str">
        <x:v>КОЛЕНО 45 17Г1С 1020 14 89 ОСТ34 10.752</x:v>
      </x:c>
      <x:c r="D533" s="16" t="str">
        <x:v>Детали фасонные</x:v>
      </x:c>
      <x:c r="E533" s="16" t="str">
        <x:v>ШТ</x:v>
      </x:c>
      <x:c r="F533" s="25" t="n">
        <x:v>1</x:v>
      </x:c>
      <x:c r="G533" s="17" t="n">
        <x:v>32020.425</x:v>
      </x:c>
      <x:c r="H533" s="17" t="n">
        <x:f>G533*F533</x:f>
        <x:v>32020.425</x:v>
      </x:c>
      <x:c r="I533" s="26" t="str">
        <x:f>HYPERLINK("https://etp-aktiv.ru/catalog/materialy/truboprovody/2000741558-W121/","Открыть позицию")</x:f>
        <x:v>Открыть позицию</x:v>
      </x:c>
    </x:row>
    <x:row r="534" ht="28" customHeight="1">
      <x:c r="A534" s="16" t="str">
        <x:v>Филиал БТСК</x:v>
      </x:c>
      <x:c r="B534" s="16" t="str">
        <x:v>2000535037-W121</x:v>
      </x:c>
      <x:c r="C534" s="16" t="str">
        <x:v>КОМПЕНС 200-25-190 ТС-579.00.-03 С.5.903</x:v>
      </x:c>
      <x:c r="D534" s="16" t="str">
        <x:v>Компенсаторы</x:v>
      </x:c>
      <x:c r="E534" s="16" t="str">
        <x:v>ШТ</x:v>
      </x:c>
      <x:c r="F534" s="25" t="n">
        <x:v>1</x:v>
      </x:c>
      <x:c r="G534" s="17" t="n">
        <x:v>5303.3034</x:v>
      </x:c>
      <x:c r="H534" s="17" t="n">
        <x:f>G534*F534</x:f>
        <x:v>5303.3034</x:v>
      </x:c>
      <x:c r="I534" s="26" t="str">
        <x:f>HYPERLINK("https://etp-aktiv.ru/catalog/materialy/truboprovody/2000535037-W121/","Открыть позицию")</x:f>
        <x:v>Открыть позицию</x:v>
      </x:c>
    </x:row>
    <x:row r="535" ht="28" customHeight="1">
      <x:c r="A535" s="16" t="str">
        <x:v>Филиал БТСК</x:v>
      </x:c>
      <x:c r="B535" s="16" t="str">
        <x:v>2000535032-W121</x:v>
      </x:c>
      <x:c r="C535" s="16" t="str">
        <x:v>КОМПЕНС КРEPDM200-25-35-15-10 130СТ20КОФ</x:v>
      </x:c>
      <x:c r="D535" s="16" t="str">
        <x:v>Компенсаторы</x:v>
      </x:c>
      <x:c r="E535" s="16" t="str">
        <x:v>КМП</x:v>
      </x:c>
      <x:c r="F535" s="25" t="n">
        <x:v>3</x:v>
      </x:c>
      <x:c r="G535" s="17" t="n">
        <x:v>33474.9334</x:v>
      </x:c>
      <x:c r="H535" s="17" t="n">
        <x:f>G535*F535</x:f>
        <x:v>100424.8002</x:v>
      </x:c>
      <x:c r="I535" s="26" t="str">
        <x:f>HYPERLINK("https://etp-aktiv.ru/catalog/materialy/truboprovody/2000535032-W121/","Открыть позицию")</x:f>
        <x:v>Открыть позицию</x:v>
      </x:c>
    </x:row>
    <x:row r="536" ht="28" customHeight="1">
      <x:c r="A536" s="16" t="str">
        <x:v>Филиал БТСК</x:v>
      </x:c>
      <x:c r="B536" s="16" t="str">
        <x:v>2000535033-W121</x:v>
      </x:c>
      <x:c r="C536" s="16" t="str">
        <x:v>КОМПЕНС КРEPDM250-25-35-15-10 130СТ20КОФ</x:v>
      </x:c>
      <x:c r="D536" s="16" t="str">
        <x:v>Компенсаторы</x:v>
      </x:c>
      <x:c r="E536" s="16" t="str">
        <x:v>КМП</x:v>
      </x:c>
      <x:c r="F536" s="25" t="n">
        <x:v>3</x:v>
      </x:c>
      <x:c r="G536" s="17" t="n">
        <x:v>45522.226</x:v>
      </x:c>
      <x:c r="H536" s="17" t="n">
        <x:f>G536*F536</x:f>
        <x:v>136566.678</x:v>
      </x:c>
      <x:c r="I536" s="26" t="str">
        <x:f>HYPERLINK("https://etp-aktiv.ru/catalog/materialy/truboprovody/2000535033-W121/","Открыть позицию")</x:f>
        <x:v>Открыть позицию</x:v>
      </x:c>
    </x:row>
    <x:row r="537" ht="28" customHeight="1">
      <x:c r="A537" s="16" t="str">
        <x:v>Филиал БТСК</x:v>
      </x:c>
      <x:c r="B537" s="16" t="str">
        <x:v>2000535129-W121</x:v>
      </x:c>
      <x:c r="C537" s="16" t="str">
        <x:v>КОМПЕНС ОПКР-16-350-190 ИЯНШ.300260029</x:v>
      </x:c>
      <x:c r="D537" s="16" t="str">
        <x:v>Компенсаторы</x:v>
      </x:c>
      <x:c r="E537" s="16" t="str">
        <x:v>ШТ</x:v>
      </x:c>
      <x:c r="F537" s="25" t="n">
        <x:v>1</x:v>
      </x:c>
      <x:c r="G537" s="17" t="n">
        <x:v>31110</x:v>
      </x:c>
      <x:c r="H537" s="17" t="n">
        <x:f>G537*F537</x:f>
        <x:v>31110</x:v>
      </x:c>
      <x:c r="I537" s="26" t="str">
        <x:f>HYPERLINK("https://etp-aktiv.ru/catalog/materialy/truboprovody/2000535129-W121/","Открыть позицию")</x:f>
        <x:v>Открыть позицию</x:v>
      </x:c>
    </x:row>
    <x:row r="538" ht="28" customHeight="1">
      <x:c r="A538" s="16" t="str">
        <x:v>Филиал БТСК</x:v>
      </x:c>
      <x:c r="B538" s="16" t="str">
        <x:v>2000571061-W121</x:v>
      </x:c>
      <x:c r="C538" s="16" t="str">
        <x:v>КОМПЕНС СКУ.М.С-16-426*9-200 300260.033</x:v>
      </x:c>
      <x:c r="D538" s="16" t="str">
        <x:v>Компенсаторы</x:v>
      </x:c>
      <x:c r="E538" s="16" t="str">
        <x:v>ШТ</x:v>
      </x:c>
      <x:c r="F538" s="25" t="n">
        <x:v>1</x:v>
      </x:c>
      <x:c r="G538" s="17" t="n">
        <x:v>65769.285</x:v>
      </x:c>
      <x:c r="H538" s="17" t="n">
        <x:f>G538*F538</x:f>
        <x:v>65769.285</x:v>
      </x:c>
      <x:c r="I538" s="26" t="str">
        <x:f>HYPERLINK("https://etp-aktiv.ru/catalog/materialy/truboprovody/2000571061-W121/","Открыть позицию")</x:f>
        <x:v>Открыть позицию</x:v>
      </x:c>
    </x:row>
    <x:row r="539" ht="28" customHeight="1">
      <x:c r="A539" s="16" t="str">
        <x:v>Филиал БТСК</x:v>
      </x:c>
      <x:c r="B539" s="16" t="str">
        <x:v>2000571074-W121</x:v>
      </x:c>
      <x:c r="C539" s="16" t="str">
        <x:v>КОМПЕНСАТОР EPDM 25-16-22-15 DN250</x:v>
      </x:c>
      <x:c r="D539" s="16" t="str">
        <x:v>Компенсаторы</x:v>
      </x:c>
      <x:c r="E539" s="16" t="str">
        <x:v>ШТ</x:v>
      </x:c>
      <x:c r="F539" s="25" t="n">
        <x:v>3</x:v>
      </x:c>
      <x:c r="G539" s="17" t="n">
        <x:v>36707.787</x:v>
      </x:c>
      <x:c r="H539" s="17" t="n">
        <x:f>G539*F539</x:f>
        <x:v>110123.36099999999</x:v>
      </x:c>
      <x:c r="I539" s="26" t="str">
        <x:f>HYPERLINK("https://etp-aktiv.ru/catalog/materialy/truboprovody/2000571074-W121/","Открыть позицию")</x:f>
        <x:v>Открыть позицию</x:v>
      </x:c>
    </x:row>
    <x:row r="540" ht="28" customHeight="1">
      <x:c r="A540" s="16" t="str">
        <x:v>Филиал БТСК</x:v>
      </x:c>
      <x:c r="B540" s="16" t="str">
        <x:v>2000487845-W121</x:v>
      </x:c>
      <x:c r="C540" s="16" t="str">
        <x:v>КОМПЕНСАТОР КР-ЕРDM 200-16-35-15-10</x:v>
      </x:c>
      <x:c r="D540" s="16" t="str">
        <x:v>Компенсаторы</x:v>
      </x:c>
      <x:c r="E540" s="16" t="str">
        <x:v>ШТ</x:v>
      </x:c>
      <x:c r="F540" s="25" t="n">
        <x:v>4</x:v>
      </x:c>
      <x:c r="G540" s="17" t="n">
        <x:v>14508.4474</x:v>
      </x:c>
      <x:c r="H540" s="17" t="n">
        <x:f>G540*F540</x:f>
        <x:v>58033.7896</x:v>
      </x:c>
      <x:c r="I540" s="26" t="str">
        <x:f>HYPERLINK("https://etp-aktiv.ru/catalog/materialy/truboprovody/2000487845-W121/","Открыть позицию")</x:f>
        <x:v>Открыть позицию</x:v>
      </x:c>
    </x:row>
    <x:row r="541" ht="28" customHeight="1">
      <x:c r="A541" s="16" t="str">
        <x:v>Филиал БТСК</x:v>
      </x:c>
      <x:c r="B541" s="16" t="str">
        <x:v>2000535071-W121</x:v>
      </x:c>
      <x:c r="C541" s="16" t="str">
        <x:v>КОМПЕНСАТОР СИЛЬФОННЫЙ КСО 50-16-50</x:v>
      </x:c>
      <x:c r="D541" s="16" t="str">
        <x:v>Компенсаторы</x:v>
      </x:c>
      <x:c r="E541" s="16" t="str">
        <x:v>ШТ</x:v>
      </x:c>
      <x:c r="F541" s="25" t="n">
        <x:v>1</x:v>
      </x:c>
      <x:c r="G541" s="17" t="n">
        <x:v>899.0790000000001</x:v>
      </x:c>
      <x:c r="H541" s="17" t="n">
        <x:f>G541*F541</x:f>
        <x:v>899.0790000000001</x:v>
      </x:c>
      <x:c r="I541" s="26" t="str">
        <x:f>HYPERLINK("https://etp-aktiv.ru/catalog/materialy/truboprovody/2000535071-W121/","Открыть позицию")</x:f>
        <x:v>Открыть позицию</x:v>
      </x:c>
    </x:row>
    <x:row r="542" ht="28" customHeight="1">
      <x:c r="A542" s="16" t="str">
        <x:v>Филиал БТСК</x:v>
      </x:c>
      <x:c r="B542" s="16" t="str">
        <x:v>2000535042-W121</x:v>
      </x:c>
      <x:c r="C542" s="16" t="str">
        <x:v>КОМПЕНСАТОР ТС-579.00.000-08 С.5.903-13</x:v>
      </x:c>
      <x:c r="D542" s="16" t="str">
        <x:v>Компенсаторы</x:v>
      </x:c>
      <x:c r="E542" s="16" t="str">
        <x:v>ШТ</x:v>
      </x:c>
      <x:c r="F542" s="25" t="n">
        <x:v>2</x:v>
      </x:c>
      <x:c r="G542" s="17" t="n">
        <x:v>25925</x:v>
      </x:c>
      <x:c r="H542" s="17" t="n">
        <x:f>G542*F542</x:f>
        <x:v>51850</x:v>
      </x:c>
      <x:c r="I542" s="26" t="str">
        <x:f>HYPERLINK("https://etp-aktiv.ru/catalog/materialy/truboprovody/2000535042-W121/","Открыть позицию")</x:f>
        <x:v>Открыть позицию</x:v>
      </x:c>
    </x:row>
    <x:row r="543" ht="28" customHeight="1">
      <x:c r="A543" s="16" t="str">
        <x:v>Филиал БТСК</x:v>
      </x:c>
      <x:c r="B543" s="16" t="str">
        <x:v>2000321718-W121</x:v>
      </x:c>
      <x:c r="C543" s="16" t="str">
        <x:v>КОНТРГАЙКА СТ3 D15 ГОСТ8968-75</x:v>
      </x:c>
      <x:c r="D543" s="16" t="str">
        <x:v>ЗЧ трубопр арматуры</x:v>
      </x:c>
      <x:c r="E543" s="16" t="str">
        <x:v>ШТ</x:v>
      </x:c>
      <x:c r="F543" s="25" t="n">
        <x:v>8</x:v>
      </x:c>
      <x:c r="G543" s="17" t="n">
        <x:v>33.001</x:v>
      </x:c>
      <x:c r="H543" s="17" t="n">
        <x:f>G543*F543</x:f>
        <x:v>264.008</x:v>
      </x:c>
      <x:c r="I543" s="26" t="str">
        <x:f>HYPERLINK("https://etp-aktiv.ru/catalog/materialy/truboprovodnaya-armatura-i-komplektuyushchie/2000321718-W121/","Открыть позицию")</x:f>
        <x:v>Открыть позицию</x:v>
      </x:c>
    </x:row>
    <x:row r="544" ht="28" customHeight="1">
      <x:c r="A544" s="16" t="str">
        <x:v>Филиал БТСК</x:v>
      </x:c>
      <x:c r="B544" s="16" t="str">
        <x:v>2000231638-W121</x:v>
      </x:c>
      <x:c r="C544" s="16" t="str">
        <x:v>КОНТРГАЙКА СТ3 D20 ГОСТ8968-75</x:v>
      </x:c>
      <x:c r="D544" s="16" t="str">
        <x:v>ЗЧ трубопр арматуры</x:v>
      </x:c>
      <x:c r="E544" s="16" t="str">
        <x:v>ШТ</x:v>
      </x:c>
      <x:c r="F544" s="25" t="n">
        <x:v>12</x:v>
      </x:c>
      <x:c r="G544" s="17" t="n">
        <x:v>28.365</x:v>
      </x:c>
      <x:c r="H544" s="17" t="n">
        <x:f>G544*F544</x:f>
        <x:v>340.38</x:v>
      </x:c>
      <x:c r="I544" s="26" t="str">
        <x:f>HYPERLINK("https://etp-aktiv.ru/catalog/materialy/truboprovodnaya-armatura-i-komplektuyushchie/2000231638-W121/","Открыть позицию")</x:f>
        <x:v>Открыть позицию</x:v>
      </x:c>
    </x:row>
    <x:row r="545" ht="28" customHeight="1">
      <x:c r="A545" s="16" t="str">
        <x:v>Филиал БТСК</x:v>
      </x:c>
      <x:c r="B545" s="16" t="str">
        <x:v>2000320319-W121</x:v>
      </x:c>
      <x:c r="C545" s="16" t="str">
        <x:v>КОНТРГАЙКА СТ3 D25 ГОСТ8968-75</x:v>
      </x:c>
      <x:c r="D545" s="16" t="str">
        <x:v>ЗЧ трубопр арматуры</x:v>
      </x:c>
      <x:c r="E545" s="16" t="str">
        <x:v>ШТ</x:v>
      </x:c>
      <x:c r="F545" s="25" t="n">
        <x:v>8</x:v>
      </x:c>
      <x:c r="G545" s="17" t="n">
        <x:v>60.1338</x:v>
      </x:c>
      <x:c r="H545" s="17" t="n">
        <x:f>G545*F545</x:f>
        <x:v>481.0704</x:v>
      </x:c>
      <x:c r="I545" s="26" t="str">
        <x:f>HYPERLINK("https://etp-aktiv.ru/catalog/materialy/truboprovodnaya-armatura-i-komplektuyushchie/2000320319-W121/","Открыть позицию")</x:f>
        <x:v>Открыть позицию</x:v>
      </x:c>
    </x:row>
    <x:row r="546" ht="28" customHeight="1">
      <x:c r="A546" s="16" t="str">
        <x:v>Филиал БТСК</x:v>
      </x:c>
      <x:c r="B546" s="16" t="str">
        <x:v>2000231639-W121</x:v>
      </x:c>
      <x:c r="C546" s="16" t="str">
        <x:v>КОНТРГАЙКА СТ3 D32 ГОСТ8968-75</x:v>
      </x:c>
      <x:c r="D546" s="16" t="str">
        <x:v>ЗЧ трубопр арматуры</x:v>
      </x:c>
      <x:c r="E546" s="16" t="str">
        <x:v>ШТ</x:v>
      </x:c>
      <x:c r="F546" s="25" t="n">
        <x:v>2</x:v>
      </x:c>
      <x:c r="G546" s="17" t="n">
        <x:v>92.3174</x:v>
      </x:c>
      <x:c r="H546" s="17" t="n">
        <x:f>G546*F546</x:f>
        <x:v>184.6348</x:v>
      </x:c>
      <x:c r="I546" s="26" t="str">
        <x:f>HYPERLINK("https://etp-aktiv.ru/catalog/materialy/truboprovodnaya-armatura-i-komplektuyushchie/2000231639-W121/","Открыть позицию")</x:f>
        <x:v>Открыть позицию</x:v>
      </x:c>
    </x:row>
    <x:row r="547" ht="28" customHeight="1">
      <x:c r="A547" s="16" t="str">
        <x:v>Филиал БТСК</x:v>
      </x:c>
      <x:c r="B547" s="16" t="str">
        <x:v>2000383110-W121</x:v>
      </x:c>
      <x:c r="C547" s="16" t="str">
        <x:v>КОНТРГАЙКА СТ3 D40 ГОСТ8968-75</x:v>
      </x:c>
      <x:c r="D547" s="16" t="str">
        <x:v>ЗЧ трубопр арматуры</x:v>
      </x:c>
      <x:c r="E547" s="16" t="str">
        <x:v>ШТ</x:v>
      </x:c>
      <x:c r="F547" s="25" t="n">
        <x:v>4</x:v>
      </x:c>
      <x:c r="G547" s="17" t="n">
        <x:v>70.07679999999999</x:v>
      </x:c>
      <x:c r="H547" s="17" t="n">
        <x:f>G547*F547</x:f>
        <x:v>280.30719999999997</x:v>
      </x:c>
      <x:c r="I547" s="26" t="str">
        <x:f>HYPERLINK("https://etp-aktiv.ru/catalog/materialy/truboprovodnaya-armatura-i-komplektuyushchie/2000383110-W121/","Открыть позицию")</x:f>
        <x:v>Открыть позицию</x:v>
      </x:c>
    </x:row>
    <x:row r="548" ht="28" customHeight="1">
      <x:c r="A548" s="16" t="str">
        <x:v>Филиал БТСК</x:v>
      </x:c>
      <x:c r="B548" s="16" t="str">
        <x:v>2000320318-W121</x:v>
      </x:c>
      <x:c r="C548" s="16" t="str">
        <x:v>КОНТРГАЙКА СТ3 D50 ГОСТ8968-75</x:v>
      </x:c>
      <x:c r="D548" s="16" t="str">
        <x:v>ЗЧ трубопр арматуры</x:v>
      </x:c>
      <x:c r="E548" s="16" t="str">
        <x:v>ШТ</x:v>
      </x:c>
      <x:c r="F548" s="25" t="n">
        <x:v>6</x:v>
      </x:c>
      <x:c r="G548" s="17" t="n">
        <x:v>95.6358</x:v>
      </x:c>
      <x:c r="H548" s="17" t="n">
        <x:f>G548*F548</x:f>
        <x:v>573.8148</x:v>
      </x:c>
      <x:c r="I548" s="26" t="str">
        <x:f>HYPERLINK("https://etp-aktiv.ru/catalog/materialy/truboprovodnaya-armatura-i-komplektuyushchie/2000320318-W121/","Открыть позицию")</x:f>
        <x:v>Открыть позицию</x:v>
      </x:c>
    </x:row>
    <x:row r="549" ht="28" customHeight="1">
      <x:c r="A549" s="16" t="str">
        <x:v>Филиал БТСК</x:v>
      </x:c>
      <x:c r="B549" s="16" t="str">
        <x:v>2000540025-W121</x:v>
      </x:c>
      <x:c r="C549" s="16" t="str">
        <x:v>КРАН 09Г2С ПП ВОДА 200° ПП 20/16 РП A</x:v>
      </x:c>
      <x:c r="D549" s="16" t="str">
        <x:v>Краны шаров.стальн</x:v>
      </x:c>
      <x:c r="E549" s="16" t="str">
        <x:v>ШТ</x:v>
      </x:c>
      <x:c r="F549" s="25" t="n">
        <x:v>1</x:v>
      </x:c>
      <x:c r="G549" s="17" t="n">
        <x:v>2907.8456</x:v>
      </x:c>
      <x:c r="H549" s="17" t="n">
        <x:f>G549*F549</x:f>
        <x:v>2907.8456</x:v>
      </x:c>
      <x:c r="I549" s="26" t="str">
        <x:f>HYPERLINK("https://etp-aktiv.ru/catalog/materialy/truboprovodnaya-armatura-i-komplektuyushchie/2000540025-W121/","Открыть позицию")</x:f>
        <x:v>Открыть позицию</x:v>
      </x:c>
    </x:row>
    <x:row r="550" ht="28" customHeight="1">
      <x:c r="A550" s="16" t="str">
        <x:v>Филиал БТСК</x:v>
      </x:c>
      <x:c r="B550" s="16" t="str">
        <x:v>2000540345-W121</x:v>
      </x:c>
      <x:c r="C550" s="16" t="str">
        <x:v>КРАН 11Б38БК 3Х ВОДА 200° ВВ 15/16 РП С</x:v>
      </x:c>
      <x:c r="D550" s="16" t="str">
        <x:v>Армат из медн сплав</x:v>
      </x:c>
      <x:c r="E550" s="16" t="str">
        <x:v>ШТ</x:v>
      </x:c>
      <x:c r="F550" s="25" t="n">
        <x:v>22</x:v>
      </x:c>
      <x:c r="G550" s="17" t="n">
        <x:v>101.01599999999999</x:v>
      </x:c>
      <x:c r="H550" s="17" t="n">
        <x:f>G550*F550</x:f>
        <x:v>2222.352</x:v>
      </x:c>
      <x:c r="I550" s="26" t="str">
        <x:f>HYPERLINK("https://etp-aktiv.ru/catalog/materialy/truboprovodnaya-armatura-i-komplektuyushchie/2000540345-W121/","Открыть позицию")</x:f>
        <x:v>Открыть позицию</x:v>
      </x:c>
    </x:row>
    <x:row r="551" ht="28" customHeight="1">
      <x:c r="A551" s="16" t="str">
        <x:v>Филиал БТСК</x:v>
      </x:c>
      <x:c r="B551" s="16" t="str">
        <x:v>2000540082-W121</x:v>
      </x:c>
      <x:c r="C551" s="16" t="str">
        <x:v>КРАН ЛЦ ПП ВОДА 200° ВВ 20/40 Э A</x:v>
      </x:c>
      <x:c r="D551" s="16" t="str">
        <x:v>Армат из медн сплав</x:v>
      </x:c>
      <x:c r="E551" s="16" t="str">
        <x:v>ШТ</x:v>
      </x:c>
      <x:c r="F551" s="25" t="n">
        <x:v>1</x:v>
      </x:c>
      <x:c r="G551" s="17" t="n">
        <x:v>6477.6144</x:v>
      </x:c>
      <x:c r="H551" s="17" t="n">
        <x:f>G551*F551</x:f>
        <x:v>6477.6144</x:v>
      </x:c>
      <x:c r="I551" s="26" t="str">
        <x:f>HYPERLINK("https://etp-aktiv.ru/catalog/materialy/truboprovodnaya-armatura-i-komplektuyushchie/2000540082-W121/","Открыть позицию")</x:f>
        <x:v>Открыть позицию</x:v>
      </x:c>
    </x:row>
    <x:row r="552" ht="28" customHeight="1">
      <x:c r="A552" s="16" t="str">
        <x:v>Филиал БТСК</x:v>
      </x:c>
      <x:c r="B552" s="16" t="str">
        <x:v>2000570953-W121</x:v>
      </x:c>
      <x:c r="C552" s="16" t="str">
        <x:v>КРАН СТ20 СП ВОДА 200° ПП 10/40 РП A</x:v>
      </x:c>
      <x:c r="D552" s="16" t="str">
        <x:v>Краны шаров.стальн</x:v>
      </x:c>
      <x:c r="E552" s="16" t="str">
        <x:v>ШТ</x:v>
      </x:c>
      <x:c r="F552" s="25" t="n">
        <x:v>2</x:v>
      </x:c>
      <x:c r="G552" s="17" t="n">
        <x:v>957.8464</x:v>
      </x:c>
      <x:c r="H552" s="17" t="n">
        <x:f>G552*F552</x:f>
        <x:v>1915.6928</x:v>
      </x:c>
      <x:c r="I552" s="26" t="str">
        <x:f>HYPERLINK("https://etp-aktiv.ru/catalog/materialy/truboprovodnaya-armatura-i-komplektuyushchie/2000570953-W121/","Открыть позицию")</x:f>
        <x:v>Открыть позицию</x:v>
      </x:c>
    </x:row>
    <x:row r="553" ht="28" customHeight="1">
      <x:c r="A553" s="16" t="str">
        <x:v>Филиал БТСК</x:v>
      </x:c>
      <x:c r="B553" s="16" t="str">
        <x:v>2000695050-W121</x:v>
      </x:c>
      <x:c r="C553" s="16" t="str">
        <x:v>КРАН ШАР СТ20 32-20-1-ППУ-ПЭ L1900/ШТ370</x:v>
      </x:c>
      <x:c r="D553" s="16" t="str">
        <x:v>Труб/элем ТИ и Футер</x:v>
      </x:c>
      <x:c r="E553" s="16" t="str">
        <x:v>ШТ</x:v>
      </x:c>
      <x:c r="F553" s="25" t="n">
        <x:v>11</x:v>
      </x:c>
      <x:c r="G553" s="17" t="n">
        <x:v>3164.7654</x:v>
      </x:c>
      <x:c r="H553" s="17" t="n">
        <x:f>G553*F553</x:f>
        <x:v>34812.4194</x:v>
      </x:c>
      <x:c r="I553" s="26" t="str">
        <x:f>HYPERLINK("https://etp-aktiv.ru/catalog/materialy/truboprovody/2000695050-W121/","Открыть позицию")</x:f>
        <x:v>Открыть позицию</x:v>
      </x:c>
    </x:row>
    <x:row r="554" ht="28" customHeight="1">
      <x:c r="A554" s="16" t="str">
        <x:v>Филиал БТСК</x:v>
      </x:c>
      <x:c r="B554" s="16" t="str">
        <x:v>2000388224-W121</x:v>
      </x:c>
      <x:c r="C554" s="16" t="str">
        <x:v>КРАН ШАРОВЫЙ 11С97ПМ DN32 PN40</x:v>
      </x:c>
      <x:c r="D554" s="16" t="str">
        <x:v>@Трубопр армат промы</x:v>
      </x:c>
      <x:c r="E554" s="16" t="str">
        <x:v>ШТ</x:v>
      </x:c>
      <x:c r="F554" s="25" t="n">
        <x:v>20</x:v>
      </x:c>
      <x:c r="G554" s="17" t="n">
        <x:v>667.1936</x:v>
      </x:c>
      <x:c r="H554" s="17" t="n">
        <x:f>G554*F554</x:f>
        <x:v>13343.872</x:v>
      </x:c>
      <x:c r="I554" s="26" t="str">
        <x:f>HYPERLINK("https://etp-aktiv.ru/catalog/materialy/truboprovodnaya-armatura-i-komplektuyushchie/2000388224-W121/","Открыть позицию")</x:f>
        <x:v>Открыть позицию</x:v>
      </x:c>
    </x:row>
    <x:row r="555" ht="28" customHeight="1">
      <x:c r="A555" s="16" t="str">
        <x:v>Филиал БТСК</x:v>
      </x:c>
      <x:c r="B555" s="16" t="str">
        <x:v>2000688130-W121</x:v>
      </x:c>
      <x:c r="C555" s="16" t="str">
        <x:v>КРАН ШАРОВЫЙ СП ЛЦ ВОДА ВВ 20/25 Б</x:v>
      </x:c>
      <x:c r="D555" s="16" t="str">
        <x:v>Армат из медн сплав</x:v>
      </x:c>
      <x:c r="E555" s="16" t="str">
        <x:v>ШТ</x:v>
      </x:c>
      <x:c r="F555" s="25" t="n">
        <x:v>1</x:v>
      </x:c>
      <x:c r="G555" s="17" t="n">
        <x:v>198.2256</x:v>
      </x:c>
      <x:c r="H555" s="17" t="n">
        <x:f>G555*F555</x:f>
        <x:v>198.2256</x:v>
      </x:c>
      <x:c r="I555" s="26" t="str">
        <x:f>HYPERLINK("https://etp-aktiv.ru/catalog/materialy/truboprovodnaya-armatura-i-komplektuyushchie/2000688130-W121/","Открыть позицию")</x:f>
        <x:v>Открыть позицию</x:v>
      </x:c>
    </x:row>
    <x:row r="556" ht="28" customHeight="1">
      <x:c r="A556" s="16" t="str">
        <x:v>Филиал БТСК</x:v>
      </x:c>
      <x:c r="B556" s="16" t="str">
        <x:v>2000636015-W121</x:v>
      </x:c>
      <x:c r="C556" s="16" t="str">
        <x:v>ЛЮК ЛПКС В125 С ЗАПИРАЮЩИМ УСТРОЙСТВОМ</x:v>
      </x:c>
      <x:c r="D556" s="16" t="str">
        <x:v>Детали фасонные</x:v>
      </x:c>
      <x:c r="E556" s="16" t="str">
        <x:v>ШТ</x:v>
      </x:c>
      <x:c r="F556" s="25" t="n">
        <x:v>8</x:v>
      </x:c>
      <x:c r="G556" s="17" t="n">
        <x:v>3551.2248</x:v>
      </x:c>
      <x:c r="H556" s="17" t="n">
        <x:f>G556*F556</x:f>
        <x:v>28409.7984</x:v>
      </x:c>
      <x:c r="I556" s="26" t="str">
        <x:f>HYPERLINK("https://etp-aktiv.ru/catalog/materialy/truboprovody/2000636015-W121/","Открыть позицию")</x:f>
        <x:v>Открыть позицию</x:v>
      </x:c>
    </x:row>
    <x:row r="557" ht="28" customHeight="1">
      <x:c r="A557" s="16" t="str">
        <x:v>Филиал БТСК</x:v>
      </x:c>
      <x:c r="B557" s="16" t="str">
        <x:v>2000535028-W121</x:v>
      </x:c>
      <x:c r="C557" s="16" t="str">
        <x:v>МПЕНС-Р КР ARM Ф(СТ20)EPDM150-16-35-15</x:v>
      </x:c>
      <x:c r="D557" s="16" t="str">
        <x:v>Компенсаторы</x:v>
      </x:c>
      <x:c r="E557" s="16" t="str">
        <x:v>ШТ</x:v>
      </x:c>
      <x:c r="F557" s="25" t="n">
        <x:v>4</x:v>
      </x:c>
      <x:c r="G557" s="17" t="n">
        <x:v>4878.0968</x:v>
      </x:c>
      <x:c r="H557" s="17" t="n">
        <x:f>G557*F557</x:f>
        <x:v>19512.3872</x:v>
      </x:c>
      <x:c r="I557" s="26" t="str">
        <x:f>HYPERLINK("https://etp-aktiv.ru/catalog/materialy/truboprovody/2000535028-W121/","Открыть позицию")</x:f>
        <x:v>Открыть позицию</x:v>
      </x:c>
    </x:row>
    <x:row r="558" ht="28" customHeight="1">
      <x:c r="A558" s="16" t="str">
        <x:v>Филиал БТСК</x:v>
      </x:c>
      <x:c r="B558" s="16" t="str">
        <x:v>2000453021-W121</x:v>
      </x:c>
      <x:c r="C558" s="16" t="str">
        <x:v>МУФТА DN15 PN16 ИСПОЛНЕНИЕ1 ГОСТ8954-75</x:v>
      </x:c>
      <x:c r="D558" s="16" t="str">
        <x:v>Детали фасонные</x:v>
      </x:c>
      <x:c r="E558" s="16" t="str">
        <x:v>ШТ</x:v>
      </x:c>
      <x:c r="F558" s="25" t="n">
        <x:v>10</x:v>
      </x:c>
      <x:c r="G558" s="17" t="n">
        <x:v>14.03</x:v>
      </x:c>
      <x:c r="H558" s="17" t="n">
        <x:f>G558*F558</x:f>
        <x:v>140.29999999999998</x:v>
      </x:c>
      <x:c r="I558" s="26" t="str">
        <x:f>HYPERLINK("https://etp-aktiv.ru/catalog/materialy/truboprovody/2000453021-W121/","Открыть позицию")</x:f>
        <x:v>Открыть позицию</x:v>
      </x:c>
    </x:row>
    <x:row r="559" ht="28" customHeight="1">
      <x:c r="A559" s="16" t="str">
        <x:v>Филиал БТСК</x:v>
      </x:c>
      <x:c r="B559" s="16" t="str">
        <x:v>2000438599-W121</x:v>
      </x:c>
      <x:c r="C559" s="16" t="str">
        <x:v>МУФТА DN20 PN25 ГОСТ8966-75</x:v>
      </x:c>
      <x:c r="D559" s="16" t="str">
        <x:v>Детали фасонные</x:v>
      </x:c>
      <x:c r="E559" s="16" t="str">
        <x:v>ШТ</x:v>
      </x:c>
      <x:c r="F559" s="25" t="n">
        <x:v>10</x:v>
      </x:c>
      <x:c r="G559" s="17" t="n">
        <x:v>46.4332</x:v>
      </x:c>
      <x:c r="H559" s="17" t="n">
        <x:f>G559*F559</x:f>
        <x:v>464.332</x:v>
      </x:c>
      <x:c r="I559" s="26" t="str">
        <x:f>HYPERLINK("https://etp-aktiv.ru/catalog/materialy/truboprovody/2000438599-W121/","Открыть позицию")</x:f>
        <x:v>Открыть позицию</x:v>
      </x:c>
    </x:row>
    <x:row r="560" ht="28" customHeight="1">
      <x:c r="A560" s="16" t="str">
        <x:v>Филиал БТСК</x:v>
      </x:c>
      <x:c r="B560" s="16" t="str">
        <x:v>2000320843-W121</x:v>
      </x:c>
      <x:c r="C560" s="16" t="str">
        <x:v>МУФТА DN25 PN16 ГОСТ8966-75</x:v>
      </x:c>
      <x:c r="D560" s="16" t="str">
        <x:v>Детали фасонные</x:v>
      </x:c>
      <x:c r="E560" s="16" t="str">
        <x:v>ШТ</x:v>
      </x:c>
      <x:c r="F560" s="25" t="n">
        <x:v>10</x:v>
      </x:c>
      <x:c r="G560" s="17" t="n">
        <x:v>65.1968</x:v>
      </x:c>
      <x:c r="H560" s="17" t="n">
        <x:f>G560*F560</x:f>
        <x:v>651.968</x:v>
      </x:c>
      <x:c r="I560" s="26" t="str">
        <x:f>HYPERLINK("https://etp-aktiv.ru/catalog/materialy/truboprovody/2000320843-W121/","Открыть позицию")</x:f>
        <x:v>Открыть позицию</x:v>
      </x:c>
    </x:row>
    <x:row r="561" ht="28" customHeight="1">
      <x:c r="A561" s="16" t="str">
        <x:v>Филиал БТСК</x:v>
      </x:c>
      <x:c r="B561" s="16" t="str">
        <x:v>2000287026-W121</x:v>
      </x:c>
      <x:c r="C561" s="16" t="str">
        <x:v>МУФТА СТАЛЬНАЯ DN15 PN20</x:v>
      </x:c>
      <x:c r="D561" s="16" t="str">
        <x:v>Детали фасонные</x:v>
      </x:c>
      <x:c r="E561" s="16" t="str">
        <x:v>ШТ</x:v>
      </x:c>
      <x:c r="F561" s="25" t="n">
        <x:v>2</x:v>
      </x:c>
      <x:c r="G561" s="17" t="n">
        <x:v>124.4522</x:v>
      </x:c>
      <x:c r="H561" s="17" t="n">
        <x:f>G561*F561</x:f>
        <x:v>248.9044</x:v>
      </x:c>
      <x:c r="I561" s="26" t="str">
        <x:f>HYPERLINK("https://etp-aktiv.ru/catalog/materialy/truboprovody/2000287026-W121/","Открыть позицию")</x:f>
        <x:v>Открыть позицию</x:v>
      </x:c>
    </x:row>
    <x:row r="562" ht="28" customHeight="1">
      <x:c r="A562" s="16" t="str">
        <x:v>Филиал БТСК</x:v>
      </x:c>
      <x:c r="B562" s="16" t="str">
        <x:v>2000553082-W121</x:v>
      </x:c>
      <x:c r="C562" s="16" t="str">
        <x:v>ОПОРА 108-КП-А21 ОСТ34-146-88</x:v>
      </x:c>
      <x:c r="D562" s="16" t="str">
        <x:v>Система опорн-подвес</x:v>
      </x:c>
      <x:c r="E562" s="16" t="str">
        <x:v>ШТ</x:v>
      </x:c>
      <x:c r="F562" s="25" t="n">
        <x:v>5</x:v>
      </x:c>
      <x:c r="G562" s="17" t="n">
        <x:v>72.0532</x:v>
      </x:c>
      <x:c r="H562" s="17" t="n">
        <x:f>G562*F562</x:f>
        <x:v>360.266</x:v>
      </x:c>
      <x:c r="I562" s="26" t="str">
        <x:f>HYPERLINK("https://etp-aktiv.ru/catalog/materialy/truboprovody/2000553082-W121/","Открыть позицию")</x:f>
        <x:v>Открыть позицию</x:v>
      </x:c>
    </x:row>
    <x:row r="563" ht="28" customHeight="1">
      <x:c r="A563" s="16" t="str">
        <x:v>Филиал БТСК</x:v>
      </x:c>
      <x:c r="B563" s="16" t="str">
        <x:v>2000553153-W121</x:v>
      </x:c>
      <x:c r="C563" s="16" t="str">
        <x:v>ОПОРА DН1020 17Г1С ТС-666.00.00-18</x:v>
      </x:c>
      <x:c r="D563" s="16" t="str">
        <x:v>Система опорн-подвес</x:v>
      </x:c>
      <x:c r="E563" s="16" t="str">
        <x:v>ШТ</x:v>
      </x:c>
      <x:c r="F563" s="25" t="n">
        <x:v>2</x:v>
      </x:c>
      <x:c r="G563" s="17" t="n">
        <x:v>10290.09</x:v>
      </x:c>
      <x:c r="H563" s="17" t="n">
        <x:f>G563*F563</x:f>
        <x:v>20580.18</x:v>
      </x:c>
      <x:c r="I563" s="26" t="str">
        <x:f>HYPERLINK("https://etp-aktiv.ru/catalog/materialy/truboprovody/2000553153-W121/","Открыть позицию")</x:f>
        <x:v>Открыть позицию</x:v>
      </x:c>
    </x:row>
    <x:row r="564" ht="28" customHeight="1">
      <x:c r="A564" s="16" t="str">
        <x:v>Филиал БТСК</x:v>
      </x:c>
      <x:c r="B564" s="16" t="str">
        <x:v>2000553165-W121</x:v>
      </x:c>
      <x:c r="C564" s="16" t="str">
        <x:v>ОПОРА DН159 ТС623.000-009 С.5.903-13 В.8</x:v>
      </x:c>
      <x:c r="D564" s="16" t="str">
        <x:v>Система опорн-подвес</x:v>
      </x:c>
      <x:c r="E564" s="16" t="str">
        <x:v>ШТ</x:v>
      </x:c>
      <x:c r="F564" s="25" t="n">
        <x:v>64</x:v>
      </x:c>
      <x:c r="G564" s="17" t="n">
        <x:v>114.21640000000001</x:v>
      </x:c>
      <x:c r="H564" s="17" t="n">
        <x:f>G564*F564</x:f>
        <x:v>7309.8496000000005</x:v>
      </x:c>
      <x:c r="I564" s="26" t="str">
        <x:f>HYPERLINK("https://etp-aktiv.ru/catalog/materialy/truboprovody/2000553165-W121/","Открыть позицию")</x:f>
        <x:v>Открыть позицию</x:v>
      </x:c>
    </x:row>
    <x:row r="565" ht="28" customHeight="1">
      <x:c r="A565" s="16" t="str">
        <x:v>Филиал БТСК</x:v>
      </x:c>
      <x:c r="B565" s="16" t="str">
        <x:v>2000553166-W121</x:v>
      </x:c>
      <x:c r="C565" s="16" t="str">
        <x:v>ОПОРА DН159 ТС623.000-010 С.5.903-13 В.8</x:v>
      </x:c>
      <x:c r="D565" s="16" t="str">
        <x:v>Система опорн-подвес</x:v>
      </x:c>
      <x:c r="E565" s="16" t="str">
        <x:v>ШТ</x:v>
      </x:c>
      <x:c r="F565" s="25" t="n">
        <x:v>3</x:v>
      </x:c>
      <x:c r="G565" s="17" t="n">
        <x:v>637.6207999999999</x:v>
      </x:c>
      <x:c r="H565" s="17" t="n">
        <x:f>G565*F565</x:f>
        <x:v>1912.8623999999998</x:v>
      </x:c>
      <x:c r="I565" s="26" t="str">
        <x:f>HYPERLINK("https://etp-aktiv.ru/catalog/materialy/truboprovody/2000553166-W121/","Открыть позицию")</x:f>
        <x:v>Открыть позицию</x:v>
      </x:c>
    </x:row>
    <x:row r="566" ht="28" customHeight="1">
      <x:c r="A566" s="16" t="str">
        <x:v>Филиал БТСК</x:v>
      </x:c>
      <x:c r="B566" s="16" t="str">
        <x:v>2000553187-W121</x:v>
      </x:c>
      <x:c r="C566" s="16" t="str">
        <x:v>ОПОРА DН325 09Г2C ТС-624.000-009 5.903</x:v>
      </x:c>
      <x:c r="D566" s="16" t="str">
        <x:v>Система опорн-подвес</x:v>
      </x:c>
      <x:c r="E566" s="16" t="str">
        <x:v>ШТ</x:v>
      </x:c>
      <x:c r="F566" s="25" t="n">
        <x:v>81</x:v>
      </x:c>
      <x:c r="G566" s="17" t="n">
        <x:v>187.89219999999997</x:v>
      </x:c>
      <x:c r="H566" s="17" t="n">
        <x:f>G566*F566</x:f>
        <x:v>15219.268199999999</x:v>
      </x:c>
      <x:c r="I566" s="26" t="str">
        <x:f>HYPERLINK("https://etp-aktiv.ru/catalog/materialy/truboprovody/2000553187-W121/","Открыть позицию")</x:f>
        <x:v>Открыть позицию</x:v>
      </x:c>
    </x:row>
    <x:row r="567" ht="28" customHeight="1">
      <x:c r="A567" s="16" t="str">
        <x:v>Филиал БТСК</x:v>
      </x:c>
      <x:c r="B567" s="16" t="str">
        <x:v>2000553189-W121</x:v>
      </x:c>
      <x:c r="C567" s="16" t="str">
        <x:v>ОПОРА DН325 ТС624.000-036 С.5.903-13 В.8</x:v>
      </x:c>
      <x:c r="D567" s="16" t="str">
        <x:v>Система опорн-подвес</x:v>
      </x:c>
      <x:c r="E567" s="16" t="str">
        <x:v>ШТ</x:v>
      </x:c>
      <x:c r="F567" s="25" t="n">
        <x:v>28</x:v>
      </x:c>
      <x:c r="G567" s="17" t="n">
        <x:v>337.696</x:v>
      </x:c>
      <x:c r="H567" s="17" t="n">
        <x:f>G567*F567</x:f>
        <x:v>9455.488000000001</x:v>
      </x:c>
      <x:c r="I567" s="26" t="str">
        <x:f>HYPERLINK("https://etp-aktiv.ru/catalog/materialy/truboprovody/2000553189-W121/","Открыть позицию")</x:f>
        <x:v>Открыть позицию</x:v>
      </x:c>
    </x:row>
    <x:row r="568" ht="28" customHeight="1">
      <x:c r="A568" s="16" t="str">
        <x:v>Филиал БТСК</x:v>
      </x:c>
      <x:c r="B568" s="16" t="str">
        <x:v>2000562510-W121</x:v>
      </x:c>
      <x:c r="C568" s="16" t="str">
        <x:v>ОПОРА DН426 5.903-13В.7 ТС666.00.00-07</x:v>
      </x:c>
      <x:c r="D568" s="16" t="str">
        <x:v>Система опорн-подвес</x:v>
      </x:c>
      <x:c r="E568" s="16" t="str">
        <x:v>ШТ</x:v>
      </x:c>
      <x:c r="F568" s="25" t="n">
        <x:v>1</x:v>
      </x:c>
      <x:c r="G568" s="17" t="n">
        <x:v>1520.7422</x:v>
      </x:c>
      <x:c r="H568" s="17" t="n">
        <x:f>G568*F568</x:f>
        <x:v>1520.7422</x:v>
      </x:c>
      <x:c r="I568" s="26" t="str">
        <x:f>HYPERLINK("https://etp-aktiv.ru/catalog/materialy/truboprovody/2000562510-W121/","Открыть позицию")</x:f>
        <x:v>Открыть позицию</x:v>
      </x:c>
    </x:row>
    <x:row r="569" ht="28" customHeight="1">
      <x:c r="A569" s="16" t="str">
        <x:v>Филиал БТСК</x:v>
      </x:c>
      <x:c r="B569" s="16" t="str">
        <x:v>2000553228-W121</x:v>
      </x:c>
      <x:c r="C569" s="16" t="str">
        <x:v>ОПОРА DН76 ТС660.00.00-04 С.5.903-13</x:v>
      </x:c>
      <x:c r="D569" s="16" t="str">
        <x:v>Система опорн-подвес</x:v>
      </x:c>
      <x:c r="E569" s="16" t="str">
        <x:v>ШТ</x:v>
      </x:c>
      <x:c r="F569" s="25" t="n">
        <x:v>2</x:v>
      </x:c>
      <x:c r="G569" s="17" t="n">
        <x:v>36.6</x:v>
      </x:c>
      <x:c r="H569" s="17" t="n">
        <x:f>G569*F569</x:f>
        <x:v>73.2</x:v>
      </x:c>
      <x:c r="I569" s="26" t="str">
        <x:f>HYPERLINK("https://etp-aktiv.ru/catalog/materialy/truboprovody/2000553228-W121/","Открыть позицию")</x:f>
        <x:v>Открыть позицию</x:v>
      </x:c>
    </x:row>
    <x:row r="570" ht="28" customHeight="1">
      <x:c r="A570" s="16" t="str">
        <x:v>Филиал БТСК</x:v>
      </x:c>
      <x:c r="B570" s="16" t="str">
        <x:v>2000552966-W121</x:v>
      </x:c>
      <x:c r="C570" s="16" t="str">
        <x:v>ОПОРА L1500 В ППМИ 60ММ 011.НО-2-500-60</x:v>
      </x:c>
      <x:c r="D570" s="16" t="str">
        <x:v>Система опорн-подвес</x:v>
      </x:c>
      <x:c r="E570" s="16" t="str">
        <x:v>ШТ</x:v>
      </x:c>
      <x:c r="F570" s="25" t="n">
        <x:v>2</x:v>
      </x:c>
      <x:c r="G570" s="17" t="n">
        <x:v>58875.577399999995</x:v>
      </x:c>
      <x:c r="H570" s="17" t="n">
        <x:f>G570*F570</x:f>
        <x:v>117751.15479999999</x:v>
      </x:c>
      <x:c r="I570" s="26" t="str">
        <x:f>HYPERLINK("https://etp-aktiv.ru/catalog/materialy/truboprovody/2000552966-W121/","Открыть позицию")</x:f>
        <x:v>Открыть позицию</x:v>
      </x:c>
    </x:row>
    <x:row r="571" ht="28" customHeight="1">
      <x:c r="A571" s="16" t="str">
        <x:v>Филиал БТСК</x:v>
      </x:c>
      <x:c r="B571" s="16" t="str">
        <x:v>2000552954-W121</x:v>
      </x:c>
      <x:c r="C571" s="16" t="str">
        <x:v>ОПОРА БУГЕЛЬНАЯ 010.ОПБ-500.60</x:v>
      </x:c>
      <x:c r="D571" s="16" t="str">
        <x:v>Система опорн-подвес</x:v>
      </x:c>
      <x:c r="E571" s="16" t="str">
        <x:v>ШТ</x:v>
      </x:c>
      <x:c r="F571" s="25" t="n">
        <x:v>6</x:v>
      </x:c>
      <x:c r="G571" s="17" t="n">
        <x:v>8783.451000000001</x:v>
      </x:c>
      <x:c r="H571" s="17" t="n">
        <x:f>G571*F571</x:f>
        <x:v>52700.706000000006</x:v>
      </x:c>
      <x:c r="I571" s="26" t="str">
        <x:f>HYPERLINK("https://etp-aktiv.ru/catalog/materialy/truboprovody/2000552954-W121/","Открыть позицию")</x:f>
        <x:v>Открыть позицию</x:v>
      </x:c>
    </x:row>
    <x:row r="572" ht="28" customHeight="1">
      <x:c r="A572" s="16" t="str">
        <x:v>Филиал БТСК</x:v>
      </x:c>
      <x:c r="B572" s="16" t="str">
        <x:v>2001013161-W121</x:v>
      </x:c>
      <x:c r="C572" s="16" t="str">
        <x:v>ОПОРА НАПРАВ НПО-500/630 НТС65-06-16</x:v>
      </x:c>
      <x:c r="D572" s="16" t="str">
        <x:v>Система опорн-подвес</x:v>
      </x:c>
      <x:c r="E572" s="16" t="str">
        <x:v>ШТ</x:v>
      </x:c>
      <x:c r="F572" s="25" t="n">
        <x:v>4</x:v>
      </x:c>
      <x:c r="G572" s="17" t="n">
        <x:v>39621.94</x:v>
      </x:c>
      <x:c r="H572" s="17" t="n">
        <x:f>G572*F572</x:f>
        <x:v>158487.76</x:v>
      </x:c>
      <x:c r="I572" s="26" t="str">
        <x:f>HYPERLINK("https://etp-aktiv.ru/catalog/materialy/truboprovody/2001013161-W121/","Открыть позицию")</x:f>
        <x:v>Открыть позицию</x:v>
      </x:c>
    </x:row>
    <x:row r="573" ht="28" customHeight="1">
      <x:c r="A573" s="16" t="str">
        <x:v>Филиал БТСК</x:v>
      </x:c>
      <x:c r="B573" s="16" t="str">
        <x:v>2001032881-W121</x:v>
      </x:c>
      <x:c r="C573" s="16" t="str">
        <x:v>ОПОРА НЕП 17Г1С 720*9 1ППУПЭ СОДК 30732</x:v>
      </x:c>
      <x:c r="D573" s="16" t="str">
        <x:v>Труб/элем ТИ и Футер</x:v>
      </x:c>
      <x:c r="E573" s="16" t="str">
        <x:v>ШТ</x:v>
      </x:c>
      <x:c r="F573" s="25" t="n">
        <x:v>4</x:v>
      </x:c>
      <x:c r="G573" s="17" t="n">
        <x:v>254497.4168</x:v>
      </x:c>
      <x:c r="H573" s="17" t="n">
        <x:f>G573*F573</x:f>
        <x:v>1017989.6672</x:v>
      </x:c>
      <x:c r="I573" s="26" t="str">
        <x:f>HYPERLINK("https://etp-aktiv.ru/catalog/materialy/truboprovody/2001032881-W121/","Открыть позицию")</x:f>
        <x:v>Открыть позицию</x:v>
      </x:c>
    </x:row>
    <x:row r="574" ht="28" customHeight="1">
      <x:c r="A574" s="16" t="str">
        <x:v>Филиал БТСК</x:v>
      </x:c>
      <x:c r="B574" s="16" t="str">
        <x:v>2000553245-W121</x:v>
      </x:c>
      <x:c r="C574" s="16" t="str">
        <x:v>ОПОРА НЕП 530 (Т3 17Г1С)-900*40-1-ППУ-ОЦ</x:v>
      </x:c>
      <x:c r="D574" s="16" t="str">
        <x:v>Система опорн-подвес</x:v>
      </x:c>
      <x:c r="E574" s="16" t="str">
        <x:v>ШТ</x:v>
      </x:c>
      <x:c r="F574" s="25" t="n">
        <x:v>14</x:v>
      </x:c>
      <x:c r="G574" s="17" t="n">
        <x:v>70119.5</x:v>
      </x:c>
      <x:c r="H574" s="17" t="n">
        <x:f>G574*F574</x:f>
        <x:v>981673</x:v>
      </x:c>
      <x:c r="I574" s="26" t="str">
        <x:f>HYPERLINK("https://etp-aktiv.ru/catalog/materialy/truboprovody/2000553245-W121/","Открыть позицию")</x:f>
        <x:v>Открыть позицию</x:v>
      </x:c>
    </x:row>
    <x:row r="575" ht="28" customHeight="1">
      <x:c r="A575" s="16" t="str">
        <x:v>Филиал БТСК</x:v>
      </x:c>
      <x:c r="B575" s="16" t="str">
        <x:v>2000553246-W121</x:v>
      </x:c>
      <x:c r="C575" s="16" t="str">
        <x:v>ОПОРА НЕП 720*11 СТ17Г1С ТС-666.00.00-13</x:v>
      </x:c>
      <x:c r="D575" s="16" t="str">
        <x:v>Система опорн-подвес</x:v>
      </x:c>
      <x:c r="E575" s="16" t="str">
        <x:v>ШТ</x:v>
      </x:c>
      <x:c r="F575" s="25" t="n">
        <x:v>2</x:v>
      </x:c>
      <x:c r="G575" s="17" t="n">
        <x:v>14996.24</x:v>
      </x:c>
      <x:c r="H575" s="17" t="n">
        <x:f>G575*F575</x:f>
        <x:v>29992.48</x:v>
      </x:c>
      <x:c r="I575" s="26" t="str">
        <x:f>HYPERLINK("https://etp-aktiv.ru/catalog/materialy/truboprovody/2000553246-W121/","Открыть позицию")</x:f>
        <x:v>Открыть позицию</x:v>
      </x:c>
    </x:row>
    <x:row r="576" ht="28" customHeight="1">
      <x:c r="A576" s="16" t="str">
        <x:v>Филиал БТСК</x:v>
      </x:c>
      <x:c r="B576" s="16" t="str">
        <x:v>2001034322-W121</x:v>
      </x:c>
      <x:c r="C576" s="16" t="str">
        <x:v>ОПОРА НЕП СТ20 325*8/650*25 1ППУПЭ 30732</x:v>
      </x:c>
      <x:c r="D576" s="16" t="str">
        <x:v>Труб/элем ТИ и Футер</x:v>
      </x:c>
      <x:c r="E576" s="16" t="str">
        <x:v>ШТ</x:v>
      </x:c>
      <x:c r="F576" s="25" t="n">
        <x:v>10</x:v>
      </x:c>
      <x:c r="G576" s="17" t="n">
        <x:v>61494.0268</x:v>
      </x:c>
      <x:c r="H576" s="17" t="n">
        <x:f>G576*F576</x:f>
        <x:v>614940.268</x:v>
      </x:c>
      <x:c r="I576" s="26" t="str">
        <x:f>HYPERLINK("https://etp-aktiv.ru/catalog/materialy/truboprovody/2001034322-W121/","Открыть позицию")</x:f>
        <x:v>Открыть позицию</x:v>
      </x:c>
    </x:row>
    <x:row r="577" ht="28" customHeight="1">
      <x:c r="A577" s="16" t="str">
        <x:v>Филиал БТСК</x:v>
      </x:c>
      <x:c r="B577" s="16" t="str">
        <x:v>2000562561-W121</x:v>
      </x:c>
      <x:c r="C577" s="16" t="str">
        <x:v>ОПОРА НЕП Э 219*7 СТ20 ТС-660.00.00-09</x:v>
      </x:c>
      <x:c r="D577" s="16" t="str">
        <x:v>Система опорн-подвес</x:v>
      </x:c>
      <x:c r="E577" s="16" t="str">
        <x:v>ШТ</x:v>
      </x:c>
      <x:c r="F577" s="25" t="n">
        <x:v>8</x:v>
      </x:c>
      <x:c r="G577" s="17" t="n">
        <x:v>200.7388</x:v>
      </x:c>
      <x:c r="H577" s="17" t="n">
        <x:f>G577*F577</x:f>
        <x:v>1605.9104</x:v>
      </x:c>
      <x:c r="I577" s="26" t="str">
        <x:f>HYPERLINK("https://etp-aktiv.ru/catalog/materialy/truboprovody/2000562561-W121/","Открыть позицию")</x:f>
        <x:v>Открыть позицию</x:v>
      </x:c>
    </x:row>
    <x:row r="578" ht="28" customHeight="1">
      <x:c r="A578" s="16" t="str">
        <x:v>Филиал БТСК</x:v>
      </x:c>
      <x:c r="B578" s="16" t="str">
        <x:v>2001025665-W121</x:v>
      </x:c>
      <x:c r="C578" s="16" t="str">
        <x:v>ОПОРА НЕПОДВ СТ20 325*8/450*40 1-ППУ-ПЭ</x:v>
      </x:c>
      <x:c r="D578" s="16" t="str">
        <x:v>Труб/элем ТИ и Футер</x:v>
      </x:c>
      <x:c r="E578" s="16" t="str">
        <x:v>ШТ</x:v>
      </x:c>
      <x:c r="F578" s="25" t="n">
        <x:v>2</x:v>
      </x:c>
      <x:c r="G578" s="17" t="n">
        <x:v>74652.3368</x:v>
      </x:c>
      <x:c r="H578" s="17" t="n">
        <x:f>G578*F578</x:f>
        <x:v>149304.6736</x:v>
      </x:c>
      <x:c r="I578" s="26" t="str">
        <x:f>HYPERLINK("https://etp-aktiv.ru/catalog/materialy/truboprovody/2001025665-W121/","Открыть позицию")</x:f>
        <x:v>Открыть позицию</x:v>
      </x:c>
    </x:row>
    <x:row r="579" ht="28" customHeight="1">
      <x:c r="A579" s="16" t="str">
        <x:v>Филиал БТСК</x:v>
      </x:c>
      <x:c r="B579" s="16" t="str">
        <x:v>2000568518-W121</x:v>
      </x:c>
      <x:c r="C579" s="16" t="str">
        <x:v>ОПОРА НО ППМИ219(*7 09Г2С14-3-1128)-60-2</x:v>
      </x:c>
      <x:c r="D579" s="16" t="str">
        <x:v>Труб/элем ТИ и Футер</x:v>
      </x:c>
      <x:c r="E579" s="16" t="str">
        <x:v>ШТ</x:v>
      </x:c>
      <x:c r="F579" s="25" t="n">
        <x:v>2</x:v>
      </x:c>
      <x:c r="G579" s="17" t="n">
        <x:v>30027.6282</x:v>
      </x:c>
      <x:c r="H579" s="17" t="n">
        <x:f>G579*F579</x:f>
        <x:v>60055.2564</x:v>
      </x:c>
      <x:c r="I579" s="26" t="str">
        <x:f>HYPERLINK("https://etp-aktiv.ru/catalog/materialy/truboprovody/2000568518-W121/","Открыть позицию")</x:f>
        <x:v>Открыть позицию</x:v>
      </x:c>
    </x:row>
    <x:row r="580" ht="28" customHeight="1">
      <x:c r="A580" s="16" t="str">
        <x:v>Филиал БТСК</x:v>
      </x:c>
      <x:c r="B580" s="16" t="str">
        <x:v>2000553253-W121</x:v>
      </x:c>
      <x:c r="C580" s="16" t="str">
        <x:v>ОПОРА ОПХ ППМИ 200-339 09Г2С 012РД001.03</x:v>
      </x:c>
      <x:c r="D580" s="16" t="str">
        <x:v>Система опорн-подвес</x:v>
      </x:c>
      <x:c r="E580" s="16" t="str">
        <x:v>ШТ</x:v>
      </x:c>
      <x:c r="F580" s="25" t="n">
        <x:v>9</x:v>
      </x:c>
      <x:c r="G580" s="17" t="n">
        <x:v>419.5702</x:v>
      </x:c>
      <x:c r="H580" s="17" t="n">
        <x:f>G580*F580</x:f>
        <x:v>3776.1318</x:v>
      </x:c>
      <x:c r="I580" s="26" t="str">
        <x:f>HYPERLINK("https://etp-aktiv.ru/catalog/materialy/truboprovody/2000553253-W121/","Открыть позицию")</x:f>
        <x:v>Открыть позицию</x:v>
      </x:c>
    </x:row>
    <x:row r="581" ht="28" customHeight="1">
      <x:c r="A581" s="16" t="str">
        <x:v>Филиал БТСК</x:v>
      </x:c>
      <x:c r="B581" s="16" t="str">
        <x:v>2000568535-W121</x:v>
      </x:c>
      <x:c r="C581" s="16" t="str">
        <x:v>ОПОРА ПОДВИЖНАЯ ОПМ-5 НТС 65-06-03 В.2</x:v>
      </x:c>
      <x:c r="D581" s="16" t="str">
        <x:v>Труб/элем ТИ и Футер</x:v>
      </x:c>
      <x:c r="E581" s="16" t="str">
        <x:v>ШТ</x:v>
      </x:c>
      <x:c r="F581" s="25" t="n">
        <x:v>28</x:v>
      </x:c>
      <x:c r="G581" s="17" t="n">
        <x:v>3621.1063999999997</x:v>
      </x:c>
      <x:c r="H581" s="17" t="n">
        <x:f>G581*F581</x:f>
        <x:v>101390.97919999999</x:v>
      </x:c>
      <x:c r="I581" s="26" t="str">
        <x:f>HYPERLINK("https://etp-aktiv.ru/catalog/materialy/truboprovody/2000568535-W121/","Открыть позицию")</x:f>
        <x:v>Открыть позицию</x:v>
      </x:c>
    </x:row>
    <x:row r="582" ht="28" customHeight="1">
      <x:c r="A582" s="16" t="str">
        <x:v>Филиал БТСК</x:v>
      </x:c>
      <x:c r="B582" s="16" t="str">
        <x:v>2000568519-W121</x:v>
      </x:c>
      <x:c r="C582" s="16" t="str">
        <x:v>ОПОРА ППМ 720-860 17Г1С 011.НО-2-700.70</x:v>
      </x:c>
      <x:c r="D582" s="16" t="str">
        <x:v>Труб/элем ТИ и Футер</x:v>
      </x:c>
      <x:c r="E582" s="16" t="str">
        <x:v>ШТ</x:v>
      </x:c>
      <x:c r="F582" s="25" t="n">
        <x:v>18</x:v>
      </x:c>
      <x:c r="G582" s="17" t="n">
        <x:v>31430.25</x:v>
      </x:c>
      <x:c r="H582" s="17" t="n">
        <x:f>G582*F582</x:f>
        <x:v>565744.5</x:v>
      </x:c>
      <x:c r="I582" s="26" t="str">
        <x:f>HYPERLINK("https://etp-aktiv.ru/catalog/materialy/truboprovody/2000568519-W121/","Открыть позицию")</x:f>
        <x:v>Открыть позицию</x:v>
      </x:c>
    </x:row>
    <x:row r="583" ht="28" customHeight="1">
      <x:c r="A583" s="16" t="str">
        <x:v>Филиал БТСК</x:v>
      </x:c>
      <x:c r="B583" s="16" t="str">
        <x:v>2000562547-W121</x:v>
      </x:c>
      <x:c r="C583" s="16" t="str">
        <x:v>ОПОРА СКОЛ D630 17Г1С ТС-626.00.000-034</x:v>
      </x:c>
      <x:c r="D583" s="16" t="str">
        <x:v>Система опорн-подвес</x:v>
      </x:c>
      <x:c r="E583" s="16" t="str">
        <x:v>ШТ</x:v>
      </x:c>
      <x:c r="F583" s="25" t="n">
        <x:v>2</x:v>
      </x:c>
      <x:c r="G583" s="17" t="n">
        <x:v>815.0332</x:v>
      </x:c>
      <x:c r="H583" s="17" t="n">
        <x:f>G583*F583</x:f>
        <x:v>1630.0664</x:v>
      </x:c>
      <x:c r="I583" s="26" t="str">
        <x:f>HYPERLINK("https://etp-aktiv.ru/catalog/materialy/truboprovody/2000562547-W121/","Открыть позицию")</x:f>
        <x:v>Открыть позицию</x:v>
      </x:c>
    </x:row>
    <x:row r="584" ht="28" customHeight="1">
      <x:c r="A584" s="16" t="str">
        <x:v>Филиал БТСК</x:v>
      </x:c>
      <x:c r="B584" s="16" t="str">
        <x:v>2000568540-W121</x:v>
      </x:c>
      <x:c r="C584" s="16" t="str">
        <x:v>ОПОРА СКОЛ ОПХ ППМИ 108-188 СТ20 012.РД-</x:v>
      </x:c>
      <x:c r="D584" s="16" t="str">
        <x:v>Труб/элем ТИ и Футер</x:v>
      </x:c>
      <x:c r="E584" s="16" t="str">
        <x:v>ШТ</x:v>
      </x:c>
      <x:c r="F584" s="25" t="n">
        <x:v>154</x:v>
      </x:c>
      <x:c r="G584" s="17" t="n">
        <x:v>158.1364</x:v>
      </x:c>
      <x:c r="H584" s="17" t="n">
        <x:f>G584*F584</x:f>
        <x:v>24353.0056</x:v>
      </x:c>
      <x:c r="I584" s="26" t="str">
        <x:f>HYPERLINK("https://etp-aktiv.ru/catalog/materialy/truboprovody/2000568540-W121/","Открыть позицию")</x:f>
        <x:v>Открыть позицию</x:v>
      </x:c>
    </x:row>
    <x:row r="585" ht="28" customHeight="1">
      <x:c r="A585" s="16" t="str">
        <x:v>Филиал БТСК</x:v>
      </x:c>
      <x:c r="B585" s="16" t="str">
        <x:v>2000553441-W121</x:v>
      </x:c>
      <x:c r="C585" s="16" t="str">
        <x:v>ОПОРА СКОЛ ОПХ ППМИ 80-180 ГОСТ Р56227</x:v>
      </x:c>
      <x:c r="D585" s="16" t="str">
        <x:v>Система опорн-подвес</x:v>
      </x:c>
      <x:c r="E585" s="16" t="str">
        <x:v>ШТ</x:v>
      </x:c>
      <x:c r="F585" s="25" t="n">
        <x:v>14</x:v>
      </x:c>
      <x:c r="G585" s="17" t="n">
        <x:v>86.925</x:v>
      </x:c>
      <x:c r="H585" s="17" t="n">
        <x:f>G585*F585</x:f>
        <x:v>1216.95</x:v>
      </x:c>
      <x:c r="I585" s="26" t="str">
        <x:f>HYPERLINK("https://etp-aktiv.ru/catalog/materialy/truboprovody/2000553441-W121/","Открыть позицию")</x:f>
        <x:v>Открыть позицию</x:v>
      </x:c>
    </x:row>
    <x:row r="586" ht="28" customHeight="1">
      <x:c r="A586" s="16" t="str">
        <x:v>Филиал БТСК</x:v>
      </x:c>
      <x:c r="B586" s="16" t="str">
        <x:v>2000166436-W121</x:v>
      </x:c>
      <x:c r="C586" s="16" t="str">
        <x:v>ОПОРА СКОЛЬЗ ДН630 ТС-626.00.000-061</x:v>
      </x:c>
      <x:c r="D586" s="16" t="str">
        <x:v>Система опорн-подвес</x:v>
      </x:c>
      <x:c r="E586" s="16" t="str">
        <x:v>ШТ</x:v>
      </x:c>
      <x:c r="F586" s="25" t="n">
        <x:v>54</x:v>
      </x:c>
      <x:c r="G586" s="17" t="n">
        <x:v>2043.6341999999997</x:v>
      </x:c>
      <x:c r="H586" s="17" t="n">
        <x:f>G586*F586</x:f>
        <x:v>110356.24679999998</x:v>
      </x:c>
      <x:c r="I586" s="26" t="str">
        <x:f>HYPERLINK("https://etp-aktiv.ru/catalog/materialy/truboprovody/2000166436-W121/","Открыть позицию")</x:f>
        <x:v>Открыть позицию</x:v>
      </x:c>
    </x:row>
    <x:row r="587" ht="28" customHeight="1">
      <x:c r="A587" s="16" t="str">
        <x:v>Филиал БТСК</x:v>
      </x:c>
      <x:c r="B587" s="16" t="str">
        <x:v>2000568539-W121</x:v>
      </x:c>
      <x:c r="C587" s="16" t="str">
        <x:v>ОПОРА СКОЛЬЗ ОПХ ППМИ 108-180 ГОСТР56227</x:v>
      </x:c>
      <x:c r="D587" s="16" t="str">
        <x:v>Труб/элем ТИ и Футер</x:v>
      </x:c>
      <x:c r="E587" s="16" t="str">
        <x:v>ШТ</x:v>
      </x:c>
      <x:c r="F587" s="25" t="n">
        <x:v>4</x:v>
      </x:c>
      <x:c r="G587" s="17" t="n">
        <x:v>196.725</x:v>
      </x:c>
      <x:c r="H587" s="17" t="n">
        <x:f>G587*F587</x:f>
        <x:v>786.9</x:v>
      </x:c>
      <x:c r="I587" s="26" t="str">
        <x:f>HYPERLINK("https://etp-aktiv.ru/catalog/materialy/truboprovody/2000568539-W121/","Открыть позицию")</x:f>
        <x:v>Открыть позицию</x:v>
      </x:c>
    </x:row>
    <x:row r="588" ht="28" customHeight="1">
      <x:c r="A588" s="16" t="str">
        <x:v>Филиал БТСК</x:v>
      </x:c>
      <x:c r="B588" s="16" t="str">
        <x:v>2000568541-W121</x:v>
      </x:c>
      <x:c r="C588" s="16" t="str">
        <x:v>ОПОРА СКОЛЬЗ ОПХ ППМИ 57-137 56227 СТ20</x:v>
      </x:c>
      <x:c r="D588" s="16" t="str">
        <x:v>Труб/элем ТИ и Футер</x:v>
      </x:c>
      <x:c r="E588" s="16" t="str">
        <x:v>ШТ</x:v>
      </x:c>
      <x:c r="F588" s="25" t="n">
        <x:v>130</x:v>
      </x:c>
      <x:c r="G588" s="17" t="n">
        <x:v>75.4936</x:v>
      </x:c>
      <x:c r="H588" s="17" t="n">
        <x:f>G588*F588</x:f>
        <x:v>9814.168</x:v>
      </x:c>
      <x:c r="I588" s="26" t="str">
        <x:f>HYPERLINK("https://etp-aktiv.ru/catalog/materialy/truboprovody/2000568541-W121/","Открыть позицию")</x:f>
        <x:v>Открыть позицию</x:v>
      </x:c>
    </x:row>
    <x:row r="589" ht="28" customHeight="1">
      <x:c r="A589" s="16" t="str">
        <x:v>Филиал БТСК</x:v>
      </x:c>
      <x:c r="B589" s="16" t="str">
        <x:v>2000568542-W121</x:v>
      </x:c>
      <x:c r="C589" s="16" t="str">
        <x:v>ОПОРА СКОЛЬЗ ОПХ ППМИ 76-156 56227 СТ20</x:v>
      </x:c>
      <x:c r="D589" s="16" t="str">
        <x:v>Труб/элем ТИ и Футер</x:v>
      </x:c>
      <x:c r="E589" s="16" t="str">
        <x:v>ШТ</x:v>
      </x:c>
      <x:c r="F589" s="25" t="n">
        <x:v>123</x:v>
      </x:c>
      <x:c r="G589" s="17" t="n">
        <x:v>90.2434</x:v>
      </x:c>
      <x:c r="H589" s="17" t="n">
        <x:f>G589*F589</x:f>
        <x:v>11099.938199999999</x:v>
      </x:c>
      <x:c r="I589" s="26" t="str">
        <x:f>HYPERLINK("https://etp-aktiv.ru/catalog/materialy/truboprovody/2000568542-W121/","Открыть позицию")</x:f>
        <x:v>Открыть позицию</x:v>
      </x:c>
    </x:row>
    <x:row r="590" ht="28" customHeight="1">
      <x:c r="A590" s="16" t="str">
        <x:v>Филиал БТСК</x:v>
      </x:c>
      <x:c r="B590" s="16" t="str">
        <x:v>2000568543-W121</x:v>
      </x:c>
      <x:c r="C590" s="16" t="str">
        <x:v>ОПОРА СКОЛЬЗ ОПХ ППМИ 89-169 56227 СТ20</x:v>
      </x:c>
      <x:c r="D590" s="16" t="str">
        <x:v>Труб/элем ТИ и Футер</x:v>
      </x:c>
      <x:c r="E590" s="16" t="str">
        <x:v>ШТ</x:v>
      </x:c>
      <x:c r="F590" s="25" t="n">
        <x:v>38</x:v>
      </x:c>
      <x:c r="G590" s="17" t="n">
        <x:v>98.36859999999999</x:v>
      </x:c>
      <x:c r="H590" s="17" t="n">
        <x:f>G590*F590</x:f>
        <x:v>3738.0067999999997</x:v>
      </x:c>
      <x:c r="I590" s="26" t="str">
        <x:f>HYPERLINK("https://etp-aktiv.ru/catalog/materialy/truboprovody/2000568543-W121/","Открыть позицию")</x:f>
        <x:v>Открыть позицию</x:v>
      </x:c>
    </x:row>
    <x:row r="591" ht="28" customHeight="1">
      <x:c r="A591" s="16" t="str">
        <x:v>Филиал БТСК</x:v>
      </x:c>
      <x:c r="B591" s="16" t="str">
        <x:v>2000553293-W121</x:v>
      </x:c>
      <x:c r="C591" s="16" t="str">
        <x:v>ОПОРА СКОЛЬЗЯЩАЯ 89У 01 ОСТ34-10-615-93</x:v>
      </x:c>
      <x:c r="D591" s="16" t="str">
        <x:v>Система опорн-подвес</x:v>
      </x:c>
      <x:c r="E591" s="16" t="str">
        <x:v>ШТ</x:v>
      </x:c>
      <x:c r="F591" s="25" t="n">
        <x:v>3</x:v>
      </x:c>
      <x:c r="G591" s="17" t="n">
        <x:v>82.35</x:v>
      </x:c>
      <x:c r="H591" s="17" t="n">
        <x:f>G591*F591</x:f>
        <x:v>247.04999999999998</x:v>
      </x:c>
      <x:c r="I591" s="26" t="str">
        <x:f>HYPERLINK("https://etp-aktiv.ru/catalog/materialy/truboprovody/2000553293-W121/","Открыть позицию")</x:f>
        <x:v>Открыть позицию</x:v>
      </x:c>
    </x:row>
    <x:row r="592" ht="28" customHeight="1">
      <x:c r="A592" s="16" t="str">
        <x:v>Филиал БТСК</x:v>
      </x:c>
      <x:c r="B592" s="16" t="str">
        <x:v>2000563908-W121</x:v>
      </x:c>
      <x:c r="C592" s="16" t="str">
        <x:v>ОПОРА СТ159-400*20-2 ППУ-ПЭ ГОСТ30732-06</x:v>
      </x:c>
      <x:c r="D592" s="16" t="str">
        <x:v>Система опорн-подвес</x:v>
      </x:c>
      <x:c r="E592" s="16" t="str">
        <x:v>ШТ</x:v>
      </x:c>
      <x:c r="F592" s="25" t="n">
        <x:v>4</x:v>
      </x:c>
      <x:c r="G592" s="17" t="n">
        <x:v>19011.382</x:v>
      </x:c>
      <x:c r="H592" s="17" t="n">
        <x:f>G592*F592</x:f>
        <x:v>76045.528</x:v>
      </x:c>
      <x:c r="I592" s="26" t="str">
        <x:f>HYPERLINK("https://etp-aktiv.ru/catalog/materialy/truboprovody/2000563908-W121/","Открыть позицию")</x:f>
        <x:v>Открыть позицию</x:v>
      </x:c>
    </x:row>
    <x:row r="593" ht="28" customHeight="1">
      <x:c r="A593" s="16" t="str">
        <x:v>Филиал БТСК</x:v>
      </x:c>
      <x:c r="B593" s="16" t="str">
        <x:v>2000553103-W121</x:v>
      </x:c>
      <x:c r="C593" s="16" t="str">
        <x:v>ОПОРА ТС623.000-006 С.5.903-13 В.8</x:v>
      </x:c>
      <x:c r="D593" s="16" t="str">
        <x:v>Система опорн-подвес</x:v>
      </x:c>
      <x:c r="E593" s="16" t="str">
        <x:v>ШТ</x:v>
      </x:c>
      <x:c r="F593" s="25" t="n">
        <x:v>36</x:v>
      </x:c>
      <x:c r="G593" s="17" t="n">
        <x:v>131.1378</x:v>
      </x:c>
      <x:c r="H593" s="17" t="n">
        <x:f>G593*F593</x:f>
        <x:v>4720.9608</x:v>
      </x:c>
      <x:c r="I593" s="26" t="str">
        <x:f>HYPERLINK("https://etp-aktiv.ru/catalog/materialy/truboprovody/2000553103-W121/","Открыть позицию")</x:f>
        <x:v>Открыть позицию</x:v>
      </x:c>
    </x:row>
    <x:row r="594" ht="28" customHeight="1">
      <x:c r="A594" s="16" t="str">
        <x:v>Филиал БТСК</x:v>
      </x:c>
      <x:c r="B594" s="16" t="str">
        <x:v>2000559569-W121</x:v>
      </x:c>
      <x:c r="C594" s="16" t="str">
        <x:v>ОТВОД 09Г2С 38*3 90° 1-ППУ-ПЭ ГОСТ30732</x:v>
      </x:c>
      <x:c r="D594" s="16" t="str">
        <x:v>Труб/элем ТИ и Футер</x:v>
      </x:c>
      <x:c r="E594" s="16" t="str">
        <x:v>ШТ</x:v>
      </x:c>
      <x:c r="F594" s="25" t="n">
        <x:v>4</x:v>
      </x:c>
      <x:c r="G594" s="17" t="n">
        <x:v>662.7406</x:v>
      </x:c>
      <x:c r="H594" s="17" t="n">
        <x:f>G594*F594</x:f>
        <x:v>2650.9624</x:v>
      </x:c>
      <x:c r="I594" s="26" t="str">
        <x:f>HYPERLINK("https://etp-aktiv.ru/catalog/materialy/truboprovody/2000559569-W121/","Открыть позицию")</x:f>
        <x:v>Открыть позицию</x:v>
      </x:c>
    </x:row>
    <x:row r="595" ht="28" customHeight="1">
      <x:c r="A595" s="16" t="str">
        <x:v>Филиал БТСК</x:v>
      </x:c>
      <x:c r="B595" s="16" t="str">
        <x:v>2000559570-W121</x:v>
      </x:c>
      <x:c r="C595" s="16" t="str">
        <x:v>ОТВОД 09Г2С 76*3 90° 1-ППУ-ПЭ ГОСТ30732</x:v>
      </x:c>
      <x:c r="D595" s="16" t="str">
        <x:v>Труб/элем ТИ и Футер</x:v>
      </x:c>
      <x:c r="E595" s="16" t="str">
        <x:v>ШТ</x:v>
      </x:c>
      <x:c r="F595" s="25" t="n">
        <x:v>10</x:v>
      </x:c>
      <x:c r="G595" s="17" t="n">
        <x:v>829.1973999999999</x:v>
      </x:c>
      <x:c r="H595" s="17" t="n">
        <x:f>G595*F595</x:f>
        <x:v>8291.973999999998</x:v>
      </x:c>
      <x:c r="I595" s="26" t="str">
        <x:f>HYPERLINK("https://etp-aktiv.ru/catalog/materialy/truboprovody/2000559570-W121/","Открыть позицию")</x:f>
        <x:v>Открыть позицию</x:v>
      </x:c>
    </x:row>
    <x:row r="596" ht="28" customHeight="1">
      <x:c r="A596" s="16" t="str">
        <x:v>Филиал БТСК</x:v>
      </x:c>
      <x:c r="B596" s="16" t="str">
        <x:v>2001028317-W121</x:v>
      </x:c>
      <x:c r="C596" s="16" t="str">
        <x:v>ОТВОД 17Г1С 530*9 90° 1-ППУ-ПЭ ГОСТ30732</x:v>
      </x:c>
      <x:c r="D596" s="16" t="str">
        <x:v>Труб/элем ТИ и Футер</x:v>
      </x:c>
      <x:c r="E596" s="16" t="str">
        <x:v>ШТ</x:v>
      </x:c>
      <x:c r="F596" s="25" t="n">
        <x:v>2</x:v>
      </x:c>
      <x:c r="G596" s="17" t="n">
        <x:v>135255.3</x:v>
      </x:c>
      <x:c r="H596" s="17" t="n">
        <x:f>G596*F596</x:f>
        <x:v>270510.6</x:v>
      </x:c>
      <x:c r="I596" s="26" t="str">
        <x:f>HYPERLINK("https://etp-aktiv.ru/catalog/materialy/truboprovody/2001028317-W121/","Открыть позицию")</x:f>
        <x:v>Открыть позицию</x:v>
      </x:c>
    </x:row>
    <x:row r="597" ht="28" customHeight="1">
      <x:c r="A597" s="16" t="str">
        <x:v>Филиал БТСК</x:v>
      </x:c>
      <x:c r="B597" s="16" t="str">
        <x:v>2000568154-W121</x:v>
      </x:c>
      <x:c r="C597" s="16" t="str">
        <x:v>ОТВОД 30 09Г2С 89*3,5-560 ТС 584-08</x:v>
      </x:c>
      <x:c r="D597" s="16" t="str">
        <x:v>Детали фасонные</x:v>
      </x:c>
      <x:c r="E597" s="16" t="str">
        <x:v>ШТ</x:v>
      </x:c>
      <x:c r="F597" s="25" t="n">
        <x:v>1</x:v>
      </x:c>
      <x:c r="G597" s="17" t="n">
        <x:v>269.925</x:v>
      </x:c>
      <x:c r="H597" s="17" t="n">
        <x:f>G597*F597</x:f>
        <x:v>269.925</x:v>
      </x:c>
      <x:c r="I597" s="26" t="str">
        <x:f>HYPERLINK("https://etp-aktiv.ru/catalog/materialy/truboprovody/2000568154-W121/","Открыть позицию")</x:f>
        <x:v>Открыть позицию</x:v>
      </x:c>
    </x:row>
    <x:row r="598" ht="28" customHeight="1">
      <x:c r="A598" s="16" t="str">
        <x:v>Филиал БТСК</x:v>
      </x:c>
      <x:c r="B598" s="16" t="str">
        <x:v>2000746412-W121</x:v>
      </x:c>
      <x:c r="C598" s="16" t="str">
        <x:v>ОТВОД 30° 09Г2С DN219 8 ГОСТ30753-01</x:v>
      </x:c>
      <x:c r="D598" s="16" t="str">
        <x:v>Детали фасонные</x:v>
      </x:c>
      <x:c r="E598" s="16" t="str">
        <x:v>ШТ</x:v>
      </x:c>
      <x:c r="F598" s="25" t="n">
        <x:v>2</x:v>
      </x:c>
      <x:c r="G598" s="17" t="n">
        <x:v>3655.4249999999997</x:v>
      </x:c>
      <x:c r="H598" s="17" t="n">
        <x:f>G598*F598</x:f>
        <x:v>7310.849999999999</x:v>
      </x:c>
      <x:c r="I598" s="26" t="str">
        <x:f>HYPERLINK("https://etp-aktiv.ru/catalog/materialy/truboprovody/2000746412-W121/","Открыть позицию")</x:f>
        <x:v>Открыть позицию</x:v>
      </x:c>
    </x:row>
    <x:row r="599" ht="28" customHeight="1">
      <x:c r="A599" s="16" t="str">
        <x:v>Филиал БТСК</x:v>
      </x:c>
      <x:c r="B599" s="16" t="str">
        <x:v>2000738636-W121</x:v>
      </x:c>
      <x:c r="C599" s="16" t="str">
        <x:v>ОТВОД 30° 09Г2С DN630*12 PN2,5 ТС-582-14</x:v>
      </x:c>
      <x:c r="D599" s="16" t="str">
        <x:v>Детали фасонные</x:v>
      </x:c>
      <x:c r="E599" s="16" t="str">
        <x:v>ШТ</x:v>
      </x:c>
      <x:c r="F599" s="25" t="n">
        <x:v>1</x:v>
      </x:c>
      <x:c r="G599" s="17" t="n">
        <x:v>16424.25</x:v>
      </x:c>
      <x:c r="H599" s="17" t="n">
        <x:f>G599*F599</x:f>
        <x:v>16424.25</x:v>
      </x:c>
      <x:c r="I599" s="26" t="str">
        <x:f>HYPERLINK("https://etp-aktiv.ru/catalog/materialy/truboprovody/2000738636-W121/","Открыть позицию")</x:f>
        <x:v>Открыть позицию</x:v>
      </x:c>
    </x:row>
    <x:row r="600" ht="28" customHeight="1">
      <x:c r="A600" s="16" t="str">
        <x:v>Филиал БТСК</x:v>
      </x:c>
      <x:c r="B600" s="16" t="str">
        <x:v>2000554323-W121</x:v>
      </x:c>
      <x:c r="C600" s="16" t="str">
        <x:v>ОТВОД 45° 09ГС 219*8 ТС 582.07 С.5.903</x:v>
      </x:c>
      <x:c r="D600" s="16" t="str">
        <x:v>Детали фасонные</x:v>
      </x:c>
      <x:c r="E600" s="16" t="str">
        <x:v>ШТ</x:v>
      </x:c>
      <x:c r="F600" s="25" t="n">
        <x:v>1</x:v>
      </x:c>
      <x:c r="G600" s="17" t="n">
        <x:v>1830</x:v>
      </x:c>
      <x:c r="H600" s="17" t="n">
        <x:f>G600*F600</x:f>
        <x:v>1830</x:v>
      </x:c>
      <x:c r="I600" s="26" t="str">
        <x:f>HYPERLINK("https://etp-aktiv.ru/catalog/materialy/truboprovody/2000554323-W121/","Открыть позицию")</x:f>
        <x:v>Открыть позицию</x:v>
      </x:c>
    </x:row>
    <x:row r="601" ht="28" customHeight="1">
      <x:c r="A601" s="16" t="str">
        <x:v>Филиал БТСК</x:v>
      </x:c>
      <x:c r="B601" s="16" t="str">
        <x:v>2000636026-W121</x:v>
      </x:c>
      <x:c r="C601" s="16" t="str">
        <x:v>ОТВОД 45° В20 89*3,5 ТС-582-03 С5.903-13</x:v>
      </x:c>
      <x:c r="D601" s="16" t="str">
        <x:v>Детали фасонные</x:v>
      </x:c>
      <x:c r="E601" s="16" t="str">
        <x:v>ШТ</x:v>
      </x:c>
      <x:c r="F601" s="25" t="n">
        <x:v>1</x:v>
      </x:c>
      <x:c r="G601" s="17" t="n">
        <x:v>221.125</x:v>
      </x:c>
      <x:c r="H601" s="17" t="n">
        <x:f>G601*F601</x:f>
        <x:v>221.125</x:v>
      </x:c>
      <x:c r="I601" s="26" t="str">
        <x:f>HYPERLINK("https://etp-aktiv.ru/catalog/materialy/truboprovody/2000636026-W121/","Открыть позицию")</x:f>
        <x:v>Открыть позицию</x:v>
      </x:c>
    </x:row>
    <x:row r="602" ht="28" customHeight="1">
      <x:c r="A602" s="16" t="str">
        <x:v>Филиал БТСК</x:v>
      </x:c>
      <x:c r="B602" s="16" t="str">
        <x:v>2000639797-W121</x:v>
      </x:c>
      <x:c r="C602" s="16" t="str">
        <x:v>ОТВОД 45° В20 DN219 6 PN2,5 ТС-582-28</x:v>
      </x:c>
      <x:c r="D602" s="16" t="str">
        <x:v>Детали фасонные</x:v>
      </x:c>
      <x:c r="E602" s="16" t="str">
        <x:v>ШТ</x:v>
      </x:c>
      <x:c r="F602" s="25" t="n">
        <x:v>4</x:v>
      </x:c>
      <x:c r="G602" s="17" t="n">
        <x:v>2279.875</x:v>
      </x:c>
      <x:c r="H602" s="17" t="n">
        <x:f>G602*F602</x:f>
        <x:v>9119.5</x:v>
      </x:c>
      <x:c r="I602" s="26" t="str">
        <x:f>HYPERLINK("https://etp-aktiv.ru/catalog/materialy/truboprovody/2000639797-W121/","Открыть позицию")</x:f>
        <x:v>Открыть позицию</x:v>
      </x:c>
    </x:row>
    <x:row r="603" ht="28" customHeight="1">
      <x:c r="A603" s="16" t="str">
        <x:v>Филиал БТСК</x:v>
      </x:c>
      <x:c r="B603" s="16" t="str">
        <x:v>2000218294-W121</x:v>
      </x:c>
      <x:c r="C603" s="16" t="str">
        <x:v>ОТВОД 45° СТ20 89*4 ГОСТ17375-01</x:v>
      </x:c>
      <x:c r="D603" s="16" t="str">
        <x:v>Детали фасонные</x:v>
      </x:c>
      <x:c r="E603" s="16" t="str">
        <x:v>ШТ</x:v>
      </x:c>
      <x:c r="F603" s="25" t="n">
        <x:v>2</x:v>
      </x:c>
      <x:c r="G603" s="17" t="n">
        <x:v>269.925</x:v>
      </x:c>
      <x:c r="H603" s="17" t="n">
        <x:f>G603*F603</x:f>
        <x:v>539.85</x:v>
      </x:c>
      <x:c r="I603" s="26" t="str">
        <x:f>HYPERLINK("https://etp-aktiv.ru/catalog/materialy/truboprovody/2000218294-W121/","Открыть позицию")</x:f>
        <x:v>Открыть позицию</x:v>
      </x:c>
    </x:row>
    <x:row r="604" ht="28" customHeight="1">
      <x:c r="A604" s="16" t="str">
        <x:v>Филиал БТСК</x:v>
      </x:c>
      <x:c r="B604" s="16" t="str">
        <x:v>2000742437-W121</x:v>
      </x:c>
      <x:c r="C604" s="16" t="str">
        <x:v>ОТВОД 45° СТ20 DN159*5 ГОСТ30753-01</x:v>
      </x:c>
      <x:c r="D604" s="16" t="str">
        <x:v>Детали фасонные</x:v>
      </x:c>
      <x:c r="E604" s="16" t="str">
        <x:v>ШТ</x:v>
      </x:c>
      <x:c r="F604" s="25" t="n">
        <x:v>4</x:v>
      </x:c>
      <x:c r="G604" s="17" t="n">
        <x:v>1792.6191999999999</x:v>
      </x:c>
      <x:c r="H604" s="17" t="n">
        <x:f>G604*F604</x:f>
        <x:v>7170.4767999999995</x:v>
      </x:c>
      <x:c r="I604" s="26" t="str">
        <x:f>HYPERLINK("https://etp-aktiv.ru/catalog/materialy/truboprovody/2000742437-W121/","Открыть позицию")</x:f>
        <x:v>Открыть позицию</x:v>
      </x:c>
    </x:row>
    <x:row r="605" ht="28" customHeight="1">
      <x:c r="A605" s="16" t="str">
        <x:v>Филиал БТСК</x:v>
      </x:c>
      <x:c r="B605" s="16" t="str">
        <x:v>2000554348-W121</x:v>
      </x:c>
      <x:c r="C605" s="16" t="str">
        <x:v>ОТВОД 45° СТ20 DN76*3,5 ОСТ34.10.699-97</x:v>
      </x:c>
      <x:c r="D605" s="16" t="str">
        <x:v>Детали фасонные</x:v>
      </x:c>
      <x:c r="E605" s="16" t="str">
        <x:v>ШТ</x:v>
      </x:c>
      <x:c r="F605" s="25" t="n">
        <x:v>11</x:v>
      </x:c>
      <x:c r="G605" s="17" t="n">
        <x:v>11.114199999999999</x:v>
      </x:c>
      <x:c r="H605" s="17" t="n">
        <x:f>G605*F605</x:f>
        <x:v>122.25619999999998</x:v>
      </x:c>
      <x:c r="I605" s="26" t="str">
        <x:f>HYPERLINK("https://etp-aktiv.ru/catalog/materialy/truboprovody/2000554348-W121/","Открыть позицию")</x:f>
        <x:v>Открыть позицию</x:v>
      </x:c>
    </x:row>
    <x:row r="606" ht="28" customHeight="1">
      <x:c r="A606" s="16" t="str">
        <x:v>Филиал БТСК</x:v>
      </x:c>
      <x:c r="B606" s="16" t="str">
        <x:v>2000554364-W121</x:v>
      </x:c>
      <x:c r="C606" s="16" t="str">
        <x:v>ОТВОД 60 09Г2С 273*10 ТС 582.08 5.903-13</x:v>
      </x:c>
      <x:c r="D606" s="16" t="str">
        <x:v>Детали фасонные</x:v>
      </x:c>
      <x:c r="E606" s="16" t="str">
        <x:v>ШТ</x:v>
      </x:c>
      <x:c r="F606" s="25" t="n">
        <x:v>4</x:v>
      </x:c>
      <x:c r="G606" s="17" t="n">
        <x:v>4784.8278</x:v>
      </x:c>
      <x:c r="H606" s="17" t="n">
        <x:f>G606*F606</x:f>
        <x:v>19139.3112</x:v>
      </x:c>
      <x:c r="I606" s="26" t="str">
        <x:f>HYPERLINK("https://etp-aktiv.ru/catalog/materialy/truboprovody/2000554364-W121/","Открыть позицию")</x:f>
        <x:v>Открыть позицию</x:v>
      </x:c>
    </x:row>
    <x:row r="607" ht="28" customHeight="1">
      <x:c r="A607" s="16" t="str">
        <x:v>Филиал БТСК</x:v>
      </x:c>
      <x:c r="B607" s="16" t="str">
        <x:v>2000568168-W121</x:v>
      </x:c>
      <x:c r="C607" s="16" t="str">
        <x:v>ОТВОД 60° 09Г2С 530*9 ГОСТ17375-01</x:v>
      </x:c>
      <x:c r="D607" s="16" t="str">
        <x:v>Детали фасонные</x:v>
      </x:c>
      <x:c r="E607" s="16" t="str">
        <x:v>ШТ</x:v>
      </x:c>
      <x:c r="F607" s="25" t="n">
        <x:v>1</x:v>
      </x:c>
      <x:c r="G607" s="17" t="n">
        <x:v>1534.1866</x:v>
      </x:c>
      <x:c r="H607" s="17" t="n">
        <x:f>G607*F607</x:f>
        <x:v>1534.1866</x:v>
      </x:c>
      <x:c r="I607" s="26" t="str">
        <x:f>HYPERLINK("https://etp-aktiv.ru/catalog/materialy/truboprovody/2000568168-W121/","Открыть позицию")</x:f>
        <x:v>Открыть позицию</x:v>
      </x:c>
    </x:row>
    <x:row r="608" ht="28" customHeight="1">
      <x:c r="A608" s="16" t="str">
        <x:v>Филиал БТСК</x:v>
      </x:c>
      <x:c r="B608" s="16" t="str">
        <x:v>2000582434-W121</x:v>
      </x:c>
      <x:c r="C608" s="16" t="str">
        <x:v>ОТВОД 60° 133*4 09Г2С 34-42-699 ППМИ 48</x:v>
      </x:c>
      <x:c r="D608" s="16" t="str">
        <x:v>Труб/элем ТИ и Футер</x:v>
      </x:c>
      <x:c r="E608" s="16" t="str">
        <x:v>ШТ</x:v>
      </x:c>
      <x:c r="F608" s="25" t="n">
        <x:v>2</x:v>
      </x:c>
      <x:c r="G608" s="17" t="n">
        <x:v>7225.7062</x:v>
      </x:c>
      <x:c r="H608" s="17" t="n">
        <x:f>G608*F608</x:f>
        <x:v>14451.4124</x:v>
      </x:c>
      <x:c r="I608" s="26" t="str">
        <x:f>HYPERLINK("https://etp-aktiv.ru/catalog/materialy/truboprovody/2000582434-W121/","Открыть позицию")</x:f>
        <x:v>Открыть позицию</x:v>
      </x:c>
    </x:row>
    <x:row r="609" ht="28" customHeight="1">
      <x:c r="A609" s="16" t="str">
        <x:v>Филиал БТСК</x:v>
      </x:c>
      <x:c r="B609" s="16" t="str">
        <x:v>2000636025-W121</x:v>
      </x:c>
      <x:c r="C609" s="16" t="str">
        <x:v>ОТВОД 60° В20 89*3,5 ТС-582-03 5.903-13</x:v>
      </x:c>
      <x:c r="D609" s="16" t="str">
        <x:v>Детали фасонные</x:v>
      </x:c>
      <x:c r="E609" s="16" t="str">
        <x:v>ШТ</x:v>
      </x:c>
      <x:c r="F609" s="25" t="n">
        <x:v>1</x:v>
      </x:c>
      <x:c r="G609" s="17" t="n">
        <x:v>221.125</x:v>
      </x:c>
      <x:c r="H609" s="17" t="n">
        <x:f>G609*F609</x:f>
        <x:v>221.125</x:v>
      </x:c>
      <x:c r="I609" s="26" t="str">
        <x:f>HYPERLINK("https://etp-aktiv.ru/catalog/materialy/truboprovody/2000636025-W121/","Открыть позицию")</x:f>
        <x:v>Открыть позицию</x:v>
      </x:c>
    </x:row>
    <x:row r="610" ht="28" customHeight="1">
      <x:c r="A610" s="16" t="str">
        <x:v>Филиал БТСК</x:v>
      </x:c>
      <x:c r="B610" s="16" t="str">
        <x:v>2000554374-W121</x:v>
      </x:c>
      <x:c r="C610" s="16" t="str">
        <x:v>ОТВОД 60° СТ20 DN76*3,5 ГОСТ17375-01</x:v>
      </x:c>
      <x:c r="D610" s="16" t="str">
        <x:v>Детали фасонные</x:v>
      </x:c>
      <x:c r="E610" s="16" t="str">
        <x:v>ШТ</x:v>
      </x:c>
      <x:c r="F610" s="25" t="n">
        <x:v>1</x:v>
      </x:c>
      <x:c r="G610" s="17" t="n">
        <x:v>247.04999999999998</x:v>
      </x:c>
      <x:c r="H610" s="17" t="n">
        <x:f>G610*F610</x:f>
        <x:v>247.04999999999998</x:v>
      </x:c>
      <x:c r="I610" s="26" t="str">
        <x:f>HYPERLINK("https://etp-aktiv.ru/catalog/materialy/truboprovody/2000554374-W121/","Открыть позицию")</x:f>
        <x:v>Открыть позицию</x:v>
      </x:c>
    </x:row>
    <x:row r="611" ht="28" customHeight="1">
      <x:c r="A611" s="16" t="str">
        <x:v>Филиал БТСК</x:v>
      </x:c>
      <x:c r="B611" s="16" t="str">
        <x:v>2000554401-W121</x:v>
      </x:c>
      <x:c r="C611" s="16" t="str">
        <x:v>ОТВОД 90° 09Г2С DN133*4 ГОСТ17375-01</x:v>
      </x:c>
      <x:c r="D611" s="16" t="str">
        <x:v>Детали фасонные</x:v>
      </x:c>
      <x:c r="E611" s="16" t="str">
        <x:v>ШТ</x:v>
      </x:c>
      <x:c r="F611" s="25" t="n">
        <x:v>1</x:v>
      </x:c>
      <x:c r="G611" s="17" t="n">
        <x:v>459.6472</x:v>
      </x:c>
      <x:c r="H611" s="17" t="n">
        <x:f>G611*F611</x:f>
        <x:v>459.6472</x:v>
      </x:c>
      <x:c r="I611" s="26" t="str">
        <x:f>HYPERLINK("https://etp-aktiv.ru/catalog/materialy/truboprovody/2000554401-W121/","Открыть позицию")</x:f>
        <x:v>Открыть позицию</x:v>
      </x:c>
    </x:row>
    <x:row r="612" ht="28" customHeight="1">
      <x:c r="A612" s="16" t="str">
        <x:v>Филиал БТСК</x:v>
      </x:c>
      <x:c r="B612" s="16" t="str">
        <x:v>2000554451-W121</x:v>
      </x:c>
      <x:c r="C612" s="16" t="str">
        <x:v>ОТВОД 90° 09Г2С DN377*10 ГОСТ17375-01</x:v>
      </x:c>
      <x:c r="D612" s="16" t="str">
        <x:v>Детали фасонные</x:v>
      </x:c>
      <x:c r="E612" s="16" t="str">
        <x:v>ШТ</x:v>
      </x:c>
      <x:c r="F612" s="25" t="n">
        <x:v>1</x:v>
      </x:c>
      <x:c r="G612" s="17" t="n">
        <x:v>2031.6416</x:v>
      </x:c>
      <x:c r="H612" s="17" t="n">
        <x:f>G612*F612</x:f>
        <x:v>2031.6416</x:v>
      </x:c>
      <x:c r="I612" s="26" t="str">
        <x:f>HYPERLINK("https://etp-aktiv.ru/catalog/materialy/truboprovody/2000554451-W121/","Открыть позицию")</x:f>
        <x:v>Открыть позицию</x:v>
      </x:c>
    </x:row>
    <x:row r="613" ht="28" customHeight="1">
      <x:c r="A613" s="16" t="str">
        <x:v>Филиал БТСК</x:v>
      </x:c>
      <x:c r="B613" s="16" t="str">
        <x:v>2000673384-W121</x:v>
      </x:c>
      <x:c r="C613" s="16" t="str">
        <x:v>ОТВОД 90° 133 4,5 СТ20 ППМИ60 ГОСТР56227</x:v>
      </x:c>
      <x:c r="D613" s="16" t="str">
        <x:v>Труб/элем ТИ и Футер</x:v>
      </x:c>
      <x:c r="E613" s="16" t="str">
        <x:v>ШТ</x:v>
      </x:c>
      <x:c r="F613" s="25" t="n">
        <x:v>3</x:v>
      </x:c>
      <x:c r="G613" s="17" t="n">
        <x:v>5909.5702</x:v>
      </x:c>
      <x:c r="H613" s="17" t="n">
        <x:f>G613*F613</x:f>
        <x:v>17728.7106</x:v>
      </x:c>
      <x:c r="I613" s="26" t="str">
        <x:f>HYPERLINK("https://etp-aktiv.ru/catalog/materialy/truboprovody/2000673384-W121/","Открыть позицию")</x:f>
        <x:v>Открыть позицию</x:v>
      </x:c>
    </x:row>
    <x:row r="614" ht="28" customHeight="1">
      <x:c r="A614" s="16" t="str">
        <x:v>Филиал БТСК</x:v>
      </x:c>
      <x:c r="B614" s="16" t="str">
        <x:v>2000582435-W121</x:v>
      </x:c>
      <x:c r="C614" s="16" t="str">
        <x:v>ОТВОД 90° 133*4 09Г2С 34-42-699 ППМИ 48</x:v>
      </x:c>
      <x:c r="D614" s="16" t="str">
        <x:v>Труб/элем ТИ и Футер</x:v>
      </x:c>
      <x:c r="E614" s="16" t="str">
        <x:v>ШТ</x:v>
      </x:c>
      <x:c r="F614" s="25" t="n">
        <x:v>4</x:v>
      </x:c>
      <x:c r="G614" s="17" t="n">
        <x:v>7225.6939999999995</x:v>
      </x:c>
      <x:c r="H614" s="17" t="n">
        <x:f>G614*F614</x:f>
        <x:v>28902.775999999998</x:v>
      </x:c>
      <x:c r="I614" s="26" t="str">
        <x:f>HYPERLINK("https://etp-aktiv.ru/catalog/materialy/truboprovody/2000582435-W121/","Открыть позицию")</x:f>
        <x:v>Открыть позицию</x:v>
      </x:c>
    </x:row>
    <x:row r="615" ht="28" customHeight="1">
      <x:c r="A615" s="16" t="str">
        <x:v>Филиал БТСК</x:v>
      </x:c>
      <x:c r="B615" s="16" t="str">
        <x:v>2000628655-W121</x:v>
      </x:c>
      <x:c r="C615" s="16" t="str">
        <x:v>ОТВОД 90° 17Г1С DN820 11 PN25 ГОСТ17375</x:v>
      </x:c>
      <x:c r="D615" s="16" t="str">
        <x:v>Детали фасонные</x:v>
      </x:c>
      <x:c r="E615" s="16" t="str">
        <x:v>ШТ</x:v>
      </x:c>
      <x:c r="F615" s="25" t="n">
        <x:v>2</x:v>
      </x:c>
      <x:c r="G615" s="17" t="n">
        <x:v>100768.34</x:v>
      </x:c>
      <x:c r="H615" s="17" t="n">
        <x:f>G615*F615</x:f>
        <x:v>201536.68</x:v>
      </x:c>
      <x:c r="I615" s="26" t="str">
        <x:f>HYPERLINK("https://etp-aktiv.ru/catalog/materialy/truboprovody/2000628655-W121/","Открыть позицию")</x:f>
        <x:v>Открыть позицию</x:v>
      </x:c>
    </x:row>
    <x:row r="616" ht="28" customHeight="1">
      <x:c r="A616" s="16" t="str">
        <x:v>Филиал БТСК</x:v>
      </x:c>
      <x:c r="B616" s="16" t="str">
        <x:v>2000739085-W121</x:v>
      </x:c>
      <x:c r="C616" s="16" t="str">
        <x:v>ОТВОД 90° 325*8 СТ20 ППМИ 50ММ ГОСТ17375</x:v>
      </x:c>
      <x:c r="D616" s="16" t="str">
        <x:v>Труб/элем ТИ и Футер</x:v>
      </x:c>
      <x:c r="E616" s="16" t="str">
        <x:v>ШТ</x:v>
      </x:c>
      <x:c r="F616" s="25" t="n">
        <x:v>1</x:v>
      </x:c>
      <x:c r="G616" s="17" t="n">
        <x:v>26383.11</x:v>
      </x:c>
      <x:c r="H616" s="17" t="n">
        <x:f>G616*F616</x:f>
        <x:v>26383.11</x:v>
      </x:c>
      <x:c r="I616" s="26" t="str">
        <x:f>HYPERLINK("https://etp-aktiv.ru/catalog/materialy/truboprovody/2000739085-W121/","Открыть позицию")</x:f>
        <x:v>Открыть позицию</x:v>
      </x:c>
    </x:row>
    <x:row r="617" ht="28" customHeight="1">
      <x:c r="A617" s="16" t="str">
        <x:v>Филиал БТСК</x:v>
      </x:c>
      <x:c r="B617" s="16" t="str">
        <x:v>2000554399-W121</x:v>
      </x:c>
      <x:c r="C617" s="16" t="str">
        <x:v>ОТВОД 90° СТ20 1-26,9*3,2 ГОСТ17375</x:v>
      </x:c>
      <x:c r="D617" s="16" t="str">
        <x:v>Детали фасонные</x:v>
      </x:c>
      <x:c r="E617" s="16" t="str">
        <x:v>ШТ</x:v>
      </x:c>
      <x:c r="F617" s="25" t="n">
        <x:v>1</x:v>
      </x:c>
      <x:c r="G617" s="17" t="n">
        <x:v>63.684000000000005</x:v>
      </x:c>
      <x:c r="H617" s="17" t="n">
        <x:f>G617*F617</x:f>
        <x:v>63.684000000000005</x:v>
      </x:c>
      <x:c r="I617" s="26" t="str">
        <x:f>HYPERLINK("https://etp-aktiv.ru/catalog/materialy/truboprovody/2000554399-W121/","Открыть позицию")</x:f>
        <x:v>Открыть позицию</x:v>
      </x:c>
    </x:row>
    <x:row r="618" ht="28" customHeight="1">
      <x:c r="A618" s="16" t="str">
        <x:v>Филиал БТСК</x:v>
      </x:c>
      <x:c r="B618" s="16" t="str">
        <x:v>2000032711-W121</x:v>
      </x:c>
      <x:c r="C618" s="16" t="str">
        <x:v>ОТВОД 90° СТ20 DN15 ГОСТ17375-01</x:v>
      </x:c>
      <x:c r="D618" s="16" t="str">
        <x:v>Детали фасонные</x:v>
      </x:c>
      <x:c r="E618" s="16" t="str">
        <x:v>ШТ</x:v>
      </x:c>
      <x:c r="F618" s="25" t="n">
        <x:v>30</x:v>
      </x:c>
      <x:c r="G618" s="17" t="n">
        <x:v>38.3202</x:v>
      </x:c>
      <x:c r="H618" s="17" t="n">
        <x:f>G618*F618</x:f>
        <x:v>1149.606</x:v>
      </x:c>
      <x:c r="I618" s="26" t="str">
        <x:f>HYPERLINK("https://etp-aktiv.ru/catalog/materialy/truboprovody/2000032711-W121/","Открыть позицию")</x:f>
        <x:v>Открыть позицию</x:v>
      </x:c>
    </x:row>
    <x:row r="619" ht="28" customHeight="1">
      <x:c r="A619" s="16" t="str">
        <x:v>Филиал БТСК</x:v>
      </x:c>
      <x:c r="B619" s="16" t="str">
        <x:v>2000954080-W121</x:v>
      </x:c>
      <x:c r="C619" s="16" t="str">
        <x:v>ОТВОД 90° СТ20 DN820*9 ГОСТ17375-2001</x:v>
      </x:c>
      <x:c r="D619" s="16" t="str">
        <x:v>Детали фасонные</x:v>
      </x:c>
      <x:c r="E619" s="16" t="str">
        <x:v>ШТ</x:v>
      </x:c>
      <x:c r="F619" s="25" t="n">
        <x:v>2</x:v>
      </x:c>
      <x:c r="G619" s="17" t="n">
        <x:v>82868.5</x:v>
      </x:c>
      <x:c r="H619" s="17" t="n">
        <x:f>G619*F619</x:f>
        <x:v>165737</x:v>
      </x:c>
      <x:c r="I619" s="26" t="str">
        <x:f>HYPERLINK("https://etp-aktiv.ru/catalog/materialy/truboprovody/2000954080-W121/","Открыть позицию")</x:f>
        <x:v>Открыть позицию</x:v>
      </x:c>
    </x:row>
    <x:row r="620" ht="28" customHeight="1">
      <x:c r="A620" s="16" t="str">
        <x:v>Филиал БТСК</x:v>
      </x:c>
      <x:c r="B620" s="16" t="str">
        <x:v>2000803209-W121</x:v>
      </x:c>
      <x:c r="C620" s="16" t="str">
        <x:v>ОТВОД П 30° СТ20 DN89*4 ГОСТ17375-01</x:v>
      </x:c>
      <x:c r="D620" s="16" t="str">
        <x:v>Детали фасонные</x:v>
      </x:c>
      <x:c r="E620" s="16" t="str">
        <x:v>ШТ</x:v>
      </x:c>
      <x:c r="F620" s="25" t="n">
        <x:v>2</x:v>
      </x:c>
      <x:c r="G620" s="17" t="n">
        <x:v>361.425</x:v>
      </x:c>
      <x:c r="H620" s="17" t="n">
        <x:f>G620*F620</x:f>
        <x:v>722.85</x:v>
      </x:c>
      <x:c r="I620" s="26" t="str">
        <x:f>HYPERLINK("https://etp-aktiv.ru/catalog/materialy/truboprovody/2000803209-W121/","Открыть позицию")</x:f>
        <x:v>Открыть позицию</x:v>
      </x:c>
    </x:row>
    <x:row r="621" ht="28" customHeight="1">
      <x:c r="A621" s="16" t="str">
        <x:v>Филиал БТСК</x:v>
      </x:c>
      <x:c r="B621" s="16" t="str">
        <x:v>2000673456-W121</x:v>
      </x:c>
      <x:c r="C621" s="16" t="str">
        <x:v>ОТВОД П 45° 76*3,5 СТ20 ГОСТ17375 ППМИ40</x:v>
      </x:c>
      <x:c r="D621" s="16" t="str">
        <x:v>Труб/элем ТИ и Футер</x:v>
      </x:c>
      <x:c r="E621" s="16" t="str">
        <x:v>ШТ</x:v>
      </x:c>
      <x:c r="F621" s="25" t="n">
        <x:v>2</x:v>
      </x:c>
      <x:c r="G621" s="17" t="n">
        <x:v>3629.8294</x:v>
      </x:c>
      <x:c r="H621" s="17" t="n">
        <x:f>G621*F621</x:f>
        <x:v>7259.6588</x:v>
      </x:c>
      <x:c r="I621" s="26" t="str">
        <x:f>HYPERLINK("https://etp-aktiv.ru/catalog/materialy/truboprovody/2000673456-W121/","Открыть позицию")</x:f>
        <x:v>Открыть позицию</x:v>
      </x:c>
    </x:row>
    <x:row r="622" ht="28" customHeight="1">
      <x:c r="A622" s="16" t="str">
        <x:v>Филиал БТСК</x:v>
      </x:c>
      <x:c r="B622" s="16" t="str">
        <x:v>2000554556-W121</x:v>
      </x:c>
      <x:c r="C622" s="16" t="str">
        <x:v>ОТВОД П 45° СТ20 DN159*5 ГОСТ17375-01</x:v>
      </x:c>
      <x:c r="D622" s="16" t="str">
        <x:v>Детали фасонные</x:v>
      </x:c>
      <x:c r="E622" s="16" t="str">
        <x:v>ШТ</x:v>
      </x:c>
      <x:c r="F622" s="25" t="n">
        <x:v>6</x:v>
      </x:c>
      <x:c r="G622" s="17" t="n">
        <x:v>644.16</x:v>
      </x:c>
      <x:c r="H622" s="17" t="n">
        <x:f>G622*F622</x:f>
        <x:v>3864.96</x:v>
      </x:c>
      <x:c r="I622" s="26" t="str">
        <x:f>HYPERLINK("https://etp-aktiv.ru/catalog/materialy/truboprovody/2000554556-W121/","Открыть позицию")</x:f>
        <x:v>Открыть позицию</x:v>
      </x:c>
    </x:row>
    <x:row r="623" ht="28" customHeight="1">
      <x:c r="A623" s="16" t="str">
        <x:v>Филиал БТСК</x:v>
      </x:c>
      <x:c r="B623" s="16" t="str">
        <x:v>2000568463-W121</x:v>
      </x:c>
      <x:c r="C623" s="16" t="str">
        <x:v>ОТВОД П 90° 377*10 СТ20 ТС-582-34 ППМИ60</x:v>
      </x:c>
      <x:c r="D623" s="16" t="str">
        <x:v>Труб/элем ТИ и Футер</x:v>
      </x:c>
      <x:c r="E623" s="16" t="str">
        <x:v>ШТ</x:v>
      </x:c>
      <x:c r="F623" s="25" t="n">
        <x:v>4</x:v>
      </x:c>
      <x:c r="G623" s="17" t="n">
        <x:v>43981.9272</x:v>
      </x:c>
      <x:c r="H623" s="17" t="n">
        <x:f>G623*F623</x:f>
        <x:v>175927.7088</x:v>
      </x:c>
      <x:c r="I623" s="26" t="str">
        <x:f>HYPERLINK("https://etp-aktiv.ru/catalog/materialy/truboprovody/2000568463-W121/","Открыть позицию")</x:f>
        <x:v>Открыть позицию</x:v>
      </x:c>
    </x:row>
    <x:row r="624" ht="28" customHeight="1">
      <x:c r="A624" s="16" t="str">
        <x:v>Филиал БТСК</x:v>
      </x:c>
      <x:c r="B624" s="16" t="str">
        <x:v>2000568204-W121</x:v>
      </x:c>
      <x:c r="C624" s="16" t="str">
        <x:v>ОТВОД П 90° СТ20 45*3 ГОСТ17375-01</x:v>
      </x:c>
      <x:c r="D624" s="16" t="str">
        <x:v>Детали фасонные</x:v>
      </x:c>
      <x:c r="E624" s="16" t="str">
        <x:v>ШТ</x:v>
      </x:c>
      <x:c r="F624" s="25" t="n">
        <x:v>4</x:v>
      </x:c>
      <x:c r="G624" s="17" t="n">
        <x:v>95.3308</x:v>
      </x:c>
      <x:c r="H624" s="17" t="n">
        <x:f>G624*F624</x:f>
        <x:v>381.3232</x:v>
      </x:c>
      <x:c r="I624" s="26" t="str">
        <x:f>HYPERLINK("https://etp-aktiv.ru/catalog/materialy/truboprovody/2000568204-W121/","Открыть позицию")</x:f>
        <x:v>Открыть позицию</x:v>
      </x:c>
    </x:row>
    <x:row r="625" ht="28" customHeight="1">
      <x:c r="A625" s="16" t="str">
        <x:v>Филиал БТСК</x:v>
      </x:c>
      <x:c r="B625" s="16" t="str">
        <x:v>2000554574-W121</x:v>
      </x:c>
      <x:c r="C625" s="16" t="str">
        <x:v>ОТВОД П 90° СТ20 DN133*4,5 ГОСТ17375-01</x:v>
      </x:c>
      <x:c r="D625" s="16" t="str">
        <x:v>Детали фасонные</x:v>
      </x:c>
      <x:c r="E625" s="16" t="str">
        <x:v>ШТ</x:v>
      </x:c>
      <x:c r="F625" s="25" t="n">
        <x:v>1</x:v>
      </x:c>
      <x:c r="G625" s="17" t="n">
        <x:v>471.22499999999997</x:v>
      </x:c>
      <x:c r="H625" s="17" t="n">
        <x:f>G625*F625</x:f>
        <x:v>471.22499999999997</x:v>
      </x:c>
      <x:c r="I625" s="26" t="str">
        <x:f>HYPERLINK("https://etp-aktiv.ru/catalog/materialy/truboprovody/2000554574-W121/","Открыть позицию")</x:f>
        <x:v>Открыть позицию</x:v>
      </x:c>
    </x:row>
    <x:row r="626" ht="28" customHeight="1">
      <x:c r="A626" s="16" t="str">
        <x:v>Филиал БТСК</x:v>
      </x:c>
      <x:c r="B626" s="16" t="str">
        <x:v>2000559633-W121</x:v>
      </x:c>
      <x:c r="C626" s="16" t="str">
        <x:v>ОТВОД П45 159*6 09Г2С ТС582.06 ППМИ60 РД</x:v>
      </x:c>
      <x:c r="D626" s="16" t="str">
        <x:v>Труб/элем ТИ и Футер</x:v>
      </x:c>
      <x:c r="E626" s="16" t="str">
        <x:v>ШТ</x:v>
      </x:c>
      <x:c r="F626" s="25" t="n">
        <x:v>1</x:v>
      </x:c>
      <x:c r="G626" s="17" t="n">
        <x:v>8313.8608</x:v>
      </x:c>
      <x:c r="H626" s="17" t="n">
        <x:f>G626*F626</x:f>
        <x:v>8313.8608</x:v>
      </x:c>
      <x:c r="I626" s="26" t="str">
        <x:f>HYPERLINK("https://etp-aktiv.ru/catalog/materialy/truboprovody/2000559633-W121/","Открыть позицию")</x:f>
        <x:v>Открыть позицию</x:v>
      </x:c>
    </x:row>
    <x:row r="627" ht="28" customHeight="1">
      <x:c r="A627" s="16" t="str">
        <x:v>Филиал БТСК</x:v>
      </x:c>
      <x:c r="B627" s="16" t="str">
        <x:v>2000582437-W121</x:v>
      </x:c>
      <x:c r="C627" s="16" t="str">
        <x:v>ОТВОД П90 273*9 09Г2С ППМИ 50 ГОСТ17375</x:v>
      </x:c>
      <x:c r="D627" s="16" t="str">
        <x:v>Труб/элем ТИ и Футер</x:v>
      </x:c>
      <x:c r="E627" s="16" t="str">
        <x:v>ШТ</x:v>
      </x:c>
      <x:c r="F627" s="25" t="n">
        <x:v>11</x:v>
      </x:c>
      <x:c r="G627" s="17" t="n">
        <x:v>18856.32</x:v>
      </x:c>
      <x:c r="H627" s="17" t="n">
        <x:f>G627*F627</x:f>
        <x:v>207419.52</x:v>
      </x:c>
      <x:c r="I627" s="26" t="str">
        <x:f>HYPERLINK("https://etp-aktiv.ru/catalog/materialy/truboprovody/2000582437-W121/","Открыть позицию")</x:f>
        <x:v>Открыть позицию</x:v>
      </x:c>
    </x:row>
    <x:row r="628" ht="28" customHeight="1">
      <x:c r="A628" s="16" t="str">
        <x:v>Филиал БТСК</x:v>
      </x:c>
      <x:c r="B628" s="16" t="str">
        <x:v>2000640631-W121</x:v>
      </x:c>
      <x:c r="C628" s="16" t="str">
        <x:v>ОТВОД П90 76*3,5 СТ20 ППМИ40 ГОСТ56227</x:v>
      </x:c>
      <x:c r="D628" s="16" t="str">
        <x:v>Труб/элем ТИ и Футер</x:v>
      </x:c>
      <x:c r="E628" s="16" t="str">
        <x:v>ШТ</x:v>
      </x:c>
      <x:c r="F628" s="25" t="n">
        <x:v>1</x:v>
      </x:c>
      <x:c r="G628" s="17" t="n">
        <x:v>3627.9993999999997</x:v>
      </x:c>
      <x:c r="H628" s="17" t="n">
        <x:f>G628*F628</x:f>
        <x:v>3627.9993999999997</x:v>
      </x:c>
      <x:c r="I628" s="26" t="str">
        <x:f>HYPERLINK("https://etp-aktiv.ru/catalog/materialy/truboprovody/2000640631-W121/","Открыть позицию")</x:f>
        <x:v>Открыть позицию</x:v>
      </x:c>
    </x:row>
    <x:row r="629" ht="28" customHeight="1">
      <x:c r="A629" s="16" t="str">
        <x:v>Филиал БТСК</x:v>
      </x:c>
      <x:c r="B629" s="16" t="str">
        <x:v>2000568468-W121</x:v>
      </x:c>
      <x:c r="C629" s="16" t="str">
        <x:v>ОТВОД П90 89*4,5 20 17375 ППМИ45,5 56227</x:v>
      </x:c>
      <x:c r="D629" s="16" t="str">
        <x:v>Труб/элем ТИ и Футер</x:v>
      </x:c>
      <x:c r="E629" s="16" t="str">
        <x:v>ШТ</x:v>
      </x:c>
      <x:c r="F629" s="25" t="n">
        <x:v>2</x:v>
      </x:c>
      <x:c r="G629" s="17" t="n">
        <x:v>2826.6546</x:v>
      </x:c>
      <x:c r="H629" s="17" t="n">
        <x:f>G629*F629</x:f>
        <x:v>5653.3092</x:v>
      </x:c>
      <x:c r="I629" s="26" t="str">
        <x:f>HYPERLINK("https://etp-aktiv.ru/catalog/materialy/truboprovody/2000568468-W121/","Открыть позицию")</x:f>
        <x:v>Открыть позицию</x:v>
      </x:c>
    </x:row>
    <x:row r="630" ht="28" customHeight="1">
      <x:c r="A630" s="16" t="str">
        <x:v>Филиал БТСК</x:v>
      </x:c>
      <x:c r="B630" s="16" t="str">
        <x:v>2000639794-W121</x:v>
      </x:c>
      <x:c r="C630" s="16" t="str">
        <x:v>ОТВОД П90° 325 8 В20 ППМИ60ММ ГОСТР56227</x:v>
      </x:c>
      <x:c r="D630" s="16" t="str">
        <x:v>Труб/элем ТИ и Футер</x:v>
      </x:c>
      <x:c r="E630" s="16" t="str">
        <x:v>ШТ</x:v>
      </x:c>
      <x:c r="F630" s="25" t="n">
        <x:v>23</x:v>
      </x:c>
      <x:c r="G630" s="17" t="n">
        <x:v>19546.0348</x:v>
      </x:c>
      <x:c r="H630" s="17" t="n">
        <x:f>G630*F630</x:f>
        <x:v>449558.8004</x:v>
      </x:c>
      <x:c r="I630" s="26" t="str">
        <x:f>HYPERLINK("https://etp-aktiv.ru/catalog/materialy/truboprovody/2000639794-W121/","Открыть позицию")</x:f>
        <x:v>Открыть позицию</x:v>
      </x:c>
    </x:row>
    <x:row r="631" ht="28" customHeight="1">
      <x:c r="A631" s="16" t="str">
        <x:v>Филиал БТСК</x:v>
      </x:c>
      <x:c r="B631" s="16" t="str">
        <x:v>2000568462-W121</x:v>
      </x:c>
      <x:c r="C631" s="16" t="str">
        <x:v>ОТВОД П90° 325*10 ТС-582-09 ППМИ60 56227</x:v>
      </x:c>
      <x:c r="D631" s="16" t="str">
        <x:v>Труб/элем ТИ и Футер</x:v>
      </x:c>
      <x:c r="E631" s="16" t="str">
        <x:v>ШТ</x:v>
      </x:c>
      <x:c r="F631" s="25" t="n">
        <x:v>16</x:v>
      </x:c>
      <x:c r="G631" s="17" t="n">
        <x:v>7104.596799999999</x:v>
      </x:c>
      <x:c r="H631" s="17" t="n">
        <x:f>G631*F631</x:f>
        <x:v>113673.54879999999</x:v>
      </x:c>
      <x:c r="I631" s="26" t="str">
        <x:f>HYPERLINK("https://etp-aktiv.ru/catalog/materialy/truboprovody/2000568462-W121/","Открыть позицию")</x:f>
        <x:v>Открыть позицию</x:v>
      </x:c>
    </x:row>
    <x:row r="632" ht="28" customHeight="1">
      <x:c r="A632" s="16" t="str">
        <x:v>Филиал БТСК</x:v>
      </x:c>
      <x:c r="B632" s="16" t="str">
        <x:v>2000559575-W121</x:v>
      </x:c>
      <x:c r="C632" s="16" t="str">
        <x:v>ОТВОД СТ20 108*4 11° 1-ППУ-ОЦ ГОСТ30732</x:v>
      </x:c>
      <x:c r="D632" s="16" t="str">
        <x:v>Труб/элем ТИ и Футер</x:v>
      </x:c>
      <x:c r="E632" s="16" t="str">
        <x:v>ШТ</x:v>
      </x:c>
      <x:c r="F632" s="25" t="n">
        <x:v>2</x:v>
      </x:c>
      <x:c r="G632" s="17" t="n">
        <x:v>881.145</x:v>
      </x:c>
      <x:c r="H632" s="17" t="n">
        <x:f>G632*F632</x:f>
        <x:v>1762.29</x:v>
      </x:c>
      <x:c r="I632" s="26" t="str">
        <x:f>HYPERLINK("https://etp-aktiv.ru/catalog/materialy/truboprovody/2000559575-W121/","Открыть позицию")</x:f>
        <x:v>Открыть позицию</x:v>
      </x:c>
    </x:row>
    <x:row r="633" ht="28" customHeight="1">
      <x:c r="A633" s="16" t="str">
        <x:v>Филиал БТСК</x:v>
      </x:c>
      <x:c r="B633" s="16" t="str">
        <x:v>2000559576-W121</x:v>
      </x:c>
      <x:c r="C633" s="16" t="str">
        <x:v>ОТВОД СТ20 108*4 33° 1-ППУ-ОЦ ГОСТ30732</x:v>
      </x:c>
      <x:c r="D633" s="16" t="str">
        <x:v>Труб/элем ТИ и Футер</x:v>
      </x:c>
      <x:c r="E633" s="16" t="str">
        <x:v>ШТ</x:v>
      </x:c>
      <x:c r="F633" s="25" t="n">
        <x:v>2</x:v>
      </x:c>
      <x:c r="G633" s="17" t="n">
        <x:v>926.8828</x:v>
      </x:c>
      <x:c r="H633" s="17" t="n">
        <x:f>G633*F633</x:f>
        <x:v>1853.7656</x:v>
      </x:c>
      <x:c r="I633" s="26" t="str">
        <x:f>HYPERLINK("https://etp-aktiv.ru/catalog/materialy/truboprovody/2000559576-W121/","Открыть позицию")</x:f>
        <x:v>Открыть позицию</x:v>
      </x:c>
    </x:row>
    <x:row r="634" ht="28" customHeight="1">
      <x:c r="A634" s="16" t="str">
        <x:v>Филиал БТСК</x:v>
      </x:c>
      <x:c r="B634" s="16" t="str">
        <x:v>2000747611-W121</x:v>
      </x:c>
      <x:c r="C634" s="16" t="str">
        <x:v>ОТВОД СТ20 159 4,5 90 ППУ ПЭ ГОСТ30732</x:v>
      </x:c>
      <x:c r="D634" s="16" t="str">
        <x:v>Труб/элем ТИ и Футер</x:v>
      </x:c>
      <x:c r="E634" s="16" t="str">
        <x:v>ШТ</x:v>
      </x:c>
      <x:c r="F634" s="25" t="n">
        <x:v>8</x:v>
      </x:c>
      <x:c r="G634" s="17" t="n">
        <x:v>13425.6608</x:v>
      </x:c>
      <x:c r="H634" s="17" t="n">
        <x:f>G634*F634</x:f>
        <x:v>107405.2864</x:v>
      </x:c>
      <x:c r="I634" s="26" t="str">
        <x:f>HYPERLINK("https://etp-aktiv.ru/catalog/materialy/truboprovody/2000747611-W121/","Открыть позицию")</x:f>
        <x:v>Открыть позицию</x:v>
      </x:c>
    </x:row>
    <x:row r="635" ht="28" customHeight="1">
      <x:c r="A635" s="16" t="str">
        <x:v>Филиал БТСК</x:v>
      </x:c>
      <x:c r="B635" s="16" t="str">
        <x:v>2001020161-W121</x:v>
      </x:c>
      <x:c r="C635" s="16" t="str">
        <x:v>ОТВОД СТ20 159*4,5 90 1ППУ-ОЦ СОДК 30732</x:v>
      </x:c>
      <x:c r="D635" s="16" t="str">
        <x:v>Труб/элем ТИ и Футер</x:v>
      </x:c>
      <x:c r="E635" s="16" t="str">
        <x:v>ШТ</x:v>
      </x:c>
      <x:c r="F635" s="25" t="n">
        <x:v>2</x:v>
      </x:c>
      <x:c r="G635" s="17" t="n">
        <x:v>12519.64</x:v>
      </x:c>
      <x:c r="H635" s="17" t="n">
        <x:f>G635*F635</x:f>
        <x:v>25039.28</x:v>
      </x:c>
      <x:c r="I635" s="26" t="str">
        <x:f>HYPERLINK("https://etp-aktiv.ru/catalog/materialy/truboprovody/2001020161-W121/","Открыть позицию")</x:f>
        <x:v>Открыть позицию</x:v>
      </x:c>
    </x:row>
    <x:row r="636" ht="28" customHeight="1">
      <x:c r="A636" s="16" t="str">
        <x:v>Филиал БТСК</x:v>
      </x:c>
      <x:c r="B636" s="16" t="str">
        <x:v>2001034411-W121</x:v>
      </x:c>
      <x:c r="C636" s="16" t="str">
        <x:v>ОТВОД СТ20 159*5-90° 2-ППУ-ПЭ ГОСТ30732</x:v>
      </x:c>
      <x:c r="D636" s="16" t="str">
        <x:v>Труб/элем ТИ и Футер</x:v>
      </x:c>
      <x:c r="E636" s="16" t="str">
        <x:v>ШТ</x:v>
      </x:c>
      <x:c r="F636" s="25" t="n">
        <x:v>8</x:v>
      </x:c>
      <x:c r="G636" s="17" t="n">
        <x:v>13306.662</x:v>
      </x:c>
      <x:c r="H636" s="17" t="n">
        <x:f>G636*F636</x:f>
        <x:v>106453.296</x:v>
      </x:c>
      <x:c r="I636" s="26" t="str">
        <x:f>HYPERLINK("https://etp-aktiv.ru/catalog/materialy/truboprovody/2001034411-W121/","Открыть позицию")</x:f>
        <x:v>Открыть позицию</x:v>
      </x:c>
    </x:row>
    <x:row r="637" ht="28" customHeight="1">
      <x:c r="A637" s="16" t="str">
        <x:v>Филиал БТСК</x:v>
      </x:c>
      <x:c r="B637" s="16" t="str">
        <x:v>2000559578-W121</x:v>
      </x:c>
      <x:c r="C637" s="16" t="str">
        <x:v>ОТВОД СТ20 159*6 90° 1-ППУ-ОЦ ГОСТ30732</x:v>
      </x:c>
      <x:c r="D637" s="16" t="str">
        <x:v>Труб/элем ТИ и Футер</x:v>
      </x:c>
      <x:c r="E637" s="16" t="str">
        <x:v>ШТ</x:v>
      </x:c>
      <x:c r="F637" s="25" t="n">
        <x:v>4</x:v>
      </x:c>
      <x:c r="G637" s="17" t="n">
        <x:v>1790.594</x:v>
      </x:c>
      <x:c r="H637" s="17" t="n">
        <x:f>G637*F637</x:f>
        <x:v>7162.376</x:v>
      </x:c>
      <x:c r="I637" s="26" t="str">
        <x:f>HYPERLINK("https://etp-aktiv.ru/catalog/materialy/truboprovody/2000559578-W121/","Открыть позицию")</x:f>
        <x:v>Открыть позицию</x:v>
      </x:c>
    </x:row>
    <x:row r="638" ht="28" customHeight="1">
      <x:c r="A638" s="16" t="str">
        <x:v>Филиал БТСК</x:v>
      </x:c>
      <x:c r="B638" s="16" t="str">
        <x:v>2000559579-W121</x:v>
      </x:c>
      <x:c r="C638" s="16" t="str">
        <x:v>ОТВОД СТ20 159*6 90° 2-ППУ-ПЭ ГОСТ30732</x:v>
      </x:c>
      <x:c r="D638" s="16" t="str">
        <x:v>Труб/элем ТИ и Футер</x:v>
      </x:c>
      <x:c r="E638" s="16" t="str">
        <x:v>ШТ</x:v>
      </x:c>
      <x:c r="F638" s="25" t="n">
        <x:v>10</x:v>
      </x:c>
      <x:c r="G638" s="17" t="n">
        <x:v>1747.2352</x:v>
      </x:c>
      <x:c r="H638" s="17" t="n">
        <x:f>G638*F638</x:f>
        <x:v>17472.352</x:v>
      </x:c>
      <x:c r="I638" s="26" t="str">
        <x:f>HYPERLINK("https://etp-aktiv.ru/catalog/materialy/truboprovody/2000559579-W121/","Открыть позицию")</x:f>
        <x:v>Открыть позицию</x:v>
      </x:c>
    </x:row>
    <x:row r="639" ht="28" customHeight="1">
      <x:c r="A639" s="16" t="str">
        <x:v>Филиал БТСК</x:v>
      </x:c>
      <x:c r="B639" s="16" t="str">
        <x:v>2000571092-W121</x:v>
      </x:c>
      <x:c r="C639" s="16" t="str">
        <x:v>ОТВОД СТ20-159*5-90-ППУ-ОЦ ГОСТ30732-06</x:v>
      </x:c>
      <x:c r="D639" s="16" t="str">
        <x:v>Труб/элем ТИ и Футер</x:v>
      </x:c>
      <x:c r="E639" s="16" t="str">
        <x:v>ШТ</x:v>
      </x:c>
      <x:c r="F639" s="25" t="n">
        <x:v>2</x:v>
      </x:c>
      <x:c r="G639" s="17" t="n">
        <x:v>17111.232</x:v>
      </x:c>
      <x:c r="H639" s="17" t="n">
        <x:f>G639*F639</x:f>
        <x:v>34222.464</x:v>
      </x:c>
      <x:c r="I639" s="26" t="str">
        <x:f>HYPERLINK("https://etp-aktiv.ru/catalog/materialy/truboprovody/2000571092-W121/","Открыть позицию")</x:f>
        <x:v>Открыть позицию</x:v>
      </x:c>
    </x:row>
    <x:row r="640" ht="28" customHeight="1">
      <x:c r="A640" s="16" t="str">
        <x:v>Филиал БТСК</x:v>
      </x:c>
      <x:c r="B640" s="16" t="str">
        <x:v>2000559584-W121</x:v>
      </x:c>
      <x:c r="C640" s="16" t="str">
        <x:v>ПЕРЕХОД 09Г2С 76-38 1-ППУ ПЭ ГОСТ30732</x:v>
      </x:c>
      <x:c r="D640" s="16" t="str">
        <x:v>Труб/элем ТИ и Футер</x:v>
      </x:c>
      <x:c r="E640" s="16" t="str">
        <x:v>ШТ</x:v>
      </x:c>
      <x:c r="F640" s="25" t="n">
        <x:v>2</x:v>
      </x:c>
      <x:c r="G640" s="17" t="n">
        <x:v>2525.5951999999997</x:v>
      </x:c>
      <x:c r="H640" s="17" t="n">
        <x:f>G640*F640</x:f>
        <x:v>5051.1903999999995</x:v>
      </x:c>
      <x:c r="I640" s="26" t="str">
        <x:f>HYPERLINK("https://etp-aktiv.ru/catalog/materialy/truboprovody/2000559584-W121/","Открыть позицию")</x:f>
        <x:v>Открыть позицию</x:v>
      </x:c>
    </x:row>
    <x:row r="641" ht="28" customHeight="1">
      <x:c r="A641" s="16" t="str">
        <x:v>Филиал БТСК</x:v>
      </x:c>
      <x:c r="B641" s="16" t="str">
        <x:v>2000582232-W121</x:v>
      </x:c>
      <x:c r="C641" s="16" t="str">
        <x:v>ПЕРЕХОД К 09Г2С 219*6-133*4 ГОСТ17378</x:v>
      </x:c>
      <x:c r="D641" s="16" t="str">
        <x:v>Детали фасонные</x:v>
      </x:c>
      <x:c r="E641" s="16" t="str">
        <x:v>ШТ</x:v>
      </x:c>
      <x:c r="F641" s="25" t="n">
        <x:v>1</x:v>
      </x:c>
      <x:c r="G641" s="17" t="n">
        <x:v>1298.0312000000001</x:v>
      </x:c>
      <x:c r="H641" s="17" t="n">
        <x:f>G641*F641</x:f>
        <x:v>1298.0312000000001</x:v>
      </x:c>
      <x:c r="I641" s="26" t="str">
        <x:f>HYPERLINK("https://etp-aktiv.ru/catalog/materialy/truboprovody/2000582232-W121/","Открыть позицию")</x:f>
        <x:v>Открыть позицию</x:v>
      </x:c>
    </x:row>
    <x:row r="642" ht="28" customHeight="1">
      <x:c r="A642" s="16" t="str">
        <x:v>Филиал БТСК</x:v>
      </x:c>
      <x:c r="B642" s="16" t="str">
        <x:v>2000558540-W121</x:v>
      </x:c>
      <x:c r="C642" s="16" t="str">
        <x:v>ПЕРЕХОД К 09Г2С 89*3,5-76*3,5 ГОСТ17378</x:v>
      </x:c>
      <x:c r="D642" s="16" t="str">
        <x:v>Детали фасонные</x:v>
      </x:c>
      <x:c r="E642" s="16" t="str">
        <x:v>ШТ</x:v>
      </x:c>
      <x:c r="F642" s="25" t="n">
        <x:v>2</x:v>
      </x:c>
      <x:c r="G642" s="17" t="n">
        <x:v>92.07339999999999</x:v>
      </x:c>
      <x:c r="H642" s="17" t="n">
        <x:f>G642*F642</x:f>
        <x:v>184.14679999999998</x:v>
      </x:c>
      <x:c r="I642" s="26" t="str">
        <x:f>HYPERLINK("https://etp-aktiv.ru/catalog/materialy/truboprovody/2000558540-W121/","Открыть позицию")</x:f>
        <x:v>Открыть позицию</x:v>
      </x:c>
    </x:row>
    <x:row r="643" ht="28" customHeight="1">
      <x:c r="A643" s="16" t="str">
        <x:v>Филиал БТСК</x:v>
      </x:c>
      <x:c r="B643" s="16" t="str">
        <x:v>2000673452-W121</x:v>
      </x:c>
      <x:c r="C643" s="16" t="str">
        <x:v>ПЕРЕХОД К В20 325*8 159 4,5 ГОСТ17378-01</x:v>
      </x:c>
      <x:c r="D643" s="16" t="str">
        <x:v>Детали фасонные</x:v>
      </x:c>
      <x:c r="E643" s="16" t="str">
        <x:v>ШТ</x:v>
      </x:c>
      <x:c r="F643" s="25" t="n">
        <x:v>2</x:v>
      </x:c>
      <x:c r="G643" s="17" t="n">
        <x:v>2740.4249999999997</x:v>
      </x:c>
      <x:c r="H643" s="17" t="n">
        <x:f>G643*F643</x:f>
        <x:v>5480.849999999999</x:v>
      </x:c>
      <x:c r="I643" s="26" t="str">
        <x:f>HYPERLINK("https://etp-aktiv.ru/catalog/materialy/truboprovody/2000673452-W121/","Открыть позицию")</x:f>
        <x:v>Открыть позицию</x:v>
      </x:c>
    </x:row>
    <x:row r="644" ht="28" customHeight="1">
      <x:c r="A644" s="16" t="str">
        <x:v>Филиал БТСК</x:v>
      </x:c>
      <x:c r="B644" s="16" t="str">
        <x:v>2000736689-W121</x:v>
      </x:c>
      <x:c r="C644" s="16" t="str">
        <x:v>ПЕРЕХОД К СТ20 108*4 76 5 ГОСТ17378-01</x:v>
      </x:c>
      <x:c r="D644" s="16" t="str">
        <x:v>Детали фасонные</x:v>
      </x:c>
      <x:c r="E644" s="16" t="str">
        <x:v>ШТ</x:v>
      </x:c>
      <x:c r="F644" s="25" t="n">
        <x:v>2</x:v>
      </x:c>
      <x:c r="G644" s="17" t="n">
        <x:v>192.15</x:v>
      </x:c>
      <x:c r="H644" s="17" t="n">
        <x:f>G644*F644</x:f>
        <x:v>384.3</x:v>
      </x:c>
      <x:c r="I644" s="26" t="str">
        <x:f>HYPERLINK("https://etp-aktiv.ru/catalog/materialy/truboprovody/2000736689-W121/","Открыть позицию")</x:f>
        <x:v>Открыть позицию</x:v>
      </x:c>
    </x:row>
    <x:row r="645" ht="28" customHeight="1">
      <x:c r="A645" s="16" t="str">
        <x:v>Филиал БТСК</x:v>
      </x:c>
      <x:c r="B645" s="16" t="str">
        <x:v>2000220442-W121</x:v>
      </x:c>
      <x:c r="C645" s="16" t="str">
        <x:v>ПЕРЕХОД К СТ20 159*4,5 57 3 ГОСТ17378-01</x:v>
      </x:c>
      <x:c r="D645" s="16" t="str">
        <x:v>Детали фасонные</x:v>
      </x:c>
      <x:c r="E645" s="16" t="str">
        <x:v>ШТ</x:v>
      </x:c>
      <x:c r="F645" s="25" t="n">
        <x:v>3</x:v>
      </x:c>
      <x:c r="G645" s="17" t="n">
        <x:v>361.425</x:v>
      </x:c>
      <x:c r="H645" s="17" t="n">
        <x:f>G645*F645</x:f>
        <x:v>1084.275</x:v>
      </x:c>
      <x:c r="I645" s="26" t="str">
        <x:f>HYPERLINK("https://etp-aktiv.ru/catalog/materialy/truboprovody/2000220442-W121/","Открыть позицию")</x:f>
        <x:v>Открыть позицию</x:v>
      </x:c>
    </x:row>
    <x:row r="646" ht="28" customHeight="1">
      <x:c r="A646" s="16" t="str">
        <x:v>Филиал БТСК</x:v>
      </x:c>
      <x:c r="B646" s="16" t="str">
        <x:v>2000554994-W121</x:v>
      </x:c>
      <x:c r="C646" s="16" t="str">
        <x:v>ПЕРЕХОД К СТ20 530*10-377*10 ГОСТ17378</x:v>
      </x:c>
      <x:c r="D646" s="16" t="str">
        <x:v>Детали фасонные</x:v>
      </x:c>
      <x:c r="E646" s="16" t="str">
        <x:v>ШТ</x:v>
      </x:c>
      <x:c r="F646" s="25" t="n">
        <x:v>2</x:v>
      </x:c>
      <x:c r="G646" s="17" t="n">
        <x:v>16448.04</x:v>
      </x:c>
      <x:c r="H646" s="17" t="n">
        <x:f>G646*F646</x:f>
        <x:v>32896.08</x:v>
      </x:c>
      <x:c r="I646" s="26" t="str">
        <x:f>HYPERLINK("https://etp-aktiv.ru/catalog/materialy/truboprovody/2000554994-W121/","Открыть позицию")</x:f>
        <x:v>Открыть позицию</x:v>
      </x:c>
    </x:row>
    <x:row r="647" ht="28" customHeight="1">
      <x:c r="A647" s="16" t="str">
        <x:v>Филиал БТСК</x:v>
      </x:c>
      <x:c r="B647" s="16" t="str">
        <x:v>2000555005-W121</x:v>
      </x:c>
      <x:c r="C647" s="16" t="str">
        <x:v>ПЕРЕХОД К СТ20 57*3-32*2 ГОСТ17378-01</x:v>
      </x:c>
      <x:c r="D647" s="16" t="str">
        <x:v>Детали фасонные</x:v>
      </x:c>
      <x:c r="E647" s="16" t="str">
        <x:v>ШТ</x:v>
      </x:c>
      <x:c r="F647" s="25" t="n">
        <x:v>16</x:v>
      </x:c>
      <x:c r="G647" s="17" t="n">
        <x:v>82.35</x:v>
      </x:c>
      <x:c r="H647" s="17" t="n">
        <x:f>G647*F647</x:f>
        <x:v>1317.6</x:v>
      </x:c>
      <x:c r="I647" s="26" t="str">
        <x:f>HYPERLINK("https://etp-aktiv.ru/catalog/materialy/truboprovody/2000555005-W121/","Открыть позицию")</x:f>
        <x:v>Открыть позицию</x:v>
      </x:c>
    </x:row>
    <x:row r="648" ht="28" customHeight="1">
      <x:c r="A648" s="16" t="str">
        <x:v>Филиал БТСК</x:v>
      </x:c>
      <x:c r="B648" s="16" t="str">
        <x:v>2000737730-W121</x:v>
      </x:c>
      <x:c r="C648" s="16" t="str">
        <x:v>ПЕРЕХОД К СТ20 76*5 38 3 ГОСТ17378-01</x:v>
      </x:c>
      <x:c r="D648" s="16" t="str">
        <x:v>Детали фасонные</x:v>
      </x:c>
      <x:c r="E648" s="16" t="str">
        <x:v>ШТ</x:v>
      </x:c>
      <x:c r="F648" s="25" t="n">
        <x:v>1</x:v>
      </x:c>
      <x:c r="G648" s="17" t="n">
        <x:v>155.54999999999998</x:v>
      </x:c>
      <x:c r="H648" s="17" t="n">
        <x:f>G648*F648</x:f>
        <x:v>155.54999999999998</x:v>
      </x:c>
      <x:c r="I648" s="26" t="str">
        <x:f>HYPERLINK("https://etp-aktiv.ru/catalog/materialy/truboprovody/2000737730-W121/","Открыть позицию")</x:f>
        <x:v>Открыть позицию</x:v>
      </x:c>
    </x:row>
    <x:row r="649" ht="28" customHeight="1">
      <x:c r="A649" s="16" t="str">
        <x:v>Филиал БТСК</x:v>
      </x:c>
      <x:c r="B649" s="16" t="str">
        <x:v>2000234418-W121</x:v>
      </x:c>
      <x:c r="C649" s="16" t="str">
        <x:v>ПЕРЕХОД К СТ20 89*3,5 45 2,5 ГОСТ17378-0</x:v>
      </x:c>
      <x:c r="D649" s="16" t="str">
        <x:v>Детали фасонные</x:v>
      </x:c>
      <x:c r="E649" s="16" t="str">
        <x:v>ШТ</x:v>
      </x:c>
      <x:c r="F649" s="25" t="n">
        <x:v>16</x:v>
      </x:c>
      <x:c r="G649" s="17" t="n">
        <x:v>132.67499999999998</x:v>
      </x:c>
      <x:c r="H649" s="17" t="n">
        <x:f>G649*F649</x:f>
        <x:v>2122.7999999999997</x:v>
      </x:c>
      <x:c r="I649" s="26" t="str">
        <x:f>HYPERLINK("https://etp-aktiv.ru/catalog/materialy/truboprovody/2000234418-W121/","Открыть позицию")</x:f>
        <x:v>Открыть позицию</x:v>
      </x:c>
    </x:row>
    <x:row r="650" ht="28" customHeight="1">
      <x:c r="A650" s="16" t="str">
        <x:v>Филиал БТСК</x:v>
      </x:c>
      <x:c r="B650" s="16" t="str">
        <x:v>2000555064-W121</x:v>
      </x:c>
      <x:c r="C650" s="16" t="str">
        <x:v>ПЕРЕХОД ПК СТ20 89*3,5-76*3,5 06</x:v>
      </x:c>
      <x:c r="D650" s="16" t="str">
        <x:v>Детали фасонные</x:v>
      </x:c>
      <x:c r="E650" s="16" t="str">
        <x:v>ШТ</x:v>
      </x:c>
      <x:c r="F650" s="25" t="n">
        <x:v>1</x:v>
      </x:c>
      <x:c r="G650" s="17" t="n">
        <x:v>1517.375</x:v>
      </x:c>
      <x:c r="H650" s="17" t="n">
        <x:f>G650*F650</x:f>
        <x:v>1517.375</x:v>
      </x:c>
      <x:c r="I650" s="26" t="str">
        <x:f>HYPERLINK("https://etp-aktiv.ru/catalog/materialy/truboprovody/2000555064-W121/","Открыть позицию")</x:f>
        <x:v>Открыть позицию</x:v>
      </x:c>
    </x:row>
    <x:row r="651" ht="28" customHeight="1">
      <x:c r="A651" s="16" t="str">
        <x:v>Филиал БТСК</x:v>
      </x:c>
      <x:c r="B651" s="16" t="str">
        <x:v>2000559585-W121</x:v>
      </x:c>
      <x:c r="C651" s="16" t="str">
        <x:v>ПЕРЕХОД СТ20 219*8-108*4 1-ППУ-ОЦ Г30732</x:v>
      </x:c>
      <x:c r="D651" s="16" t="str">
        <x:v>Труб/элем ТИ и Футер</x:v>
      </x:c>
      <x:c r="E651" s="16" t="str">
        <x:v>ШТ</x:v>
      </x:c>
      <x:c r="F651" s="25" t="n">
        <x:v>2</x:v>
      </x:c>
      <x:c r="G651" s="17" t="n">
        <x:v>2051.674</x:v>
      </x:c>
      <x:c r="H651" s="17" t="n">
        <x:f>G651*F651</x:f>
        <x:v>4103.348</x:v>
      </x:c>
      <x:c r="I651" s="26" t="str">
        <x:f>HYPERLINK("https://etp-aktiv.ru/catalog/materialy/truboprovody/2000559585-W121/","Открыть позицию")</x:f>
        <x:v>Открыть позицию</x:v>
      </x:c>
    </x:row>
    <x:row r="652" ht="28" customHeight="1">
      <x:c r="A652" s="16" t="str">
        <x:v>Филиал БТСК</x:v>
      </x:c>
      <x:c r="B652" s="16" t="str">
        <x:v>2000568273-W121</x:v>
      </x:c>
      <x:c r="C652" s="16" t="str">
        <x:v>ПЕРЕХОД Э 09Г2С 159*5-108*4 ОСТ34 10.700</x:v>
      </x:c>
      <x:c r="D652" s="16" t="str">
        <x:v>Детали фасонные</x:v>
      </x:c>
      <x:c r="E652" s="16" t="str">
        <x:v>ШТ</x:v>
      </x:c>
      <x:c r="F652" s="25" t="n">
        <x:v>1</x:v>
      </x:c>
      <x:c r="G652" s="17" t="n">
        <x:v>1705.2428</x:v>
      </x:c>
      <x:c r="H652" s="17" t="n">
        <x:f>G652*F652</x:f>
        <x:v>1705.2428</x:v>
      </x:c>
      <x:c r="I652" s="26" t="str">
        <x:f>HYPERLINK("https://etp-aktiv.ru/catalog/materialy/truboprovody/2000568273-W121/","Открыть позицию")</x:f>
        <x:v>Открыть позицию</x:v>
      </x:c>
    </x:row>
    <x:row r="653" ht="28" customHeight="1">
      <x:c r="A653" s="16" t="str">
        <x:v>Филиал БТСК</x:v>
      </x:c>
      <x:c r="B653" s="16" t="str">
        <x:v>2000555137-W121</x:v>
      </x:c>
      <x:c r="C653" s="16" t="str">
        <x:v>ПЕРЕХОД Э 09Г2С 800*400-2,5 63 34.10.753</x:v>
      </x:c>
      <x:c r="D653" s="16" t="str">
        <x:v>Детали фасонные</x:v>
      </x:c>
      <x:c r="E653" s="16" t="str">
        <x:v>ШТ</x:v>
      </x:c>
      <x:c r="F653" s="25" t="n">
        <x:v>1</x:v>
      </x:c>
      <x:c r="G653" s="17" t="n">
        <x:v>2907.8456</x:v>
      </x:c>
      <x:c r="H653" s="17" t="n">
        <x:f>G653*F653</x:f>
        <x:v>2907.8456</x:v>
      </x:c>
      <x:c r="I653" s="26" t="str">
        <x:f>HYPERLINK("https://etp-aktiv.ru/catalog/materialy/truboprovody/2000555137-W121/","Открыть позицию")</x:f>
        <x:v>Открыть позицию</x:v>
      </x:c>
    </x:row>
    <x:row r="654" ht="28" customHeight="1">
      <x:c r="A654" s="16" t="str">
        <x:v>Филиал БТСК</x:v>
      </x:c>
      <x:c r="B654" s="16" t="str">
        <x:v>2000640644-W121</x:v>
      </x:c>
      <x:c r="C654" s="16" t="str">
        <x:v>ПЕРЕХОД Э 17Г1С 630*10 530 10 ТС-586-37</x:v>
      </x:c>
      <x:c r="D654" s="16" t="str">
        <x:v>Детали фасонные</x:v>
      </x:c>
      <x:c r="E654" s="16" t="str">
        <x:v>ШТ</x:v>
      </x:c>
      <x:c r="F654" s="25" t="n">
        <x:v>2</x:v>
      </x:c>
      <x:c r="G654" s="17" t="n">
        <x:v>6416.8949999999995</x:v>
      </x:c>
      <x:c r="H654" s="17" t="n">
        <x:f>G654*F654</x:f>
        <x:v>12833.789999999999</x:v>
      </x:c>
      <x:c r="I654" s="26" t="str">
        <x:f>HYPERLINK("https://etp-aktiv.ru/catalog/materialy/truboprovody/2000640644-W121/","Открыть позицию")</x:f>
        <x:v>Открыть позицию</x:v>
      </x:c>
    </x:row>
    <x:row r="655" ht="28" customHeight="1">
      <x:c r="A655" s="16" t="str">
        <x:v>Филиал БТСК</x:v>
      </x:c>
      <x:c r="B655" s="16" t="str">
        <x:v>2000555132-W121</x:v>
      </x:c>
      <x:c r="C655" s="16" t="str">
        <x:v>ПЕРЕХОД Э СТ20 426*12-273*10 ГОСТ17378</x:v>
      </x:c>
      <x:c r="D655" s="16" t="str">
        <x:v>Детали фасонные</x:v>
      </x:c>
      <x:c r="E655" s="16" t="str">
        <x:v>ШТ</x:v>
      </x:c>
      <x:c r="F655" s="25" t="n">
        <x:v>2</x:v>
      </x:c>
      <x:c r="G655" s="17" t="n">
        <x:v>7236.125</x:v>
      </x:c>
      <x:c r="H655" s="17" t="n">
        <x:f>G655*F655</x:f>
        <x:v>14472.25</x:v>
      </x:c>
      <x:c r="I655" s="26" t="str">
        <x:f>HYPERLINK("https://etp-aktiv.ru/catalog/materialy/truboprovody/2000555132-W121/","Открыть позицию")</x:f>
        <x:v>Открыть позицию</x:v>
      </x:c>
    </x:row>
    <x:row r="656" ht="28" customHeight="1">
      <x:c r="A656" s="16" t="str">
        <x:v>Филиал БТСК</x:v>
      </x:c>
      <x:c r="B656" s="16" t="str">
        <x:v>2000088451-W121</x:v>
      </x:c>
      <x:c r="C656" s="16" t="str">
        <x:v>РЕЗЬБА D32 ГОСТ6357-81</x:v>
      </x:c>
      <x:c r="D656" s="16" t="str">
        <x:v>Детали фасонные</x:v>
      </x:c>
      <x:c r="E656" s="16" t="str">
        <x:v>ШТ</x:v>
      </x:c>
      <x:c r="F656" s="25" t="n">
        <x:v>10</x:v>
      </x:c>
      <x:c r="G656" s="17" t="n">
        <x:v>2.6717999999999997</x:v>
      </x:c>
      <x:c r="H656" s="17" t="n">
        <x:f>G656*F656</x:f>
        <x:v>26.717999999999996</x:v>
      </x:c>
      <x:c r="I656" s="26" t="str">
        <x:f>HYPERLINK("https://etp-aktiv.ru/catalog/materialy/truboprovody/2000088451-W121/","Открыть позицию")</x:f>
        <x:v>Открыть позицию</x:v>
      </x:c>
    </x:row>
    <x:row r="657" ht="28" customHeight="1">
      <x:c r="A657" s="16" t="str">
        <x:v>Филиал БТСК</x:v>
      </x:c>
      <x:c r="B657" s="16" t="str">
        <x:v>2000221856-W121</x:v>
      </x:c>
      <x:c r="C657" s="16" t="str">
        <x:v>РЕЗЬБА D40 ГОСТ6357-81</x:v>
      </x:c>
      <x:c r="D657" s="16" t="str">
        <x:v>Детали фасонные</x:v>
      </x:c>
      <x:c r="E657" s="16" t="str">
        <x:v>ШТ</x:v>
      </x:c>
      <x:c r="F657" s="25" t="n">
        <x:v>10</x:v>
      </x:c>
      <x:c r="G657" s="17" t="n">
        <x:v>3.0256</x:v>
      </x:c>
      <x:c r="H657" s="17" t="n">
        <x:f>G657*F657</x:f>
        <x:v>30.256</x:v>
      </x:c>
      <x:c r="I657" s="26" t="str">
        <x:f>HYPERLINK("https://etp-aktiv.ru/catalog/materialy/truboprovody/2000221856-W121/","Открыть позицию")</x:f>
        <x:v>Открыть позицию</x:v>
      </x:c>
    </x:row>
    <x:row r="658" ht="28" customHeight="1">
      <x:c r="A658" s="16" t="str">
        <x:v>Филиал БТСК</x:v>
      </x:c>
      <x:c r="B658" s="16" t="str">
        <x:v>2000320340-W121</x:v>
      </x:c>
      <x:c r="C658" s="16" t="str">
        <x:v>РЕЗЬБА ТРУБНАЯ DN25 ГОСТ6357-81</x:v>
      </x:c>
      <x:c r="D658" s="16" t="str">
        <x:v>Детали фасонные</x:v>
      </x:c>
      <x:c r="E658" s="16" t="str">
        <x:v>ШТ</x:v>
      </x:c>
      <x:c r="F658" s="25" t="n">
        <x:v>7</x:v>
      </x:c>
      <x:c r="G658" s="17" t="n">
        <x:v>38.125</x:v>
      </x:c>
      <x:c r="H658" s="17" t="n">
        <x:f>G658*F658</x:f>
        <x:v>266.875</x:v>
      </x:c>
      <x:c r="I658" s="26" t="str">
        <x:f>HYPERLINK("https://etp-aktiv.ru/catalog/materialy/truboprovody/2000320340-W121/","Открыть позицию")</x:f>
        <x:v>Открыть позицию</x:v>
      </x:c>
    </x:row>
    <x:row r="659" ht="28" customHeight="1">
      <x:c r="A659" s="16" t="str">
        <x:v>Филиал БТСК</x:v>
      </x:c>
      <x:c r="B659" s="16" t="str">
        <x:v>2000554665-W121</x:v>
      </x:c>
      <x:c r="C659" s="16" t="str">
        <x:v>СЕКТОР 7,5° Б-159*5-100-2,5 ТС583.001-00</x:v>
      </x:c>
      <x:c r="D659" s="16" t="str">
        <x:v>Детали фасонные</x:v>
      </x:c>
      <x:c r="E659" s="16" t="str">
        <x:v>ШТ</x:v>
      </x:c>
      <x:c r="F659" s="25" t="n">
        <x:v>2</x:v>
      </x:c>
      <x:c r="G659" s="17" t="n">
        <x:v>252.96699999999998</x:v>
      </x:c>
      <x:c r="H659" s="17" t="n">
        <x:f>G659*F659</x:f>
        <x:v>505.93399999999997</x:v>
      </x:c>
      <x:c r="I659" s="26" t="str">
        <x:f>HYPERLINK("https://etp-aktiv.ru/catalog/materialy/truboprovody/2000554665-W121/","Открыть позицию")</x:f>
        <x:v>Открыть позицию</x:v>
      </x:c>
    </x:row>
    <x:row r="660" ht="28" customHeight="1">
      <x:c r="A660" s="16" t="str">
        <x:v>Филиал БТСК</x:v>
      </x:c>
      <x:c r="B660" s="16" t="str">
        <x:v>2000594544-W121</x:v>
      </x:c>
      <x:c r="C660" s="16" t="str">
        <x:v>СОЕДИНИТЕЛЬ ВЕНТТРУБЫ 150ММ ПЛАСТИК</x:v>
      </x:c>
      <x:c r="D660" s="16" t="str">
        <x:v>ЗЧ вентиляц оборуд</x:v>
      </x:c>
      <x:c r="E660" s="16" t="str">
        <x:v>ШТ</x:v>
      </x:c>
      <x:c r="F660" s="25" t="n">
        <x:v>10</x:v>
      </x:c>
      <x:c r="G660" s="17" t="n">
        <x:v>108.6532</x:v>
      </x:c>
      <x:c r="H660" s="17" t="n">
        <x:f>G660*F660</x:f>
        <x:v>1086.532</x:v>
      </x:c>
      <x:c r="I660" s="26" t="str">
        <x:f>HYPERLINK("https://etp-aktiv.ru/catalog/materialy/zapasnye-chasti-promyshlennogo-oborudovaniya/2000594544-W121/","Открыть позицию")</x:f>
        <x:v>Открыть позицию</x:v>
      </x:c>
    </x:row>
    <x:row r="661" ht="28" customHeight="1">
      <x:c r="A661" s="16" t="str">
        <x:v>Филиал БТСК</x:v>
      </x:c>
      <x:c r="B661" s="16" t="str">
        <x:v>2000555200-W121</x:v>
      </x:c>
      <x:c r="C661" s="16" t="str">
        <x:v>ТРОЙНИК 09Г2С 273*11-133*6 027 34.10.764</x:v>
      </x:c>
      <x:c r="D661" s="16" t="str">
        <x:v>Детали фасонные</x:v>
      </x:c>
      <x:c r="E661" s="16" t="str">
        <x:v>ШТ</x:v>
      </x:c>
      <x:c r="F661" s="25" t="n">
        <x:v>4</x:v>
      </x:c>
      <x:c r="G661" s="17" t="n">
        <x:v>5413.75</x:v>
      </x:c>
      <x:c r="H661" s="17" t="n">
        <x:f>G661*F661</x:f>
        <x:v>21655</x:v>
      </x:c>
      <x:c r="I661" s="26" t="str">
        <x:f>HYPERLINK("https://etp-aktiv.ru/catalog/materialy/truboprovody/2000555200-W121/","Открыть позицию")</x:f>
        <x:v>Открыть позицию</x:v>
      </x:c>
    </x:row>
    <x:row r="662" ht="28" customHeight="1">
      <x:c r="A662" s="16" t="str">
        <x:v>Филиал БТСК</x:v>
      </x:c>
      <x:c r="B662" s="16" t="str">
        <x:v>2000555254-W121</x:v>
      </x:c>
      <x:c r="C662" s="16" t="str">
        <x:v>ТРОЙНИК 09Г2С 530*11-219*7 2,5 079</x:v>
      </x:c>
      <x:c r="D662" s="16" t="str">
        <x:v>Детали фасонные</x:v>
      </x:c>
      <x:c r="E662" s="16" t="str">
        <x:v>ШТ</x:v>
      </x:c>
      <x:c r="F662" s="25" t="n">
        <x:v>2</x:v>
      </x:c>
      <x:c r="G662" s="17" t="n">
        <x:v>16088.4206</x:v>
      </x:c>
      <x:c r="H662" s="17" t="n">
        <x:f>G662*F662</x:f>
        <x:v>32176.8412</x:v>
      </x:c>
      <x:c r="I662" s="26" t="str">
        <x:f>HYPERLINK("https://etp-aktiv.ru/catalog/materialy/truboprovody/2000555254-W121/","Открыть позицию")</x:f>
        <x:v>Открыть позицию</x:v>
      </x:c>
    </x:row>
    <x:row r="663" ht="28" customHeight="1">
      <x:c r="A663" s="16" t="str">
        <x:v>Филиал БТСК</x:v>
      </x:c>
      <x:c r="B663" s="16" t="str">
        <x:v>2000555256-W121</x:v>
      </x:c>
      <x:c r="C663" s="16" t="str">
        <x:v>ТРОЙНИК 09Г2С 530*11-273*11 2,5 080</x:v>
      </x:c>
      <x:c r="D663" s="16" t="str">
        <x:v>Детали фасонные</x:v>
      </x:c>
      <x:c r="E663" s="16" t="str">
        <x:v>ШТ</x:v>
      </x:c>
      <x:c r="F663" s="25" t="n">
        <x:v>1</x:v>
      </x:c>
      <x:c r="G663" s="17" t="n">
        <x:v>12157.9588</x:v>
      </x:c>
      <x:c r="H663" s="17" t="n">
        <x:f>G663*F663</x:f>
        <x:v>12157.9588</x:v>
      </x:c>
      <x:c r="I663" s="26" t="str">
        <x:f>HYPERLINK("https://etp-aktiv.ru/catalog/materialy/truboprovody/2000555256-W121/","Открыть позицию")</x:f>
        <x:v>Открыть позицию</x:v>
      </x:c>
    </x:row>
    <x:row r="664" ht="28" customHeight="1">
      <x:c r="A664" s="16" t="str">
        <x:v>Филиал БТСК</x:v>
      </x:c>
      <x:c r="B664" s="16" t="str">
        <x:v>2000555252-W121</x:v>
      </x:c>
      <x:c r="C664" s="16" t="str">
        <x:v>ТРОЙНИК 09Г2С 530-159-2,5 070 ОСТ3410764</x:v>
      </x:c>
      <x:c r="D664" s="16" t="str">
        <x:v>Детали фасонные</x:v>
      </x:c>
      <x:c r="E664" s="16" t="str">
        <x:v>ШТ</x:v>
      </x:c>
      <x:c r="F664" s="25" t="n">
        <x:v>2</x:v>
      </x:c>
      <x:c r="G664" s="17" t="n">
        <x:v>20588.231999999996</x:v>
      </x:c>
      <x:c r="H664" s="17" t="n">
        <x:f>G664*F664</x:f>
        <x:v>41176.46399999999</x:v>
      </x:c>
      <x:c r="I664" s="26" t="str">
        <x:f>HYPERLINK("https://etp-aktiv.ru/catalog/materialy/truboprovody/2000555252-W121/","Открыть позицию")</x:f>
        <x:v>Открыть позицию</x:v>
      </x:c>
    </x:row>
    <x:row r="665" ht="28" customHeight="1">
      <x:c r="A665" s="16" t="str">
        <x:v>Филиал БТСК</x:v>
      </x:c>
      <x:c r="B665" s="16" t="str">
        <x:v>2000555268-W121</x:v>
      </x:c>
      <x:c r="C665" s="16" t="str">
        <x:v>ТРОЙНИК 09Г2С 630*12-219*7 1,6 ТС588.000</x:v>
      </x:c>
      <x:c r="D665" s="16" t="str">
        <x:v>Детали фасонные</x:v>
      </x:c>
      <x:c r="E665" s="16" t="str">
        <x:v>ШТ</x:v>
      </x:c>
      <x:c r="F665" s="25" t="n">
        <x:v>4</x:v>
      </x:c>
      <x:c r="G665" s="17" t="n">
        <x:v>1867.698</x:v>
      </x:c>
      <x:c r="H665" s="17" t="n">
        <x:f>G665*F665</x:f>
        <x:v>7470.792</x:v>
      </x:c>
      <x:c r="I665" s="26" t="str">
        <x:f>HYPERLINK("https://etp-aktiv.ru/catalog/materialy/truboprovody/2000555268-W121/","Открыть позицию")</x:f>
        <x:v>Открыть позицию</x:v>
      </x:c>
    </x:row>
    <x:row r="666" ht="28" customHeight="1">
      <x:c r="A666" s="16" t="str">
        <x:v>Филиал БТСК</x:v>
      </x:c>
      <x:c r="B666" s="16" t="str">
        <x:v>2000487330-W121</x:v>
      </x:c>
      <x:c r="C666" s="16" t="str">
        <x:v>ТРОЙНИК 09Г2С 820*14 630*12 ОСТ36-24-77</x:v>
      </x:c>
      <x:c r="D666" s="16" t="str">
        <x:v>Детали фасонные</x:v>
      </x:c>
      <x:c r="E666" s="16" t="str">
        <x:v>ШТ</x:v>
      </x:c>
      <x:c r="F666" s="25" t="n">
        <x:v>1</x:v>
      </x:c>
      <x:c r="G666" s="17" t="n">
        <x:v>81665.58</x:v>
      </x:c>
      <x:c r="H666" s="17" t="n">
        <x:f>G666*F666</x:f>
        <x:v>81665.58</x:v>
      </x:c>
      <x:c r="I666" s="26" t="str">
        <x:f>HYPERLINK("https://etp-aktiv.ru/catalog/materialy/truboprovody/2000487330-W121/","Открыть позицию")</x:f>
        <x:v>Открыть позицию</x:v>
      </x:c>
    </x:row>
    <x:row r="667" ht="28" customHeight="1">
      <x:c r="A667" s="16" t="str">
        <x:v>Филиал БТСК</x:v>
      </x:c>
      <x:c r="B667" s="16" t="str">
        <x:v>2000555301-W121</x:v>
      </x:c>
      <x:c r="C667" s="16" t="str">
        <x:v>ТРОЙНИК 09Г2С 820-325-2,5 110 34.10.764</x:v>
      </x:c>
      <x:c r="D667" s="16" t="str">
        <x:v>Детали фасонные</x:v>
      </x:c>
      <x:c r="E667" s="16" t="str">
        <x:v>ШТ</x:v>
      </x:c>
      <x:c r="F667" s="25" t="n">
        <x:v>5</x:v>
      </x:c>
      <x:c r="G667" s="17" t="n">
        <x:v>8177.294</x:v>
      </x:c>
      <x:c r="H667" s="17" t="n">
        <x:f>G667*F667</x:f>
        <x:v>40886.47</x:v>
      </x:c>
      <x:c r="I667" s="26" t="str">
        <x:f>HYPERLINK("https://etp-aktiv.ru/catalog/materialy/truboprovody/2000555301-W121/","Открыть позицию")</x:f>
        <x:v>Открыть позицию</x:v>
      </x:c>
    </x:row>
    <x:row r="668" ht="28" customHeight="1">
      <x:c r="A668" s="16" t="str">
        <x:v>Филиал БТСК</x:v>
      </x:c>
      <x:c r="B668" s="16" t="str">
        <x:v>2000568474-W121</x:v>
      </x:c>
      <x:c r="C668" s="16" t="str">
        <x:v>ТРОЙНИК 159*7-76*3 09Г2С ТС588-020ППМИ60</x:v>
      </x:c>
      <x:c r="D668" s="16" t="str">
        <x:v>Труб/элем ТИ и Футер</x:v>
      </x:c>
      <x:c r="E668" s="16" t="str">
        <x:v>ШТ</x:v>
      </x:c>
      <x:c r="F668" s="25" t="n">
        <x:v>2</x:v>
      </x:c>
      <x:c r="G668" s="17" t="n">
        <x:v>19318.1266</x:v>
      </x:c>
      <x:c r="H668" s="17" t="n">
        <x:f>G668*F668</x:f>
        <x:v>38636.2532</x:v>
      </x:c>
      <x:c r="I668" s="26" t="str">
        <x:f>HYPERLINK("https://etp-aktiv.ru/catalog/materialy/truboprovody/2000568474-W121/","Открыть позицию")</x:f>
        <x:v>Открыть позицию</x:v>
      </x:c>
    </x:row>
    <x:row r="669" ht="28" customHeight="1">
      <x:c r="A669" s="16" t="str">
        <x:v>Филиал БТСК</x:v>
      </x:c>
      <x:c r="B669" s="16" t="str">
        <x:v>2000555273-W121</x:v>
      </x:c>
      <x:c r="C669" s="16" t="str">
        <x:v>ТРОЙНИК 17Г1С 630*14-325*10 2,5 Т588-089</x:v>
      </x:c>
      <x:c r="D669" s="16" t="str">
        <x:v>Детали фасонные</x:v>
      </x:c>
      <x:c r="E669" s="16" t="str">
        <x:v>ШТ</x:v>
      </x:c>
      <x:c r="F669" s="25" t="n">
        <x:v>2</x:v>
      </x:c>
      <x:c r="G669" s="17" t="n">
        <x:v>2949.96</x:v>
      </x:c>
      <x:c r="H669" s="17" t="n">
        <x:f>G669*F669</x:f>
        <x:v>5899.92</x:v>
      </x:c>
      <x:c r="I669" s="26" t="str">
        <x:f>HYPERLINK("https://etp-aktiv.ru/catalog/materialy/truboprovody/2000555273-W121/","Открыть позицию")</x:f>
        <x:v>Открыть позицию</x:v>
      </x:c>
    </x:row>
    <x:row r="670" ht="28" customHeight="1">
      <x:c r="A670" s="16" t="str">
        <x:v>Филиал БТСК</x:v>
      </x:c>
      <x:c r="B670" s="16" t="str">
        <x:v>2000568320-W121</x:v>
      </x:c>
      <x:c r="C670" s="16" t="str">
        <x:v>ТРОЙНИК 17Г1С 630*14-325*8 081 34 10.764</x:v>
      </x:c>
      <x:c r="D670" s="16" t="str">
        <x:v>Детали фасонные</x:v>
      </x:c>
      <x:c r="E670" s="16" t="str">
        <x:v>ШТ</x:v>
      </x:c>
      <x:c r="F670" s="25" t="n">
        <x:v>2</x:v>
      </x:c>
      <x:c r="G670" s="17" t="n">
        <x:v>2509.723</x:v>
      </x:c>
      <x:c r="H670" s="17" t="n">
        <x:f>G670*F670</x:f>
        <x:v>5019.446</x:v>
      </x:c>
      <x:c r="I670" s="26" t="str">
        <x:f>HYPERLINK("https://etp-aktiv.ru/catalog/materialy/truboprovody/2000568320-W121/","Открыть позицию")</x:f>
        <x:v>Открыть позицию</x:v>
      </x:c>
    </x:row>
    <x:row r="671" ht="28" customHeight="1">
      <x:c r="A671" s="16" t="str">
        <x:v>Филиал БТСК</x:v>
      </x:c>
      <x:c r="B671" s="16" t="str">
        <x:v>2000568476-W121</x:v>
      </x:c>
      <x:c r="C671" s="16" t="str">
        <x:v>ТРОЙНИК 200-100-4 021 3410764 09Г2С ППМИ</x:v>
      </x:c>
      <x:c r="D671" s="16" t="str">
        <x:v>Труб/элем ТИ и Футер</x:v>
      </x:c>
      <x:c r="E671" s="16" t="str">
        <x:v>ШТ</x:v>
      </x:c>
      <x:c r="F671" s="25" t="n">
        <x:v>2</x:v>
      </x:c>
      <x:c r="G671" s="17" t="n">
        <x:v>35826.52</x:v>
      </x:c>
      <x:c r="H671" s="17" t="n">
        <x:f>G671*F671</x:f>
        <x:v>71653.04</x:v>
      </x:c>
      <x:c r="I671" s="26" t="str">
        <x:f>HYPERLINK("https://etp-aktiv.ru/catalog/materialy/truboprovody/2000568476-W121/","Открыть позицию")</x:f>
        <x:v>Открыть позицию</x:v>
      </x:c>
    </x:row>
    <x:row r="672" ht="28" customHeight="1">
      <x:c r="A672" s="16" t="str">
        <x:v>Филиал БТСК</x:v>
      </x:c>
      <x:c r="B672" s="16" t="str">
        <x:v>2000568475-W121</x:v>
      </x:c>
      <x:c r="C672" s="16" t="str">
        <x:v>ТРОЙНИК 219*9*7 09Г2С ТС-590-06 ППМИ60</x:v>
      </x:c>
      <x:c r="D672" s="16" t="str">
        <x:v>Труб/элем ТИ и Футер</x:v>
      </x:c>
      <x:c r="E672" s="16" t="str">
        <x:v>ШТ</x:v>
      </x:c>
      <x:c r="F672" s="25" t="n">
        <x:v>2</x:v>
      </x:c>
      <x:c r="G672" s="17" t="n">
        <x:v>24543.289</x:v>
      </x:c>
      <x:c r="H672" s="17" t="n">
        <x:f>G672*F672</x:f>
        <x:v>49086.578</x:v>
      </x:c>
      <x:c r="I672" s="26" t="str">
        <x:f>HYPERLINK("https://etp-aktiv.ru/catalog/materialy/truboprovody/2000568475-W121/","Открыть позицию")</x:f>
        <x:v>Открыть позицию</x:v>
      </x:c>
    </x:row>
    <x:row r="673" ht="28" customHeight="1">
      <x:c r="A673" s="16" t="str">
        <x:v>Филиал БТСК</x:v>
      </x:c>
      <x:c r="B673" s="16" t="str">
        <x:v>2000568477-W121</x:v>
      </x:c>
      <x:c r="C673" s="16" t="str">
        <x:v>ТРОЙНИК 500-150-2,5 09Г2С 070 3410764ППУ</x:v>
      </x:c>
      <x:c r="D673" s="16" t="str">
        <x:v>Труб/элем ТИ и Футер</x:v>
      </x:c>
      <x:c r="E673" s="16" t="str">
        <x:v>ШТ</x:v>
      </x:c>
      <x:c r="F673" s="25" t="n">
        <x:v>2</x:v>
      </x:c>
      <x:c r="G673" s="17" t="n">
        <x:v>72860.2056</x:v>
      </x:c>
      <x:c r="H673" s="17" t="n">
        <x:f>G673*F673</x:f>
        <x:v>145720.4112</x:v>
      </x:c>
      <x:c r="I673" s="26" t="str">
        <x:f>HYPERLINK("https://etp-aktiv.ru/catalog/materialy/truboprovody/2000568477-W121/","Открыть позицию")</x:f>
        <x:v>Открыть позицию</x:v>
      </x:c>
    </x:row>
    <x:row r="674" ht="28" customHeight="1">
      <x:c r="A674" s="16" t="str">
        <x:v>Филиал БТСК</x:v>
      </x:c>
      <x:c r="B674" s="16" t="str">
        <x:v>2000568293-W121</x:v>
      </x:c>
      <x:c r="C674" s="16" t="str">
        <x:v>ТРОЙНИК В-20 133*6-108*4 ТС-588.000-016</x:v>
      </x:c>
      <x:c r="D674" s="16" t="str">
        <x:v>Детали фасонные</x:v>
      </x:c>
      <x:c r="E674" s="16" t="str">
        <x:v>ШТ</x:v>
      </x:c>
      <x:c r="F674" s="25" t="n">
        <x:v>2</x:v>
      </x:c>
      <x:c r="G674" s="17" t="n">
        <x:v>3376.35</x:v>
      </x:c>
      <x:c r="H674" s="17" t="n">
        <x:f>G674*F674</x:f>
        <x:v>6752.7</x:v>
      </x:c>
      <x:c r="I674" s="26" t="str">
        <x:f>HYPERLINK("https://etp-aktiv.ru/catalog/materialy/truboprovody/2000568293-W121/","Открыть позицию")</x:f>
        <x:v>Открыть позицию</x:v>
      </x:c>
    </x:row>
    <x:row r="675" ht="28" customHeight="1">
      <x:c r="A675" s="16" t="str">
        <x:v>Филиал БТСК</x:v>
      </x:c>
      <x:c r="B675" s="16" t="str">
        <x:v>2000568295-W121</x:v>
      </x:c>
      <x:c r="C675" s="16" t="str">
        <x:v>ТРОЙНИК В-20 159*7-89*3,5 ТС-588.000-021</x:v>
      </x:c>
      <x:c r="D675" s="16" t="str">
        <x:v>Детали фасонные</x:v>
      </x:c>
      <x:c r="E675" s="16" t="str">
        <x:v>ШТ</x:v>
      </x:c>
      <x:c r="F675" s="25" t="n">
        <x:v>2</x:v>
      </x:c>
      <x:c r="G675" s="17" t="n">
        <x:v>4570.425</x:v>
      </x:c>
      <x:c r="H675" s="17" t="n">
        <x:f>G675*F675</x:f>
        <x:v>9140.85</x:v>
      </x:c>
      <x:c r="I675" s="26" t="str">
        <x:f>HYPERLINK("https://etp-aktiv.ru/catalog/materialy/truboprovody/2000568295-W121/","Открыть позицию")</x:f>
        <x:v>Открыть позицию</x:v>
      </x:c>
    </x:row>
    <x:row r="676" ht="28" customHeight="1">
      <x:c r="A676" s="16" t="str">
        <x:v>Филиал БТСК</x:v>
      </x:c>
      <x:c r="B676" s="16" t="str">
        <x:v>2000568302-W121</x:v>
      </x:c>
      <x:c r="C676" s="16" t="str">
        <x:v>ТРОЙНИК В-20 325*10-57*3 ТС-588.000-036</x:v>
      </x:c>
      <x:c r="D676" s="16" t="str">
        <x:v>Детали фасонные</x:v>
      </x:c>
      <x:c r="E676" s="16" t="str">
        <x:v>ШТ</x:v>
      </x:c>
      <x:c r="F676" s="25" t="n">
        <x:v>2</x:v>
      </x:c>
      <x:c r="G676" s="17" t="n">
        <x:v>6016.125</x:v>
      </x:c>
      <x:c r="H676" s="17" t="n">
        <x:f>G676*F676</x:f>
        <x:v>12032.25</x:v>
      </x:c>
      <x:c r="I676" s="26" t="str">
        <x:f>HYPERLINK("https://etp-aktiv.ru/catalog/materialy/truboprovody/2000568302-W121/","Открыть позицию")</x:f>
        <x:v>Открыть позицию</x:v>
      </x:c>
    </x:row>
    <x:row r="677" ht="28" customHeight="1">
      <x:c r="A677" s="16" t="str">
        <x:v>Филиал БТСК</x:v>
      </x:c>
      <x:c r="B677" s="16" t="str">
        <x:v>2000568288-W121</x:v>
      </x:c>
      <x:c r="C677" s="16" t="str">
        <x:v>ТРОЙНИК В-СТ20 108*6-57*3 ТС-588.000-006</x:v>
      </x:c>
      <x:c r="D677" s="16" t="str">
        <x:v>Детали фасонные</x:v>
      </x:c>
      <x:c r="E677" s="16" t="str">
        <x:v>ШТ</x:v>
      </x:c>
      <x:c r="F677" s="25" t="n">
        <x:v>1</x:v>
      </x:c>
      <x:c r="G677" s="17" t="n">
        <x:v>2363.75</x:v>
      </x:c>
      <x:c r="H677" s="17" t="n">
        <x:f>G677*F677</x:f>
        <x:v>2363.75</x:v>
      </x:c>
      <x:c r="I677" s="26" t="str">
        <x:f>HYPERLINK("https://etp-aktiv.ru/catalog/materialy/truboprovody/2000568288-W121/","Открыть позицию")</x:f>
        <x:v>Открыть позицию</x:v>
      </x:c>
    </x:row>
    <x:row r="678" ht="28" customHeight="1">
      <x:c r="A678" s="16" t="str">
        <x:v>Филиал БТСК</x:v>
      </x:c>
      <x:c r="B678" s="16" t="str">
        <x:v>2000555323-W121</x:v>
      </x:c>
      <x:c r="C678" s="16" t="str">
        <x:v>ТРОЙНИК П 09Г2С 133*6-89*5 ГОСТ17376-01</x:v>
      </x:c>
      <x:c r="D678" s="16" t="str">
        <x:v>Детали фасонные</x:v>
      </x:c>
      <x:c r="E678" s="16" t="str">
        <x:v>ШТ</x:v>
      </x:c>
      <x:c r="F678" s="25" t="n">
        <x:v>6</x:v>
      </x:c>
      <x:c r="G678" s="17" t="n">
        <x:v>1936.75</x:v>
      </x:c>
      <x:c r="H678" s="17" t="n">
        <x:f>G678*F678</x:f>
        <x:v>11620.5</x:v>
      </x:c>
      <x:c r="I678" s="26" t="str">
        <x:f>HYPERLINK("https://etp-aktiv.ru/catalog/materialy/truboprovody/2000555323-W121/","Открыть позицию")</x:f>
        <x:v>Открыть позицию</x:v>
      </x:c>
    </x:row>
    <x:row r="679" ht="28" customHeight="1">
      <x:c r="A679" s="16" t="str">
        <x:v>Филиал БТСК</x:v>
      </x:c>
      <x:c r="B679" s="16" t="str">
        <x:v>2000634618-W121</x:v>
      </x:c>
      <x:c r="C679" s="16" t="str">
        <x:v>ТРОЙНИК П В20 530*11-219*7 ТС588.000-079</x:v>
      </x:c>
      <x:c r="D679" s="16" t="str">
        <x:v>Детали фасонные</x:v>
      </x:c>
      <x:c r="E679" s="16" t="str">
        <x:v>ШТ</x:v>
      </x:c>
      <x:c r="F679" s="25" t="n">
        <x:v>4</x:v>
      </x:c>
      <x:c r="G679" s="17" t="n">
        <x:v>20130</x:v>
      </x:c>
      <x:c r="H679" s="17" t="n">
        <x:f>G679*F679</x:f>
        <x:v>80520</x:v>
      </x:c>
      <x:c r="I679" s="26" t="str">
        <x:f>HYPERLINK("https://etp-aktiv.ru/catalog/materialy/truboprovody/2000634618-W121/","Открыть позицию")</x:f>
        <x:v>Открыть позицию</x:v>
      </x:c>
    </x:row>
    <x:row r="680" ht="28" customHeight="1">
      <x:c r="A680" s="16" t="str">
        <x:v>Филиал БТСК</x:v>
      </x:c>
      <x:c r="B680" s="16" t="str">
        <x:v>2000555321-W121</x:v>
      </x:c>
      <x:c r="C680" s="16" t="str">
        <x:v>ТРОЙНИК П СТ20 108*6-89*6 ГОСТ17376-01</x:v>
      </x:c>
      <x:c r="D680" s="16" t="str">
        <x:v>Детали фасонные</x:v>
      </x:c>
      <x:c r="E680" s="16" t="str">
        <x:v>ШТ</x:v>
      </x:c>
      <x:c r="F680" s="25" t="n">
        <x:v>1</x:v>
      </x:c>
      <x:c r="G680" s="17" t="n">
        <x:v>55.0342</x:v>
      </x:c>
      <x:c r="H680" s="17" t="n">
        <x:f>G680*F680</x:f>
        <x:v>55.0342</x:v>
      </x:c>
      <x:c r="I680" s="26" t="str">
        <x:f>HYPERLINK("https://etp-aktiv.ru/catalog/materialy/truboprovody/2000555321-W121/","Открыть позицию")</x:f>
        <x:v>Открыть позицию</x:v>
      </x:c>
    </x:row>
    <x:row r="681" ht="28" customHeight="1">
      <x:c r="A681" s="16" t="str">
        <x:v>Филиал БТСК</x:v>
      </x:c>
      <x:c r="B681" s="16" t="str">
        <x:v>2000737732-W121</x:v>
      </x:c>
      <x:c r="C681" s="16" t="str">
        <x:v>ТРОЙНИК П СТ20 133*6 108 4 ГОСТ17376-01</x:v>
      </x:c>
      <x:c r="D681" s="16" t="str">
        <x:v>Детали фасонные</x:v>
      </x:c>
      <x:c r="E681" s="16" t="str">
        <x:v>ШТ</x:v>
      </x:c>
      <x:c r="F681" s="25" t="n">
        <x:v>2</x:v>
      </x:c>
      <x:c r="G681" s="17" t="n">
        <x:v>1281</x:v>
      </x:c>
      <x:c r="H681" s="17" t="n">
        <x:f>G681*F681</x:f>
        <x:v>2562</x:v>
      </x:c>
      <x:c r="I681" s="26" t="str">
        <x:f>HYPERLINK("https://etp-aktiv.ru/catalog/materialy/truboprovody/2000737732-W121/","Открыть позицию")</x:f>
        <x:v>Открыть позицию</x:v>
      </x:c>
    </x:row>
    <x:row r="682" ht="28" customHeight="1">
      <x:c r="A682" s="16" t="str">
        <x:v>Филиал БТСК</x:v>
      </x:c>
      <x:c r="B682" s="16" t="str">
        <x:v>2000737733-W121</x:v>
      </x:c>
      <x:c r="C682" s="16" t="str">
        <x:v>ТРОЙНИК П СТ20 133*6 89 3,5 ГОСТ17376-01</x:v>
      </x:c>
      <x:c r="D682" s="16" t="str">
        <x:v>Детали фасонные</x:v>
      </x:c>
      <x:c r="E682" s="16" t="str">
        <x:v>ШТ</x:v>
      </x:c>
      <x:c r="F682" s="25" t="n">
        <x:v>2</x:v>
      </x:c>
      <x:c r="G682" s="17" t="n">
        <x:v>1230.675</x:v>
      </x:c>
      <x:c r="H682" s="17" t="n">
        <x:f>G682*F682</x:f>
        <x:v>2461.35</x:v>
      </x:c>
      <x:c r="I682" s="26" t="str">
        <x:f>HYPERLINK("https://etp-aktiv.ru/catalog/materialy/truboprovody/2000737733-W121/","Открыть позицию")</x:f>
        <x:v>Открыть позицию</x:v>
      </x:c>
    </x:row>
    <x:row r="683" ht="28" customHeight="1">
      <x:c r="A683" s="16" t="str">
        <x:v>Филиал БТСК</x:v>
      </x:c>
      <x:c r="B683" s="16" t="str">
        <x:v>2000559596-W121</x:v>
      </x:c>
      <x:c r="C683" s="16" t="str">
        <x:v>ТРОЙНИК СТ20 108*4-32*4 2-ППУ-ПЭ Г30732</x:v>
      </x:c>
      <x:c r="D683" s="16" t="str">
        <x:v>Труб/элем ТИ и Футер</x:v>
      </x:c>
      <x:c r="E683" s="16" t="str">
        <x:v>ШТ</x:v>
      </x:c>
      <x:c r="F683" s="25" t="n">
        <x:v>3</x:v>
      </x:c>
      <x:c r="G683" s="17" t="n">
        <x:v>1877.3482</x:v>
      </x:c>
      <x:c r="H683" s="17" t="n">
        <x:f>G683*F683</x:f>
        <x:v>5632.044599999999</x:v>
      </x:c>
      <x:c r="I683" s="26" t="str">
        <x:f>HYPERLINK("https://etp-aktiv.ru/catalog/materialy/truboprovody/2000559596-W121/","Открыть позицию")</x:f>
        <x:v>Открыть позицию</x:v>
      </x:c>
    </x:row>
    <x:row r="684" ht="28" customHeight="1">
      <x:c r="A684" s="16" t="str">
        <x:v>Филиал БТСК</x:v>
      </x:c>
      <x:c r="B684" s="16" t="str">
        <x:v>2000555152-W121</x:v>
      </x:c>
      <x:c r="C684" s="16" t="str">
        <x:v>ТРОЙНИК СТ20 108*4-76*3,5 ГОСТ17376-01</x:v>
      </x:c>
      <x:c r="D684" s="16" t="str">
        <x:v>Детали фасонные</x:v>
      </x:c>
      <x:c r="E684" s="16" t="str">
        <x:v>ШТ</x:v>
      </x:c>
      <x:c r="F684" s="25" t="n">
        <x:v>2</x:v>
      </x:c>
      <x:c r="G684" s="17" t="n">
        <x:v>36.6854</x:v>
      </x:c>
      <x:c r="H684" s="17" t="n">
        <x:f>G684*F684</x:f>
        <x:v>73.3708</x:v>
      </x:c>
      <x:c r="I684" s="26" t="str">
        <x:f>HYPERLINK("https://etp-aktiv.ru/catalog/materialy/truboprovody/2000555152-W121/","Открыть позицию")</x:f>
        <x:v>Открыть позицию</x:v>
      </x:c>
    </x:row>
    <x:row r="685" ht="28" customHeight="1">
      <x:c r="A685" s="16" t="str">
        <x:v>Филиал БТСК</x:v>
      </x:c>
      <x:c r="B685" s="16" t="str">
        <x:v>2000555153-W121</x:v>
      </x:c>
      <x:c r="C685" s="16" t="str">
        <x:v>ТРОЙНИК СТ20 108*4-89*4 ГОСТ17376-01</x:v>
      </x:c>
      <x:c r="D685" s="16" t="str">
        <x:v>Детали фасонные</x:v>
      </x:c>
      <x:c r="E685" s="16" t="str">
        <x:v>ШТ</x:v>
      </x:c>
      <x:c r="F685" s="25" t="n">
        <x:v>7</x:v>
      </x:c>
      <x:c r="G685" s="17" t="n">
        <x:v>36.6854</x:v>
      </x:c>
      <x:c r="H685" s="17" t="n">
        <x:f>G685*F685</x:f>
        <x:v>256.7978</x:v>
      </x:c>
      <x:c r="I685" s="26" t="str">
        <x:f>HYPERLINK("https://etp-aktiv.ru/catalog/materialy/truboprovody/2000555153-W121/","Открыть позицию")</x:f>
        <x:v>Открыть позицию</x:v>
      </x:c>
    </x:row>
    <x:row r="686" ht="28" customHeight="1">
      <x:c r="A686" s="16" t="str">
        <x:v>Филиал БТСК</x:v>
      </x:c>
      <x:c r="B686" s="16" t="str">
        <x:v>2000559597-W121</x:v>
      </x:c>
      <x:c r="C686" s="16" t="str">
        <x:v>ТРОЙНИК СТ20 159*6-32*4 1-ППУ-ОЦ Г30732</x:v>
      </x:c>
      <x:c r="D686" s="16" t="str">
        <x:v>Труб/элем ТИ и Футер</x:v>
      </x:c>
      <x:c r="E686" s="16" t="str">
        <x:v>ШТ</x:v>
      </x:c>
      <x:c r="F686" s="25" t="n">
        <x:v>2</x:v>
      </x:c>
      <x:c r="G686" s="17" t="n">
        <x:v>2354.1364</x:v>
      </x:c>
      <x:c r="H686" s="17" t="n">
        <x:f>G686*F686</x:f>
        <x:v>4708.2728</x:v>
      </x:c>
      <x:c r="I686" s="26" t="str">
        <x:f>HYPERLINK("https://etp-aktiv.ru/catalog/materialy/truboprovody/2000559597-W121/","Открыть позицию")</x:f>
        <x:v>Открыть позицию</x:v>
      </x:c>
    </x:row>
    <x:row r="687" ht="28" customHeight="1">
      <x:c r="A687" s="16" t="str">
        <x:v>Филиал БТСК</x:v>
      </x:c>
      <x:c r="B687" s="16" t="str">
        <x:v>2000559598-W121</x:v>
      </x:c>
      <x:c r="C687" s="16" t="str">
        <x:v>ТРОЙНИК СТ20 159*6-32*4 2-ППУ-ПЭ Г30732</x:v>
      </x:c>
      <x:c r="D687" s="16" t="str">
        <x:v>Труб/элем ТИ и Футер</x:v>
      </x:c>
      <x:c r="E687" s="16" t="str">
        <x:v>ШТ</x:v>
      </x:c>
      <x:c r="F687" s="25" t="n">
        <x:v>4</x:v>
      </x:c>
      <x:c r="G687" s="17" t="n">
        <x:v>2212.6408</x:v>
      </x:c>
      <x:c r="H687" s="17" t="n">
        <x:f>G687*F687</x:f>
        <x:v>8850.5632</x:v>
      </x:c>
      <x:c r="I687" s="26" t="str">
        <x:f>HYPERLINK("https://etp-aktiv.ru/catalog/materialy/truboprovody/2000559598-W121/","Открыть позицию")</x:f>
        <x:v>Открыть позицию</x:v>
      </x:c>
    </x:row>
    <x:row r="688" ht="28" customHeight="1">
      <x:c r="A688" s="16" t="str">
        <x:v>Филиал БТСК</x:v>
      </x:c>
      <x:c r="B688" s="16" t="str">
        <x:v>2000304880-W121</x:v>
      </x:c>
      <x:c r="C688" s="16" t="str">
        <x:v>ТРОЙНИК СТ20 219*8 219</x:v>
      </x:c>
      <x:c r="D688" s="16" t="str">
        <x:v>Детали фасонные</x:v>
      </x:c>
      <x:c r="E688" s="16" t="str">
        <x:v>ШТ</x:v>
      </x:c>
      <x:c r="F688" s="25" t="n">
        <x:v>1</x:v>
      </x:c>
      <x:c r="G688" s="17" t="n">
        <x:v>1398.2908</x:v>
      </x:c>
      <x:c r="H688" s="17" t="n">
        <x:f>G688*F688</x:f>
        <x:v>1398.2908</x:v>
      </x:c>
      <x:c r="I688" s="26" t="str">
        <x:f>HYPERLINK("https://etp-aktiv.ru/catalog/materialy/truboprovody/2000304880-W121/","Открыть позицию")</x:f>
        <x:v>Открыть позицию</x:v>
      </x:c>
    </x:row>
    <x:row r="689" ht="28" customHeight="1">
      <x:c r="A689" s="16" t="str">
        <x:v>Филиал БТСК</x:v>
      </x:c>
      <x:c r="B689" s="16" t="str">
        <x:v>2000559599-W121</x:v>
      </x:c>
      <x:c r="C689" s="16" t="str">
        <x:v>ТРОЙНИК СТ20 219*8-32*4 1-ППУ-ОЦ Г30732</x:v>
      </x:c>
      <x:c r="D689" s="16" t="str">
        <x:v>Труб/элем ТИ и Футер</x:v>
      </x:c>
      <x:c r="E689" s="16" t="str">
        <x:v>ШТ</x:v>
      </x:c>
      <x:c r="F689" s="25" t="n">
        <x:v>2</x:v>
      </x:c>
      <x:c r="G689" s="17" t="n">
        <x:v>2973.0546</x:v>
      </x:c>
      <x:c r="H689" s="17" t="n">
        <x:f>G689*F689</x:f>
        <x:v>5946.1092</x:v>
      </x:c>
      <x:c r="I689" s="26" t="str">
        <x:f>HYPERLINK("https://etp-aktiv.ru/catalog/materialy/truboprovody/2000559599-W121/","Открыть позицию")</x:f>
        <x:v>Открыть позицию</x:v>
      </x:c>
    </x:row>
    <x:row r="690" ht="28" customHeight="1">
      <x:c r="A690" s="16" t="str">
        <x:v>Филиал БТСК</x:v>
      </x:c>
      <x:c r="B690" s="16" t="str">
        <x:v>2000591035-W121</x:v>
      </x:c>
      <x:c r="C690" s="16" t="str">
        <x:v>ТРОЙНИК СТ20 219*9-108*4 ТС-588.000-027</x:v>
      </x:c>
      <x:c r="D690" s="16" t="str">
        <x:v>Детали фасонные</x:v>
      </x:c>
      <x:c r="E690" s="16" t="str">
        <x:v>ШТ</x:v>
      </x:c>
      <x:c r="F690" s="25" t="n">
        <x:v>2</x:v>
      </x:c>
      <x:c r="G690" s="17" t="n">
        <x:v>2813.625</x:v>
      </x:c>
      <x:c r="H690" s="17" t="n">
        <x:f>G690*F690</x:f>
        <x:v>5627.25</x:v>
      </x:c>
      <x:c r="I690" s="26" t="str">
        <x:f>HYPERLINK("https://etp-aktiv.ru/catalog/materialy/truboprovody/2000591035-W121/","Открыть позицию")</x:f>
        <x:v>Открыть позицию</x:v>
      </x:c>
    </x:row>
    <x:row r="691" ht="28" customHeight="1">
      <x:c r="A691" s="16" t="str">
        <x:v>Филиал БТСК</x:v>
      </x:c>
      <x:c r="B691" s="16" t="str">
        <x:v>2000555192-W121</x:v>
      </x:c>
      <x:c r="C691" s="16" t="str">
        <x:v>ТРОЙНИК СТ20 219*9-89*3,5 ТС588.000-026</x:v>
      </x:c>
      <x:c r="D691" s="16" t="str">
        <x:v>Детали фасонные</x:v>
      </x:c>
      <x:c r="E691" s="16" t="str">
        <x:v>ШТ</x:v>
      </x:c>
      <x:c r="F691" s="25" t="n">
        <x:v>4</x:v>
      </x:c>
      <x:c r="G691" s="17" t="n">
        <x:v>2661.125</x:v>
      </x:c>
      <x:c r="H691" s="17" t="n">
        <x:f>G691*F691</x:f>
        <x:v>10644.5</x:v>
      </x:c>
      <x:c r="I691" s="26" t="str">
        <x:f>HYPERLINK("https://etp-aktiv.ru/catalog/materialy/truboprovody/2000555192-W121/","Открыть позицию")</x:f>
        <x:v>Открыть позицию</x:v>
      </x:c>
    </x:row>
    <x:row r="692" ht="28" customHeight="1">
      <x:c r="A692" s="16" t="str">
        <x:v>Филиал БТСК</x:v>
      </x:c>
      <x:c r="B692" s="16" t="str">
        <x:v>2000568299-W121</x:v>
      </x:c>
      <x:c r="C692" s="16" t="str">
        <x:v>ТРОЙНИК СТ20 219,1*8,0 ГОСТ17376-2001</x:v>
      </x:c>
      <x:c r="D692" s="16" t="str">
        <x:v>Детали фасонные</x:v>
      </x:c>
      <x:c r="E692" s="16" t="str">
        <x:v>ШТ</x:v>
      </x:c>
      <x:c r="F692" s="25" t="n">
        <x:v>1</x:v>
      </x:c>
      <x:c r="G692" s="17" t="n">
        <x:v>7434.375</x:v>
      </x:c>
      <x:c r="H692" s="17" t="n">
        <x:f>G692*F692</x:f>
        <x:v>7434.375</x:v>
      </x:c>
      <x:c r="I692" s="26" t="str">
        <x:f>HYPERLINK("https://etp-aktiv.ru/catalog/materialy/truboprovody/2000568299-W121/","Открыть позицию")</x:f>
        <x:v>Открыть позицию</x:v>
      </x:c>
    </x:row>
    <x:row r="693" ht="28" customHeight="1">
      <x:c r="A693" s="16" t="str">
        <x:v>Филиал БТСК</x:v>
      </x:c>
      <x:c r="B693" s="16" t="str">
        <x:v>2000649751-W121</x:v>
      </x:c>
      <x:c r="C693" s="16" t="str">
        <x:v>ТРОЙНИК СТ20 325*8-219*8 ГОСТ17376-2001</x:v>
      </x:c>
      <x:c r="D693" s="16" t="str">
        <x:v>Детали фасонные</x:v>
      </x:c>
      <x:c r="E693" s="16" t="str">
        <x:v>ШТ</x:v>
      </x:c>
      <x:c r="F693" s="25" t="n">
        <x:v>7</x:v>
      </x:c>
      <x:c r="G693" s="17" t="n">
        <x:v>8631.5</x:v>
      </x:c>
      <x:c r="H693" s="17" t="n">
        <x:f>G693*F693</x:f>
        <x:v>60420.5</x:v>
      </x:c>
      <x:c r="I693" s="26" t="str">
        <x:f>HYPERLINK("https://etp-aktiv.ru/catalog/materialy/truboprovody/2000649751-W121/","Открыть позицию")</x:f>
        <x:v>Открыть позицию</x:v>
      </x:c>
    </x:row>
    <x:row r="694" ht="28" customHeight="1">
      <x:c r="A694" s="16" t="str">
        <x:v>Филиал БТСК</x:v>
      </x:c>
      <x:c r="B694" s="16" t="str">
        <x:v>2000568308-W121</x:v>
      </x:c>
      <x:c r="C694" s="16" t="str">
        <x:v>ТРОЙНИК СТ20 377*13-108*4 ТС-588.000-048</x:v>
      </x:c>
      <x:c r="D694" s="16" t="str">
        <x:v>Детали фасонные</x:v>
      </x:c>
      <x:c r="E694" s="16" t="str">
        <x:v>ШТ</x:v>
      </x:c>
      <x:c r="F694" s="25" t="n">
        <x:v>2</x:v>
      </x:c>
      <x:c r="G694" s="17" t="n">
        <x:v>783.7768000000001</x:v>
      </x:c>
      <x:c r="H694" s="17" t="n">
        <x:f>G694*F694</x:f>
        <x:v>1567.5536000000002</x:v>
      </x:c>
      <x:c r="I694" s="26" t="str">
        <x:f>HYPERLINK("https://etp-aktiv.ru/catalog/materialy/truboprovody/2000568308-W121/","Открыть позицию")</x:f>
        <x:v>Открыть позицию</x:v>
      </x:c>
    </x:row>
    <x:row r="695" ht="28" customHeight="1">
      <x:c r="A695" s="16" t="str">
        <x:v>Филиал БТСК</x:v>
      </x:c>
      <x:c r="B695" s="16" t="str">
        <x:v>2000568309-W121</x:v>
      </x:c>
      <x:c r="C695" s="16" t="str">
        <x:v>ТРОЙНИК СТ20 377*13-159*5 ТС-588.000-050</x:v>
      </x:c>
      <x:c r="D695" s="16" t="str">
        <x:v>Детали фасонные</x:v>
      </x:c>
      <x:c r="E695" s="16" t="str">
        <x:v>ШТ</x:v>
      </x:c>
      <x:c r="F695" s="25" t="n">
        <x:v>6</x:v>
      </x:c>
      <x:c r="G695" s="17" t="n">
        <x:v>1558.8916</x:v>
      </x:c>
      <x:c r="H695" s="17" t="n">
        <x:f>G695*F695</x:f>
        <x:v>9353.3496</x:v>
      </x:c>
      <x:c r="I695" s="26" t="str">
        <x:f>HYPERLINK("https://etp-aktiv.ru/catalog/materialy/truboprovody/2000568309-W121/","Открыть позицию")</x:f>
        <x:v>Открыть позицию</x:v>
      </x:c>
    </x:row>
    <x:row r="696" ht="28" customHeight="1">
      <x:c r="A696" s="16" t="str">
        <x:v>Филиал БТСК</x:v>
      </x:c>
      <x:c r="B696" s="16" t="str">
        <x:v>2000568310-W121</x:v>
      </x:c>
      <x:c r="C696" s="16" t="str">
        <x:v>ТРОЙНИК СТ20 377*13-325*8 ТС-588.000-055</x:v>
      </x:c>
      <x:c r="D696" s="16" t="str">
        <x:v>Детали фасонные</x:v>
      </x:c>
      <x:c r="E696" s="16" t="str">
        <x:v>ШТ</x:v>
      </x:c>
      <x:c r="F696" s="25" t="n">
        <x:v>2</x:v>
      </x:c>
      <x:c r="G696" s="17" t="n">
        <x:v>2454.8596000000002</x:v>
      </x:c>
      <x:c r="H696" s="17" t="n">
        <x:f>G696*F696</x:f>
        <x:v>4909.7192000000005</x:v>
      </x:c>
      <x:c r="I696" s="26" t="str">
        <x:f>HYPERLINK("https://etp-aktiv.ru/catalog/materialy/truboprovody/2000568310-W121/","Открыть позицию")</x:f>
        <x:v>Открыть позицию</x:v>
      </x:c>
    </x:row>
    <x:row r="697" ht="28" customHeight="1">
      <x:c r="A697" s="16" t="str">
        <x:v>Филиал БТСК</x:v>
      </x:c>
      <x:c r="B697" s="16" t="str">
        <x:v>2000555228-W121</x:v>
      </x:c>
      <x:c r="C697" s="16" t="str">
        <x:v>ТРОЙНИК СТ20 377*13-377*9 ТС 590.000-13</x:v>
      </x:c>
      <x:c r="D697" s="16" t="str">
        <x:v>Детали фасонные</x:v>
      </x:c>
      <x:c r="E697" s="16" t="str">
        <x:v>ШТ</x:v>
      </x:c>
      <x:c r="F697" s="25" t="n">
        <x:v>2</x:v>
      </x:c>
      <x:c r="G697" s="17" t="n">
        <x:v>1454.1424</x:v>
      </x:c>
      <x:c r="H697" s="17" t="n">
        <x:f>G697*F697</x:f>
        <x:v>2908.2848</x:v>
      </x:c>
      <x:c r="I697" s="26" t="str">
        <x:f>HYPERLINK("https://etp-aktiv.ru/catalog/materialy/truboprovody/2000555228-W121/","Открыть позицию")</x:f>
        <x:v>Открыть позицию</x:v>
      </x:c>
    </x:row>
    <x:row r="698" ht="28" customHeight="1">
      <x:c r="A698" s="16" t="str">
        <x:v>Филиал БТСК</x:v>
      </x:c>
      <x:c r="B698" s="16" t="str">
        <x:v>2000568311-W121</x:v>
      </x:c>
      <x:c r="C698" s="16" t="str">
        <x:v>ТРОЙНИК СТ20 377*13-89*3,5 ТС588.000-047</x:v>
      </x:c>
      <x:c r="D698" s="16" t="str">
        <x:v>Детали фасонные</x:v>
      </x:c>
      <x:c r="E698" s="16" t="str">
        <x:v>ШТ</x:v>
      </x:c>
      <x:c r="F698" s="25" t="n">
        <x:v>2</x:v>
      </x:c>
      <x:c r="G698" s="17" t="n">
        <x:v>1539.3837999999998</x:v>
      </x:c>
      <x:c r="H698" s="17" t="n">
        <x:f>G698*F698</x:f>
        <x:v>3078.7675999999997</x:v>
      </x:c>
      <x:c r="I698" s="26" t="str">
        <x:f>HYPERLINK("https://etp-aktiv.ru/catalog/materialy/truboprovody/2000568311-W121/","Открыть позицию")</x:f>
        <x:v>Открыть позицию</x:v>
      </x:c>
    </x:row>
    <x:row r="699" ht="28" customHeight="1">
      <x:c r="A699" s="16" t="str">
        <x:v>Филиал БТСК</x:v>
      </x:c>
      <x:c r="B699" s="16" t="str">
        <x:v>2000555237-W121</x:v>
      </x:c>
      <x:c r="C699" s="16" t="str">
        <x:v>ТРОЙНИК СТ20 426*10-377*9 068 34.10.764</x:v>
      </x:c>
      <x:c r="D699" s="16" t="str">
        <x:v>Детали фасонные</x:v>
      </x:c>
      <x:c r="E699" s="16" t="str">
        <x:v>ШТ</x:v>
      </x:c>
      <x:c r="F699" s="25" t="n">
        <x:v>1</x:v>
      </x:c>
      <x:c r="G699" s="17" t="n">
        <x:v>1724.2869999999998</x:v>
      </x:c>
      <x:c r="H699" s="17" t="n">
        <x:f>G699*F699</x:f>
        <x:v>1724.2869999999998</x:v>
      </x:c>
      <x:c r="I699" s="26" t="str">
        <x:f>HYPERLINK("https://etp-aktiv.ru/catalog/materialy/truboprovody/2000555237-W121/","Открыть позицию")</x:f>
        <x:v>Открыть позицию</x:v>
      </x:c>
    </x:row>
    <x:row r="700" ht="28" customHeight="1">
      <x:c r="A700" s="16" t="str">
        <x:v>Филиал БТСК</x:v>
      </x:c>
      <x:c r="B700" s="16" t="str">
        <x:v>2000649753-W121</x:v>
      </x:c>
      <x:c r="C700" s="16" t="str">
        <x:v>ТРОЙНИК СТ20 76*3,5 ГОСТ17376-01</x:v>
      </x:c>
      <x:c r="D700" s="16" t="str">
        <x:v>Детали фасонные</x:v>
      </x:c>
      <x:c r="E700" s="16" t="str">
        <x:v>ШТ</x:v>
      </x:c>
      <x:c r="F700" s="25" t="n">
        <x:v>2</x:v>
      </x:c>
      <x:c r="G700" s="17" t="n">
        <x:v>138.8604</x:v>
      </x:c>
      <x:c r="H700" s="17" t="n">
        <x:f>G700*F700</x:f>
        <x:v>277.7208</x:v>
      </x:c>
      <x:c r="I700" s="26" t="str">
        <x:f>HYPERLINK("https://etp-aktiv.ru/catalog/materialy/truboprovody/2000649753-W121/","Открыть позицию")</x:f>
        <x:v>Открыть позицию</x:v>
      </x:c>
    </x:row>
    <x:row r="701" ht="28" customHeight="1">
      <x:c r="A701" s="16" t="str">
        <x:v>Филиал БТСК</x:v>
      </x:c>
      <x:c r="B701" s="16" t="str">
        <x:v>2000691683-W121</x:v>
      </x:c>
      <x:c r="C701" s="16" t="str">
        <x:v>ТРОЙНИК СТ20 820*14-426*14 ТС588.000-126</x:v>
      </x:c>
      <x:c r="D701" s="16" t="str">
        <x:v>Детали фасонные</x:v>
      </x:c>
      <x:c r="E701" s="16" t="str">
        <x:v>ШТ</x:v>
      </x:c>
      <x:c r="F701" s="25" t="n">
        <x:v>4</x:v>
      </x:c>
      <x:c r="G701" s="17" t="n">
        <x:v>8359.0618</x:v>
      </x:c>
      <x:c r="H701" s="17" t="n">
        <x:f>G701*F701</x:f>
        <x:v>33436.2472</x:v>
      </x:c>
      <x:c r="I701" s="26" t="str">
        <x:f>HYPERLINK("https://etp-aktiv.ru/catalog/materialy/truboprovody/2000691683-W121/","Открыть позицию")</x:f>
        <x:v>Открыть позицию</x:v>
      </x:c>
    </x:row>
    <x:row r="702" ht="28" customHeight="1">
      <x:c r="A702" s="16" t="str">
        <x:v>Филиал БТСК</x:v>
      </x:c>
      <x:c r="B702" s="16" t="str">
        <x:v>2000263480-W121</x:v>
      </x:c>
      <x:c r="C702" s="16" t="str">
        <x:v>ТРОЙНИК СТ20 89*4-89*4 ГОСТ17376-01</x:v>
      </x:c>
      <x:c r="D702" s="16" t="str">
        <x:v>Детали фасонные</x:v>
      </x:c>
      <x:c r="E702" s="16" t="str">
        <x:v>ШТ</x:v>
      </x:c>
      <x:c r="F702" s="25" t="n">
        <x:v>4</x:v>
      </x:c>
      <x:c r="G702" s="17" t="n">
        <x:v>727.425</x:v>
      </x:c>
      <x:c r="H702" s="17" t="n">
        <x:f>G702*F702</x:f>
        <x:v>2909.7</x:v>
      </x:c>
      <x:c r="I702" s="26" t="str">
        <x:f>HYPERLINK("https://etp-aktiv.ru/catalog/materialy/truboprovody/2000263480-W121/","Открыть позицию")</x:f>
        <x:v>Открыть позицию</x:v>
      </x:c>
    </x:row>
    <x:row r="703" ht="28" customHeight="1">
      <x:c r="A703" s="16" t="str">
        <x:v>Филиал БТСК</x:v>
      </x:c>
      <x:c r="B703" s="16" t="str">
        <x:v>2000557786-W121</x:v>
      </x:c>
      <x:c r="C703" s="16" t="str">
        <x:v>ТРУБА 09Г2С 159*4,5-ППУ-ПЭ ОДК ГОСТ30732</x:v>
      </x:c>
      <x:c r="D703" s="16" t="str">
        <x:v>Труб/элем ТИ и Футер</x:v>
      </x:c>
      <x:c r="E703" s="16" t="str">
        <x:v>ПМ</x:v>
      </x:c>
      <x:c r="F703" s="24" t="n">
        <x:v>28.05</x:v>
      </x:c>
      <x:c r="G703" s="17" t="n">
        <x:v>3355.8662</x:v>
      </x:c>
      <x:c r="H703" s="17" t="n">
        <x:f>G703*F703</x:f>
        <x:v>94132.04691</x:v>
      </x:c>
      <x:c r="I703" s="26" t="str">
        <x:f>HYPERLINK("https://etp-aktiv.ru/catalog/materialy/truboprovody/2000557786-W121/","Открыть позицию")</x:f>
        <x:v>Открыть позицию</x:v>
      </x:c>
    </x:row>
    <x:row r="704" ht="28" customHeight="1">
      <x:c r="A704" s="16" t="str">
        <x:v>Филиал БТСК</x:v>
      </x:c>
      <x:c r="B704" s="16" t="str">
        <x:v>2000896236-W121</x:v>
      </x:c>
      <x:c r="C704" s="16" t="str">
        <x:v>ТРУБА 09Г2С 219*7 2-ППУ-ПЭ ГОСТ30732</x:v>
      </x:c>
      <x:c r="D704" s="16" t="str">
        <x:v>Труб/элем ТИ и Футер</x:v>
      </x:c>
      <x:c r="E704" s="16" t="str">
        <x:v>М</x:v>
      </x:c>
      <x:c r="F704" s="30" t="n">
        <x:v>0.7</x:v>
      </x:c>
      <x:c r="G704" s="17" t="n">
        <x:v>5903.982599999999</x:v>
      </x:c>
      <x:c r="H704" s="17" t="n">
        <x:f>G704*F704</x:f>
        <x:v>4132.78782</x:v>
      </x:c>
      <x:c r="I704" s="26" t="str">
        <x:f>HYPERLINK("https://etp-aktiv.ru/catalog/materialy/truboprovody/2000896236-W121/","Открыть позицию")</x:f>
        <x:v>Открыть позицию</x:v>
      </x:c>
    </x:row>
    <x:row r="705" ht="28" customHeight="1">
      <x:c r="A705" s="16" t="str">
        <x:v>Филиал БТСК</x:v>
      </x:c>
      <x:c r="B705" s="16" t="str">
        <x:v>2000563574-W121</x:v>
      </x:c>
      <x:c r="C705" s="16" t="str">
        <x:v>ТРУБА 1020*10 17Г1С-У ГОСТ20295 ППМИ 70</x:v>
      </x:c>
      <x:c r="D705" s="16" t="str">
        <x:v>Труб/элем ТИ и Футер</x:v>
      </x:c>
      <x:c r="E705" s="16" t="str">
        <x:v>М</x:v>
      </x:c>
      <x:c r="F705" s="25" t="n">
        <x:v>6</x:v>
      </x:c>
      <x:c r="G705" s="17" t="n">
        <x:v>36270.6</x:v>
      </x:c>
      <x:c r="H705" s="17" t="n">
        <x:f>G705*F705</x:f>
        <x:v>217623.59999999998</x:v>
      </x:c>
      <x:c r="I705" s="26" t="str">
        <x:f>HYPERLINK("https://etp-aktiv.ru/catalog/materialy/truboprovody/2000563574-W121/","Открыть позицию")</x:f>
        <x:v>Открыть позицию</x:v>
      </x:c>
    </x:row>
    <x:row r="706" ht="28" customHeight="1">
      <x:c r="A706" s="16" t="str">
        <x:v>Филиал БТСК</x:v>
      </x:c>
      <x:c r="B706" s="16" t="str">
        <x:v>2000582428-W121</x:v>
      </x:c>
      <x:c r="C706" s="16" t="str">
        <x:v>ТРУБА 133*4 09Г2С 14-3-1128 ППМИ48 56227</x:v>
      </x:c>
      <x:c r="D706" s="16" t="str">
        <x:v>Труб/элем ТИ и Футер</x:v>
      </x:c>
      <x:c r="E706" s="16" t="str">
        <x:v>ПМ</x:v>
      </x:c>
      <x:c r="F706" s="24" t="n">
        <x:v>19.4</x:v>
      </x:c>
      <x:c r="G706" s="17" t="n">
        <x:v>3950.2136</x:v>
      </x:c>
      <x:c r="H706" s="17" t="n">
        <x:f>G706*F706</x:f>
        <x:v>76634.14383999999</x:v>
      </x:c>
      <x:c r="I706" s="26" t="str">
        <x:f>HYPERLINK("https://etp-aktiv.ru/catalog/materialy/truboprovody/2000582428-W121/","Открыть позицию")</x:f>
        <x:v>Открыть позицию</x:v>
      </x:c>
    </x:row>
    <x:row r="707" ht="28" customHeight="1">
      <x:c r="A707" s="16" t="str">
        <x:v>Филиал БТСК</x:v>
      </x:c>
      <x:c r="B707" s="16" t="str">
        <x:v>2000568482-W121</x:v>
      </x:c>
      <x:c r="C707" s="16" t="str">
        <x:v>ТРУБА 159*4,5 В-20 ГОСТ8731 ППМИ60 56227</x:v>
      </x:c>
      <x:c r="D707" s="16" t="str">
        <x:v>Труб/элем ТИ и Футер</x:v>
      </x:c>
      <x:c r="E707" s="16" t="str">
        <x:v>ПМ</x:v>
      </x:c>
      <x:c r="F707" s="24" t="n">
        <x:v>7.7</x:v>
      </x:c>
      <x:c r="G707" s="17" t="n">
        <x:v>7053.247</x:v>
      </x:c>
      <x:c r="H707" s="17" t="n">
        <x:f>G707*F707</x:f>
        <x:v>54310.0019</x:v>
      </x:c>
      <x:c r="I707" s="26" t="str">
        <x:f>HYPERLINK("https://etp-aktiv.ru/catalog/materialy/truboprovody/2000568482-W121/","Открыть позицию")</x:f>
        <x:v>Открыть позицию</x:v>
      </x:c>
    </x:row>
    <x:row r="708" ht="28" customHeight="1">
      <x:c r="A708" s="16" t="str">
        <x:v>Филиал БТСК</x:v>
      </x:c>
      <x:c r="B708" s="16" t="str">
        <x:v>2001018827-W121</x:v>
      </x:c>
      <x:c r="C708" s="16" t="str">
        <x:v>ТРУБА 17Г1С 530*7 1-ППУ-ПЭ-СОДК Г30732</x:v>
      </x:c>
      <x:c r="D708" s="16" t="str">
        <x:v>Труб/элем ТИ и Футер</x:v>
      </x:c>
      <x:c r="E708" s="16" t="str">
        <x:v>М</x:v>
      </x:c>
      <x:c r="F708" s="24" t="n">
        <x:v>75.83</x:v>
      </x:c>
      <x:c r="G708" s="17" t="n">
        <x:v>23199.9348</x:v>
      </x:c>
      <x:c r="H708" s="17" t="n">
        <x:f>G708*F708</x:f>
        <x:v>1759251.055884</x:v>
      </x:c>
      <x:c r="I708" s="26" t="str">
        <x:f>HYPERLINK("https://etp-aktiv.ru/catalog/materialy/truboprovody/2001018827-W121/","Открыть позицию")</x:f>
        <x:v>Открыть позицию</x:v>
      </x:c>
    </x:row>
    <x:row r="709" ht="28" customHeight="1">
      <x:c r="A709" s="16" t="str">
        <x:v>Филиал БТСК</x:v>
      </x:c>
      <x:c r="B709" s="16" t="str">
        <x:v>2001024921-W121</x:v>
      </x:c>
      <x:c r="C709" s="16" t="str">
        <x:v>ТРУБА 17Г1С 720*9 1-ППУ-ПЭ-Б ГОСТ30732</x:v>
      </x:c>
      <x:c r="D709" s="16" t="str">
        <x:v>Труб/элем ТИ и Футер</x:v>
      </x:c>
      <x:c r="E709" s="16" t="str">
        <x:v>М</x:v>
      </x:c>
      <x:c r="F709" s="24" t="n">
        <x:v>15.74</x:v>
      </x:c>
      <x:c r="G709" s="17" t="n">
        <x:v>42998.9</x:v>
      </x:c>
      <x:c r="H709" s="17" t="n">
        <x:f>G709*F709</x:f>
        <x:v>676802.686</x:v>
      </x:c>
      <x:c r="I709" s="26" t="str">
        <x:f>HYPERLINK("https://etp-aktiv.ru/catalog/materialy/truboprovody/2001024921-W121/","Открыть позицию")</x:f>
        <x:v>Открыть позицию</x:v>
      </x:c>
    </x:row>
    <x:row r="710" ht="28" customHeight="1">
      <x:c r="A710" s="16" t="str">
        <x:v>Филиал БТСК</x:v>
      </x:c>
      <x:c r="B710" s="16" t="str">
        <x:v>2000747701-W121</x:v>
      </x:c>
      <x:c r="C710" s="16" t="str">
        <x:v>ТРУБА 17Г1С 720*9 1ППУ-ПЭ ГОСТ30732-20</x:v>
      </x:c>
      <x:c r="D710" s="16" t="str">
        <x:v>Труб/элем ТИ и Футер</x:v>
      </x:c>
      <x:c r="E710" s="16" t="str">
        <x:v>М</x:v>
      </x:c>
      <x:c r="F710" s="24" t="n">
        <x:v>24.33</x:v>
      </x:c>
      <x:c r="G710" s="17" t="n">
        <x:v>43240.46</x:v>
      </x:c>
      <x:c r="H710" s="17" t="n">
        <x:f>G710*F710</x:f>
        <x:v>1052040.3917999999</x:v>
      </x:c>
      <x:c r="I710" s="26" t="str">
        <x:f>HYPERLINK("https://etp-aktiv.ru/catalog/materialy/truboprovody/2000747701-W121/","Открыть позицию")</x:f>
        <x:v>Открыть позицию</x:v>
      </x:c>
    </x:row>
    <x:row r="711" ht="28" customHeight="1">
      <x:c r="A711" s="16" t="str">
        <x:v>Филиал БТСК</x:v>
      </x:c>
      <x:c r="B711" s="16" t="str">
        <x:v>2000560610-W121</x:v>
      </x:c>
      <x:c r="C711" s="16" t="str">
        <x:v>ТРУБА 17Г1С 820*10 ГОСТ20295-85</x:v>
      </x:c>
      <x:c r="D711" s="16" t="str">
        <x:v>ТрубЧерСварБольшДиам</x:v>
      </x:c>
      <x:c r="E711" s="16" t="str">
        <x:v>Т</x:v>
      </x:c>
      <x:c r="F711" s="24" t="n">
        <x:v>14.434</x:v>
      </x:c>
      <x:c r="G711" s="17" t="n">
        <x:v>123150.9724</x:v>
      </x:c>
      <x:c r="H711" s="17" t="n">
        <x:f>G711*F711</x:f>
        <x:v>1777561.1356215999</x:v>
      </x:c>
      <x:c r="I711" s="26" t="str">
        <x:f>HYPERLINK("https://etp-aktiv.ru/catalog/materialy/truby-stalnye-i-polimernye/2000560610-W121/","Открыть позицию")</x:f>
        <x:v>Открыть позицию</x:v>
      </x:c>
    </x:row>
    <x:row r="712" ht="28" customHeight="1">
      <x:c r="A712" s="16" t="str">
        <x:v>Филиал БТСК</x:v>
      </x:c>
      <x:c r="B712" s="16" t="str">
        <x:v>2001007957-W121</x:v>
      </x:c>
      <x:c r="C712" s="16" t="str">
        <x:v>ТРУБА 17Г1С-У 1020*10 ТУ14-3-1698-2000</x:v>
      </x:c>
      <x:c r="D712" s="16" t="str">
        <x:v>ТрубЧерСварБольшДиам</x:v>
      </x:c>
      <x:c r="E712" s="16" t="str">
        <x:v>Т</x:v>
      </x:c>
      <x:c r="F712" s="24" t="n">
        <x:v>4.978</x:v>
      </x:c>
      <x:c r="G712" s="17" t="n">
        <x:v>97468.65479999999</x:v>
      </x:c>
      <x:c r="H712" s="17" t="n">
        <x:f>G712*F712</x:f>
        <x:v>485198.9635943999</x:v>
      </x:c>
      <x:c r="I712" s="26" t="str">
        <x:f>HYPERLINK("https://etp-aktiv.ru/catalog/materialy/truby-stalnye-i-polimernye/2001007957-W121/","Открыть позицию")</x:f>
        <x:v>Открыть позицию</x:v>
      </x:c>
    </x:row>
    <x:row r="713" ht="28" customHeight="1">
      <x:c r="A713" s="16" t="str">
        <x:v>Филиал БТСК</x:v>
      </x:c>
      <x:c r="B713" s="16" t="str">
        <x:v>2000633373-W121</x:v>
      </x:c>
      <x:c r="C713" s="16" t="str">
        <x:v>ТРУБА 273*8 СТ20 ГОСТ8732-78 ППМИ 60ММ</x:v>
      </x:c>
      <x:c r="D713" s="16" t="str">
        <x:v>Труб/элем ТИ и Футер</x:v>
      </x:c>
      <x:c r="E713" s="16" t="str">
        <x:v>ПМ</x:v>
      </x:c>
      <x:c r="F713" s="24" t="n">
        <x:v>3.34</x:v>
      </x:c>
      <x:c r="G713" s="17" t="n">
        <x:v>10232.5792</x:v>
      </x:c>
      <x:c r="H713" s="17" t="n">
        <x:f>G713*F713</x:f>
        <x:v>34176.814528</x:v>
      </x:c>
      <x:c r="I713" s="26" t="str">
        <x:f>HYPERLINK("https://etp-aktiv.ru/catalog/materialy/truboprovody/2000633373-W121/","Открыть позицию")</x:f>
        <x:v>Открыть позицию</x:v>
      </x:c>
    </x:row>
    <x:row r="714" ht="28" customHeight="1">
      <x:c r="A714" s="16" t="str">
        <x:v>Филиал БТСК</x:v>
      </x:c>
      <x:c r="B714" s="16" t="str">
        <x:v>2000568488-W121</x:v>
      </x:c>
      <x:c r="C714" s="16" t="str">
        <x:v>ТРУБА 325*8 В-20 ППМИ 60 012.РД-001.03</x:v>
      </x:c>
      <x:c r="D714" s="16" t="str">
        <x:v>Труб/элем ТИ и Футер</x:v>
      </x:c>
      <x:c r="E714" s="16" t="str">
        <x:v>ПМ</x:v>
      </x:c>
      <x:c r="F714" s="24" t="n">
        <x:v>13.74</x:v>
      </x:c>
      <x:c r="G714" s="17" t="n">
        <x:v>13148.610999999999</x:v>
      </x:c>
      <x:c r="H714" s="17" t="n">
        <x:f>G714*F714</x:f>
        <x:v>180661.91514</x:v>
      </x:c>
      <x:c r="I714" s="26" t="str">
        <x:f>HYPERLINK("https://etp-aktiv.ru/catalog/materialy/truboprovody/2000568488-W121/","Открыть позицию")</x:f>
        <x:v>Открыть позицию</x:v>
      </x:c>
    </x:row>
    <x:row r="715" ht="28" customHeight="1">
      <x:c r="A715" s="16" t="str">
        <x:v>Филиал БТСК</x:v>
      </x:c>
      <x:c r="B715" s="16" t="str">
        <x:v>2000649823-W121</x:v>
      </x:c>
      <x:c r="C715" s="16" t="str">
        <x:v>ТРУБА 38*3 В20 ППМИ 40ММ ГОСТР56227</x:v>
      </x:c>
      <x:c r="D715" s="16" t="str">
        <x:v>Труб/элем ТИ и Футер</x:v>
      </x:c>
      <x:c r="E715" s="16" t="str">
        <x:v>ПМ</x:v>
      </x:c>
      <x:c r="F715" s="24" t="n">
        <x:v>34.215999999999994</x:v>
      </x:c>
      <x:c r="G715" s="17" t="n">
        <x:v>3617.91</x:v>
      </x:c>
      <x:c r="H715" s="17" t="n">
        <x:f>G715*F715</x:f>
        <x:v>123790.40855999997</x:v>
      </x:c>
      <x:c r="I715" s="26" t="str">
        <x:f>HYPERLINK("https://etp-aktiv.ru/catalog/materialy/truboprovody/2000649823-W121/","Открыть позицию")</x:f>
        <x:v>Открыть позицию</x:v>
      </x:c>
    </x:row>
    <x:row r="716" ht="28" customHeight="1">
      <x:c r="A716" s="16" t="str">
        <x:v>Филиал БТСК</x:v>
      </x:c>
      <x:c r="B716" s="16" t="str">
        <x:v>2000636092-W121</x:v>
      </x:c>
      <x:c r="C716" s="16" t="str">
        <x:v>ТРУБА 426*8 В20 ППМИ 60ММ 012.РД-001.03</x:v>
      </x:c>
      <x:c r="D716" s="16" t="str">
        <x:v>Труб/элем ТИ и Футер</x:v>
      </x:c>
      <x:c r="E716" s="16" t="str">
        <x:v>ПМ</x:v>
      </x:c>
      <x:c r="F716" s="24" t="n">
        <x:v>11.84</x:v>
      </x:c>
      <x:c r="G716" s="17" t="n">
        <x:v>14827.758</x:v>
      </x:c>
      <x:c r="H716" s="17" t="n">
        <x:f>G716*F716</x:f>
        <x:v>175560.65472</x:v>
      </x:c>
      <x:c r="I716" s="26" t="str">
        <x:f>HYPERLINK("https://etp-aktiv.ru/catalog/materialy/truboprovody/2000636092-W121/","Открыть позицию")</x:f>
        <x:v>Открыть позицию</x:v>
      </x:c>
    </x:row>
    <x:row r="717" ht="28" customHeight="1">
      <x:c r="A717" s="16" t="str">
        <x:v>Филиал БТСК</x:v>
      </x:c>
      <x:c r="B717" s="16" t="str">
        <x:v>2000568490-W121</x:v>
      </x:c>
      <x:c r="C717" s="16" t="str">
        <x:v>ТРУБА 426*9 В-20 ППМИ60 012.РД-001.03</x:v>
      </x:c>
      <x:c r="D717" s="16" t="str">
        <x:v>Труб/элем ТИ и Футер</x:v>
      </x:c>
      <x:c r="E717" s="16" t="str">
        <x:v>ПМ</x:v>
      </x:c>
      <x:c r="F717" s="24" t="n">
        <x:v>2.3</x:v>
      </x:c>
      <x:c r="G717" s="17" t="n">
        <x:v>2656.4768</x:v>
      </x:c>
      <x:c r="H717" s="17" t="n">
        <x:f>G717*F717</x:f>
        <x:v>6109.896639999999</x:v>
      </x:c>
      <x:c r="I717" s="26" t="str">
        <x:f>HYPERLINK("https://etp-aktiv.ru/catalog/materialy/truboprovody/2000568490-W121/","Открыть позицию")</x:f>
        <x:v>Открыть позицию</x:v>
      </x:c>
    </x:row>
    <x:row r="718" ht="28" customHeight="1">
      <x:c r="A718" s="16" t="str">
        <x:v>Филиал БТСК</x:v>
      </x:c>
      <x:c r="B718" s="16" t="str">
        <x:v>2000649822-W121</x:v>
      </x:c>
      <x:c r="C718" s="16" t="str">
        <x:v>ТРУБА 45*3 СТ20 ППМИ 40ММ ГОСТР56227</x:v>
      </x:c>
      <x:c r="D718" s="16" t="str">
        <x:v>Труб/элем ТИ и Футер</x:v>
      </x:c>
      <x:c r="E718" s="16" t="str">
        <x:v>ПМ</x:v>
      </x:c>
      <x:c r="F718" s="24" t="n">
        <x:v>8.7</x:v>
      </x:c>
      <x:c r="G718" s="17" t="n">
        <x:v>1405.8303999999998</x:v>
      </x:c>
      <x:c r="H718" s="17" t="n">
        <x:f>G718*F718</x:f>
        <x:v>12230.724479999997</x:v>
      </x:c>
      <x:c r="I718" s="26" t="str">
        <x:f>HYPERLINK("https://etp-aktiv.ru/catalog/materialy/truboprovody/2000649822-W121/","Открыть позицию")</x:f>
        <x:v>Открыть позицию</x:v>
      </x:c>
    </x:row>
    <x:row r="719" ht="28" customHeight="1">
      <x:c r="A719" s="16" t="str">
        <x:v>Филиал БТСК</x:v>
      </x:c>
      <x:c r="B719" s="16" t="str">
        <x:v>2000798047-W121</x:v>
      </x:c>
      <x:c r="C719" s="16" t="str">
        <x:v>ТРУБА Б/Ш СТ20 76*4 ГОСТ8734-75</x:v>
      </x:c>
      <x:c r="D719" s="16" t="str">
        <x:v>Трубы черные бесшов</x:v>
      </x:c>
      <x:c r="E719" s="16" t="str">
        <x:v>Т</x:v>
      </x:c>
      <x:c r="F719" s="30" t="n">
        <x:v>0.074</x:v>
      </x:c>
      <x:c r="G719" s="17" t="n">
        <x:v>125812.5</x:v>
      </x:c>
      <x:c r="H719" s="17" t="n">
        <x:f>G719*F719</x:f>
        <x:v>9310.125</x:v>
      </x:c>
      <x:c r="I719" s="26" t="str">
        <x:f>HYPERLINK("https://etp-aktiv.ru/catalog/materialy/truby-stalnye-i-polimernye/2000798047-W121/","Открыть позицию")</x:f>
        <x:v>Открыть позицию</x:v>
      </x:c>
    </x:row>
    <x:row r="720" ht="28" customHeight="1">
      <x:c r="A720" s="16" t="str">
        <x:v>Филиал БТСК</x:v>
      </x:c>
      <x:c r="B720" s="16" t="str">
        <x:v>2000140832-W121</x:v>
      </x:c>
      <x:c r="C720" s="16" t="str">
        <x:v>ТРУБА Б/Ш СТ20 Г/Д 219*7 ГОСТ8732-78</x:v>
      </x:c>
      <x:c r="D720" s="16" t="str">
        <x:v>Трубы черные бесшов</x:v>
      </x:c>
      <x:c r="E720" s="16" t="str">
        <x:v>Т</x:v>
      </x:c>
      <x:c r="F720" s="30" t="n">
        <x:v>0.117</x:v>
      </x:c>
      <x:c r="G720" s="17" t="n">
        <x:v>62143.201</x:v>
      </x:c>
      <x:c r="H720" s="17" t="n">
        <x:f>G720*F720</x:f>
        <x:v>7270.754517</x:v>
      </x:c>
      <x:c r="I720" s="26" t="str">
        <x:f>HYPERLINK("https://etp-aktiv.ru/catalog/materialy/truby-stalnye-i-polimernye/2000140832-W121/","Открыть позицию")</x:f>
        <x:v>Открыть позицию</x:v>
      </x:c>
    </x:row>
    <x:row r="721" ht="28" customHeight="1">
      <x:c r="A721" s="16" t="str">
        <x:v>Филиал БТСК</x:v>
      </x:c>
      <x:c r="B721" s="16" t="str">
        <x:v>2000141676-W121</x:v>
      </x:c>
      <x:c r="C721" s="16" t="str">
        <x:v>ТРУБА Б/Ш СТ20 Г/Д 76*3,5 ГОСТ8732-78</x:v>
      </x:c>
      <x:c r="D721" s="16" t="str">
        <x:v>Трубы черные бесшов</x:v>
      </x:c>
      <x:c r="E721" s="16" t="str">
        <x:v>Т</x:v>
      </x:c>
      <x:c r="F721" s="30" t="n">
        <x:v>0.059</x:v>
      </x:c>
      <x:c r="G721" s="17" t="n">
        <x:v>81238.66540000001</x:v>
      </x:c>
      <x:c r="H721" s="17" t="n">
        <x:f>G721*F721</x:f>
        <x:v>4793.0812586</x:v>
      </x:c>
      <x:c r="I721" s="26" t="str">
        <x:f>HYPERLINK("https://etp-aktiv.ru/catalog/materialy/truby-stalnye-i-polimernye/2000141676-W121/","Открыть позицию")</x:f>
        <x:v>Открыть позицию</x:v>
      </x:c>
    </x:row>
    <x:row r="722" ht="28" customHeight="1">
      <x:c r="A722" s="16" t="str">
        <x:v>Филиал БТСК</x:v>
      </x:c>
      <x:c r="B722" s="16" t="str">
        <x:v>2000560530-W121</x:v>
      </x:c>
      <x:c r="C722" s="16" t="str">
        <x:v>ТРУБА В-СТ20 45*3 ГОСТ10705-80</x:v>
      </x:c>
      <x:c r="D722" s="16" t="str">
        <x:v>ТрбЧерСварМалСрдДиам</x:v>
      </x:c>
      <x:c r="E722" s="16" t="str">
        <x:v>Т</x:v>
      </x:c>
      <x:c r="F722" s="30" t="n">
        <x:v>0.165</x:v>
      </x:c>
      <x:c r="G722" s="17" t="n">
        <x:v>152499.9512</x:v>
      </x:c>
      <x:c r="H722" s="17" t="n">
        <x:f>G722*F722</x:f>
        <x:v>25162.491948000003</x:v>
      </x:c>
      <x:c r="I722" s="26" t="str">
        <x:f>HYPERLINK("https://etp-aktiv.ru/catalog/materialy/truby-stalnye-i-polimernye/2000560530-W121/","Открыть позицию")</x:f>
        <x:v>Открыть позицию</x:v>
      </x:c>
    </x:row>
    <x:row r="723" ht="28" customHeight="1">
      <x:c r="A723" s="16" t="str">
        <x:v>Филиал БТСК</x:v>
      </x:c>
      <x:c r="B723" s="16" t="str">
        <x:v>2000557811-W121</x:v>
      </x:c>
      <x:c r="C723" s="16" t="str">
        <x:v>ТРУБА ВГП Н СТ3 15*3,2 ГОСТ3262-75</x:v>
      </x:c>
      <x:c r="D723" s="16" t="str">
        <x:v>ТрбЧерСварМалСрдДиам</x:v>
      </x:c>
      <x:c r="E723" s="16" t="str">
        <x:v>Т</x:v>
      </x:c>
      <x:c r="F723" s="30" t="n">
        <x:v>0.012</x:v>
      </x:c>
      <x:c r="G723" s="17" t="n">
        <x:v>54687.268599999996</x:v>
      </x:c>
      <x:c r="H723" s="17" t="n">
        <x:f>G723*F723</x:f>
        <x:v>656.2472232</x:v>
      </x:c>
      <x:c r="I723" s="26" t="str">
        <x:f>HYPERLINK("https://etp-aktiv.ru/catalog/materialy/truby-stalnye-i-polimernye/2000557811-W121/","Открыть позицию")</x:f>
        <x:v>Открыть позицию</x:v>
      </x:c>
    </x:row>
    <x:row r="724" ht="28" customHeight="1">
      <x:c r="A724" s="16" t="str">
        <x:v>Филиал БТСК</x:v>
      </x:c>
      <x:c r="B724" s="16" t="str">
        <x:v>2000635966-W121</x:v>
      </x:c>
      <x:c r="C724" s="16" t="str">
        <x:v>ТРУБА З-Т 17Г1С 630*8 К52 ГОСТ20295-85</x:v>
      </x:c>
      <x:c r="D724" s="16" t="str">
        <x:v>ТрубЧерСварБольшДиам</x:v>
      </x:c>
      <x:c r="E724" s="16" t="str">
        <x:v>Т</x:v>
      </x:c>
      <x:c r="F724" s="30" t="n">
        <x:v>0.592</x:v>
      </x:c>
      <x:c r="G724" s="17" t="n">
        <x:v>119966.6626</x:v>
      </x:c>
      <x:c r="H724" s="17" t="n">
        <x:f>G724*F724</x:f>
        <x:v>71020.26425919999</x:v>
      </x:c>
      <x:c r="I724" s="26" t="str">
        <x:f>HYPERLINK("https://etp-aktiv.ru/catalog/materialy/truby-stalnye-i-polimernye/2000635966-W121/","Открыть позицию")</x:f>
        <x:v>Открыть позицию</x:v>
      </x:c>
    </x:row>
    <x:row r="725" ht="28" customHeight="1">
      <x:c r="A725" s="16" t="str">
        <x:v>Филиал БТСК</x:v>
      </x:c>
      <x:c r="B725" s="16" t="str">
        <x:v>2001020081-W121</x:v>
      </x:c>
      <x:c r="C725" s="16" t="str">
        <x:v>ТРУБА СТ20 159*4,5 1ППУОЦ СОДК ГОСТ30732</x:v>
      </x:c>
      <x:c r="D725" s="16" t="str">
        <x:v>Труб/элем ТИ и Футер</x:v>
      </x:c>
      <x:c r="E725" s="16" t="str">
        <x:v>М</x:v>
      </x:c>
      <x:c r="F725" s="25" t="n">
        <x:v>95</x:v>
      </x:c>
      <x:c r="G725" s="17" t="n">
        <x:v>3167.12</x:v>
      </x:c>
      <x:c r="H725" s="17" t="n">
        <x:f>G725*F725</x:f>
        <x:v>300876.39999999997</x:v>
      </x:c>
      <x:c r="I725" s="26" t="str">
        <x:f>HYPERLINK("https://etp-aktiv.ru/catalog/materialy/truboprovody/2001020081-W121/","Открыть позицию")</x:f>
        <x:v>Открыть позицию</x:v>
      </x:c>
    </x:row>
    <x:row r="726" ht="28" customHeight="1">
      <x:c r="A726" s="16" t="str">
        <x:v>Филиал БТСК</x:v>
      </x:c>
      <x:c r="B726" s="16" t="str">
        <x:v>2000560161-W121</x:v>
      </x:c>
      <x:c r="C726" s="16" t="str">
        <x:v>ТРУБА СТ20 18*2 ГОСТ8733-74</x:v>
      </x:c>
      <x:c r="D726" s="16" t="str">
        <x:v>Трубы черные бесшов</x:v>
      </x:c>
      <x:c r="E726" s="16" t="str">
        <x:v>Т</x:v>
      </x:c>
      <x:c r="F726" s="30" t="n">
        <x:v>0.011</x:v>
      </x:c>
      <x:c r="G726" s="17" t="n">
        <x:v>167749.45099999997</x:v>
      </x:c>
      <x:c r="H726" s="17" t="n">
        <x:f>G726*F726</x:f>
        <x:v>1845.2439609999997</x:v>
      </x:c>
      <x:c r="I726" s="26" t="str">
        <x:f>HYPERLINK("https://etp-aktiv.ru/catalog/materialy/truby-stalnye-i-polimernye/2000560161-W121/","Открыть позицию")</x:f>
        <x:v>Открыть позицию</x:v>
      </x:c>
    </x:row>
    <x:row r="727" ht="28" customHeight="1">
      <x:c r="A727" s="16" t="str">
        <x:v>Филиал БТСК</x:v>
      </x:c>
      <x:c r="B727" s="16" t="str">
        <x:v>2000560517-W121</x:v>
      </x:c>
      <x:c r="C727" s="16" t="str">
        <x:v>ТРУБА СТ20 377*9 ГОСТ10705-80</x:v>
      </x:c>
      <x:c r="D727" s="16" t="str">
        <x:v>ТрбЧерСварМалСрдДиам</x:v>
      </x:c>
      <x:c r="E727" s="16" t="str">
        <x:v>Т</x:v>
      </x:c>
      <x:c r="F727" s="30" t="n">
        <x:v>0.083</x:v>
      </x:c>
      <x:c r="G727" s="17" t="n">
        <x:v>46512.5366</x:v>
      </x:c>
      <x:c r="H727" s="17" t="n">
        <x:f>G727*F727</x:f>
        <x:v>3860.5405378</x:v>
      </x:c>
      <x:c r="I727" s="26" t="str">
        <x:f>HYPERLINK("https://etp-aktiv.ru/catalog/materialy/truby-stalnye-i-polimernye/2000560517-W121/","Открыть позицию")</x:f>
        <x:v>Открыть позицию</x:v>
      </x:c>
    </x:row>
    <x:row r="728" ht="28" customHeight="1">
      <x:c r="A728" s="16" t="str">
        <x:v>Филиал БТСК</x:v>
      </x:c>
      <x:c r="B728" s="16" t="str">
        <x:v>2000560235-W121</x:v>
      </x:c>
      <x:c r="C728" s="16" t="str">
        <x:v>ТРУБА СТ20 377*9 ГОСТ8731-74</x:v>
      </x:c>
      <x:c r="D728" s="16" t="str">
        <x:v>Трубы черные бесшов</x:v>
      </x:c>
      <x:c r="E728" s="16" t="str">
        <x:v>Т</x:v>
      </x:c>
      <x:c r="F728" s="30" t="n">
        <x:v>0.119</x:v>
      </x:c>
      <x:c r="G728" s="17" t="n">
        <x:v>65955.5058</x:v>
      </x:c>
      <x:c r="H728" s="17" t="n">
        <x:f>G728*F728</x:f>
        <x:v>7848.705190199999</x:v>
      </x:c>
      <x:c r="I728" s="26" t="str">
        <x:f>HYPERLINK("https://etp-aktiv.ru/catalog/materialy/truby-stalnye-i-polimernye/2000560235-W121/","Открыть позицию")</x:f>
        <x:v>Открыть позицию</x:v>
      </x:c>
    </x:row>
    <x:row r="729" ht="28" customHeight="1">
      <x:c r="A729" s="16" t="str">
        <x:v>Филиал БТСК</x:v>
      </x:c>
      <x:c r="B729" s="16" t="str">
        <x:v>2001007926-W121</x:v>
      </x:c>
      <x:c r="C729" s="16" t="str">
        <x:v>ТРУБА СТ20 57*4 ГОСТ8733-74</x:v>
      </x:c>
      <x:c r="D729" s="16" t="str">
        <x:v>Трубы черные бесшов</x:v>
      </x:c>
      <x:c r="E729" s="16" t="str">
        <x:v>Т</x:v>
      </x:c>
      <x:c r="F729" s="30" t="n">
        <x:v>0.002</x:v>
      </x:c>
      <x:c r="G729" s="17" t="n">
        <x:v>125812.5</x:v>
      </x:c>
      <x:c r="H729" s="17" t="n">
        <x:f>G729*F729</x:f>
        <x:v>251.625</x:v>
      </x:c>
      <x:c r="I729" s="26" t="str">
        <x:f>HYPERLINK("https://etp-aktiv.ru/catalog/materialy/truby-stalnye-i-polimernye/2001007926-W121/","Открыть позицию")</x:f>
        <x:v>Открыть позицию</x:v>
      </x:c>
    </x:row>
    <x:row r="730" ht="28" customHeight="1">
      <x:c r="A730" s="16" t="str">
        <x:v>Филиал БТСК</x:v>
      </x:c>
      <x:c r="B730" s="16" t="str">
        <x:v>2000182972-W121</x:v>
      </x:c>
      <x:c r="C730" s="16" t="str">
        <x:v>ТРУБА СТ20 76*3 ГОСТ10705-80</x:v>
      </x:c>
      <x:c r="D730" s="16" t="str">
        <x:v>ТрбЧерСварМалСрдДиам</x:v>
      </x:c>
      <x:c r="E730" s="16" t="str">
        <x:v>Т</x:v>
      </x:c>
      <x:c r="F730" s="30" t="n">
        <x:v>0.06</x:v>
      </x:c>
      <x:c r="G730" s="17" t="n">
        <x:v>86925</x:v>
      </x:c>
      <x:c r="H730" s="17" t="n">
        <x:f>G730*F730</x:f>
        <x:v>5215.5</x:v>
      </x:c>
      <x:c r="I730" s="26" t="str">
        <x:f>HYPERLINK("https://etp-aktiv.ru/catalog/materialy/truby-stalnye-i-polimernye/2000182972-W121/","Открыть позицию")</x:f>
        <x:v>Открыть позицию</x:v>
      </x:c>
    </x:row>
    <x:row r="731" ht="28" customHeight="1">
      <x:c r="A731" s="16" t="str">
        <x:v>Филиал БТСК</x:v>
      </x:c>
      <x:c r="B731" s="16" t="str">
        <x:v>2000188327-W121</x:v>
      </x:c>
      <x:c r="C731" s="16" t="str">
        <x:v>ТРУБА СТ20 76*3,5 ГОСТ10705-80</x:v>
      </x:c>
      <x:c r="D731" s="16" t="str">
        <x:v>ТрбЧерСварМалСрдДиам</x:v>
      </x:c>
      <x:c r="E731" s="16" t="str">
        <x:v>Т</x:v>
      </x:c>
      <x:c r="F731" s="24" t="n">
        <x:v>1.97</x:v>
      </x:c>
      <x:c r="G731" s="17" t="n">
        <x:v>78189.8</x:v>
      </x:c>
      <x:c r="H731" s="17" t="n">
        <x:f>G731*F731</x:f>
        <x:v>154033.90600000002</x:v>
      </x:c>
      <x:c r="I731" s="26" t="str">
        <x:f>HYPERLINK("https://etp-aktiv.ru/catalog/materialy/truby-stalnye-i-polimernye/2000188327-W121/","Открыть позицию")</x:f>
        <x:v>Открыть позицию</x:v>
      </x:c>
    </x:row>
    <x:row r="732" ht="28" customHeight="1">
      <x:c r="A732" s="16" t="str">
        <x:v>Филиал БТСК</x:v>
      </x:c>
      <x:c r="B732" s="16" t="str">
        <x:v>2000560298-W121</x:v>
      </x:c>
      <x:c r="C732" s="16" t="str">
        <x:v>ТРУБА СТ20 76*6 ГОСТ8731-74</x:v>
      </x:c>
      <x:c r="D732" s="16" t="str">
        <x:v>Трубы черные бесшов</x:v>
      </x:c>
      <x:c r="E732" s="16" t="str">
        <x:v>Т</x:v>
      </x:c>
      <x:c r="F732" s="30" t="n">
        <x:v>0.082</x:v>
      </x:c>
      <x:c r="G732" s="17" t="n">
        <x:v>64770.7272</x:v>
      </x:c>
      <x:c r="H732" s="17" t="n">
        <x:f>G732*F732</x:f>
        <x:v>5311.1996304</x:v>
      </x:c>
      <x:c r="I732" s="26" t="str">
        <x:f>HYPERLINK("https://etp-aktiv.ru/catalog/materialy/truby-stalnye-i-polimernye/2000560298-W121/","Открыть позицию")</x:f>
        <x:v>Открыть позицию</x:v>
      </x:c>
    </x:row>
    <x:row r="733" ht="28" customHeight="1">
      <x:c r="A733" s="16" t="str">
        <x:v>Филиал БТСК</x:v>
      </x:c>
      <x:c r="B733" s="16" t="str">
        <x:v>2001020169-W121</x:v>
      </x:c>
      <x:c r="C733" s="16" t="str">
        <x:v>ТРУБА СТ20 89*4 1-ППУ-ОЦ СОДК ГОСТ30732</x:v>
      </x:c>
      <x:c r="D733" s="16" t="str">
        <x:v>Труб/элем ТИ и Футер</x:v>
      </x:c>
      <x:c r="E733" s="16" t="str">
        <x:v>М</x:v>
      </x:c>
      <x:c r="F733" s="24" t="n">
        <x:v>11.64</x:v>
      </x:c>
      <x:c r="G733" s="17" t="n">
        <x:v>1535.9068</x:v>
      </x:c>
      <x:c r="H733" s="17" t="n">
        <x:f>G733*F733</x:f>
        <x:v>17877.955152000002</x:v>
      </x:c>
      <x:c r="I733" s="26" t="str">
        <x:f>HYPERLINK("https://etp-aktiv.ru/catalog/materialy/truboprovody/2001020169-W121/","Открыть позицию")</x:f>
        <x:v>Открыть позицию</x:v>
      </x:c>
    </x:row>
    <x:row r="734" ht="28" customHeight="1">
      <x:c r="A734" s="16" t="str">
        <x:v>Филиал БТСК</x:v>
      </x:c>
      <x:c r="B734" s="16" t="str">
        <x:v>2000896291-W121</x:v>
      </x:c>
      <x:c r="C734" s="16" t="str">
        <x:v>ТРУБА Э/С 09Г2С 219*6 ГОСТ10705-80</x:v>
      </x:c>
      <x:c r="D734" s="16" t="str">
        <x:v>ТрбЧерСварМалСрдДиам</x:v>
      </x:c>
      <x:c r="E734" s="16" t="str">
        <x:v>Т</x:v>
      </x:c>
      <x:c r="F734" s="30" t="n">
        <x:v>0.126</x:v>
      </x:c>
      <x:c r="G734" s="17" t="n">
        <x:v>62525</x:v>
      </x:c>
      <x:c r="H734" s="17" t="n">
        <x:f>G734*F734</x:f>
        <x:v>7878.15</x:v>
      </x:c>
      <x:c r="I734" s="26" t="str">
        <x:f>HYPERLINK("https://etp-aktiv.ru/catalog/materialy/truby-stalnye-i-polimernye/2000896291-W121/","Открыть позицию")</x:f>
        <x:v>Открыть позицию</x:v>
      </x:c>
    </x:row>
    <x:row r="735" ht="28" customHeight="1">
      <x:c r="A735" s="16" t="str">
        <x:v>Филиал БТСК</x:v>
      </x:c>
      <x:c r="B735" s="16" t="str">
        <x:v>2000747094-W121</x:v>
      </x:c>
      <x:c r="C735" s="16" t="str">
        <x:v>ТРУБА Э/С П/Ш СТ20 820*12 ГОСТ10706-76</x:v>
      </x:c>
      <x:c r="D735" s="16" t="str">
        <x:v>ТрубЧерСварБольшДиам</x:v>
      </x:c>
      <x:c r="E735" s="16" t="str">
        <x:v>Т</x:v>
      </x:c>
      <x:c r="F735" s="25" t="n">
        <x:v>1</x:v>
      </x:c>
      <x:c r="G735" s="17" t="n">
        <x:v>76105.0884</x:v>
      </x:c>
      <x:c r="H735" s="17" t="n">
        <x:f>G735*F735</x:f>
        <x:v>76105.0884</x:v>
      </x:c>
      <x:c r="I735" s="26" t="str">
        <x:f>HYPERLINK("https://etp-aktiv.ru/catalog/materialy/truby-stalnye-i-polimernye/2000747094-W121/","Открыть позицию")</x:f>
        <x:v>Открыть позицию</x:v>
      </x:c>
    </x:row>
    <x:row r="736" ht="28" customHeight="1">
      <x:c r="A736" s="16" t="str">
        <x:v>Филиал БТСК</x:v>
      </x:c>
      <x:c r="B736" s="16" t="str">
        <x:v>2000374956-W121</x:v>
      </x:c>
      <x:c r="C736" s="16" t="str">
        <x:v>ТРУБА Э/С СТ20 377*6 ГОСТ10705-80</x:v>
      </x:c>
      <x:c r="D736" s="16" t="str">
        <x:v>ТрбЧерСварМалСрдДиам</x:v>
      </x:c>
      <x:c r="E736" s="16" t="str">
        <x:v>Т</x:v>
      </x:c>
      <x:c r="F736" s="30" t="n">
        <x:v>0.20400000000000001</x:v>
      </x:c>
      <x:c r="G736" s="17" t="n">
        <x:v>55309.371</x:v>
      </x:c>
      <x:c r="H736" s="17" t="n">
        <x:f>G736*F736</x:f>
        <x:v>11283.111684000001</x:v>
      </x:c>
      <x:c r="I736" s="26" t="str">
        <x:f>HYPERLINK("https://etp-aktiv.ru/catalog/materialy/truby-stalnye-i-polimernye/2000374956-W121/","Открыть позицию")</x:f>
        <x:v>Открыть позицию</x:v>
      </x:c>
    </x:row>
    <x:row r="737" ht="28" customHeight="1">
      <x:c r="A737" s="16" t="str">
        <x:v>Филиал БТСК</x:v>
      </x:c>
      <x:c r="B737" s="16" t="str">
        <x:v>2000728663-W121</x:v>
      </x:c>
      <x:c r="C737" s="16" t="str">
        <x:v>ТРУБА Э/С СТ20 45*3,5 ГОСТ10705-91</x:v>
      </x:c>
      <x:c r="D737" s="16" t="str">
        <x:v>ТрбЧерСварМалСрдДиам</x:v>
      </x:c>
      <x:c r="E737" s="16" t="str">
        <x:v>Т</x:v>
      </x:c>
      <x:c r="F737" s="30" t="n">
        <x:v>0.024</x:v>
      </x:c>
      <x:c r="G737" s="17" t="n">
        <x:v>131626.9468</x:v>
      </x:c>
      <x:c r="H737" s="17" t="n">
        <x:f>G737*F737</x:f>
        <x:v>3159.0467232</x:v>
      </x:c>
      <x:c r="I737" s="26" t="str">
        <x:f>HYPERLINK("https://etp-aktiv.ru/catalog/materialy/truby-stalnye-i-polimernye/2000728663-W121/","Открыть позицию")</x:f>
        <x:v>Открыть позицию</x:v>
      </x:c>
    </x:row>
    <x:row r="738" ht="28" customHeight="1">
      <x:c r="A738" s="16" t="str">
        <x:v>Филиал БТСК</x:v>
      </x:c>
      <x:c r="B738" s="16" t="str">
        <x:v>2000142973-W121</x:v>
      </x:c>
      <x:c r="C738" s="16" t="str">
        <x:v>ТРУБА Э/С СТ20 530*8 ГОСТ10705-80</x:v>
      </x:c>
      <x:c r="D738" s="16" t="str">
        <x:v>ТрубЧерСварБольшДиам</x:v>
      </x:c>
      <x:c r="E738" s="16" t="str">
        <x:v>Т</x:v>
      </x:c>
      <x:c r="F738" s="24" t="n">
        <x:v>1.045</x:v>
      </x:c>
      <x:c r="G738" s="17" t="n">
        <x:v>86697.6652</x:v>
      </x:c>
      <x:c r="H738" s="17" t="n">
        <x:f>G738*F738</x:f>
        <x:v>90599.060134</x:v>
      </x:c>
      <x:c r="I738" s="26" t="str">
        <x:f>HYPERLINK("https://etp-aktiv.ru/catalog/materialy/truby-stalnye-i-polimernye/2000142973-W121/","Открыть позицию")</x:f>
        <x:v>Открыть позицию</x:v>
      </x:c>
    </x:row>
    <x:row r="739" ht="28" customHeight="1">
      <x:c r="A739" s="16" t="str">
        <x:v>Филиал БТСК</x:v>
      </x:c>
      <x:c r="B739" s="16" t="str">
        <x:v>2000896188-W121</x:v>
      </x:c>
      <x:c r="C739" s="16" t="str">
        <x:v>ТРУБА Э/С СТ20 820*11 ГОСТ10705-80</x:v>
      </x:c>
      <x:c r="D739" s="16" t="str">
        <x:v>ТрубЧерСварБольшДиам</x:v>
      </x:c>
      <x:c r="E739" s="16" t="str">
        <x:v>Т</x:v>
      </x:c>
      <x:c r="F739" s="24" t="n">
        <x:v>5.191</x:v>
      </x:c>
      <x:c r="G739" s="17" t="n">
        <x:v>110356.53959999999</x:v>
      </x:c>
      <x:c r="H739" s="17" t="n">
        <x:f>G739*F739</x:f>
        <x:v>572860.7970635999</x:v>
      </x:c>
      <x:c r="I739" s="26" t="str">
        <x:f>HYPERLINK("https://etp-aktiv.ru/catalog/materialy/truby-stalnye-i-polimernye/2000896188-W121/","Открыть позицию")</x:f>
        <x:v>Открыть позицию</x:v>
      </x:c>
    </x:row>
    <x:row r="740" ht="28" customHeight="1">
      <x:c r="A740" s="16" t="str">
        <x:v>Филиал БТСК</x:v>
      </x:c>
      <x:c r="B740" s="16" t="str">
        <x:v>2000174466-W121</x:v>
      </x:c>
      <x:c r="C740" s="16" t="str">
        <x:v>ТРУБА Э/С СТ20 89*5 ГОСТ10705-80</x:v>
      </x:c>
      <x:c r="D740" s="16" t="str">
        <x:v>ТрбЧерСварМалСрдДиам</x:v>
      </x:c>
      <x:c r="E740" s="16" t="str">
        <x:v>Т</x:v>
      </x:c>
      <x:c r="F740" s="30" t="n">
        <x:v>0.1</x:v>
      </x:c>
      <x:c r="G740" s="17" t="n">
        <x:v>77775</x:v>
      </x:c>
      <x:c r="H740" s="17" t="n">
        <x:f>G740*F740</x:f>
        <x:v>7777.5</x:v>
      </x:c>
      <x:c r="I740" s="26" t="str">
        <x:f>HYPERLINK("https://etp-aktiv.ru/catalog/materialy/truby-stalnye-i-polimernye/2000174466-W121/","Открыть позицию")</x:f>
        <x:v>Открыть позицию</x:v>
      </x:c>
    </x:row>
    <x:row r="741" ht="28" customHeight="1">
      <x:c r="A741" s="16" t="str">
        <x:v>Филиал БТСК</x:v>
      </x:c>
      <x:c r="B741" s="16" t="str">
        <x:v>2000212141-W121</x:v>
      </x:c>
      <x:c r="C741" s="16" t="str">
        <x:v>ТРУБКА DANFOSS ИМПУЛЬСНАЯ AF 003G1391</x:v>
      </x:c>
      <x:c r="D741" s="16" t="str">
        <x:v>ЗЧ трубопр арматуры</x:v>
      </x:c>
      <x:c r="E741" s="16" t="str">
        <x:v>ШТ</x:v>
      </x:c>
      <x:c r="F741" s="25" t="n">
        <x:v>1</x:v>
      </x:c>
      <x:c r="G741" s="17" t="n">
        <x:v>329.4</x:v>
      </x:c>
      <x:c r="H741" s="17" t="n">
        <x:f>G741*F741</x:f>
        <x:v>329.4</x:v>
      </x:c>
      <x:c r="I741" s="26" t="str">
        <x:f>HYPERLINK("https://etp-aktiv.ru/catalog/materialy/truboprovodnaya-armatura-i-komplektuyushchie/2000212141-W121/","Открыть позицию")</x:f>
        <x:v>Открыть позицию</x:v>
      </x:c>
    </x:row>
    <x:row r="742" ht="28" customHeight="1">
      <x:c r="A742" s="16" t="str">
        <x:v>Филиал БТСК</x:v>
      </x:c>
      <x:c r="B742" s="16" t="str">
        <x:v>2000552855-W121</x:v>
      </x:c>
      <x:c r="C742" s="16" t="str">
        <x:v>ТРУБОПРОВОД 720*9 17Г1С-У ГОСТ20295ППМ70</x:v>
      </x:c>
      <x:c r="D742" s="16" t="str">
        <x:v>Трубопроводы компл</x:v>
      </x:c>
      <x:c r="E742" s="16" t="str">
        <x:v>М</x:v>
      </x:c>
      <x:c r="F742" s="24" t="n">
        <x:v>2.49</x:v>
      </x:c>
      <x:c r="G742" s="17" t="n">
        <x:v>4787.5972</x:v>
      </x:c>
      <x:c r="H742" s="17" t="n">
        <x:f>G742*F742</x:f>
        <x:v>11921.117028</x:v>
      </x:c>
      <x:c r="I742" s="26" t="str">
        <x:f>HYPERLINK("https://etp-aktiv.ru/catalog/materialy/truboprovody/2000552855-W121/","Открыть позицию")</x:f>
        <x:v>Открыть позицию</x:v>
      </x:c>
    </x:row>
    <x:row r="743" ht="28" customHeight="1">
      <x:c r="A743" s="16" t="str">
        <x:v>Филиал БТСК</x:v>
      </x:c>
      <x:c r="B743" s="16" t="str">
        <x:v>2000559483-W121</x:v>
      </x:c>
      <x:c r="C743" s="16" t="str">
        <x:v>УГОЛ 90° ПВХ 63ММ PN16 GIV063</x:v>
      </x:c>
      <x:c r="D743" s="16" t="str">
        <x:v>Фитинги труб полимер</x:v>
      </x:c>
      <x:c r="E743" s="16" t="str">
        <x:v>ШТ</x:v>
      </x:c>
      <x:c r="F743" s="25" t="n">
        <x:v>2</x:v>
      </x:c>
      <x:c r="G743" s="17" t="n">
        <x:v>240.4498</x:v>
      </x:c>
      <x:c r="H743" s="17" t="n">
        <x:f>G743*F743</x:f>
        <x:v>480.8996</x:v>
      </x:c>
      <x:c r="I743" s="26" t="str">
        <x:f>HYPERLINK("https://etp-aktiv.ru/catalog/materialy/truboprovody/2000559483-W121/","Открыть позицию")</x:f>
        <x:v>Открыть позицию</x:v>
      </x:c>
    </x:row>
    <x:row r="744" ht="28" customHeight="1">
      <x:c r="A744" s="16" t="str">
        <x:v>Филиал БТСК</x:v>
      </x:c>
      <x:c r="B744" s="16" t="str">
        <x:v>2000559489-W121</x:v>
      </x:c>
      <x:c r="C744" s="16" t="str">
        <x:v>УГОЛЬНИК 90° ПВХ DN110 PN16 GIV110</x:v>
      </x:c>
      <x:c r="D744" s="16" t="str">
        <x:v>Фитинги труб полимер</x:v>
      </x:c>
      <x:c r="E744" s="16" t="str">
        <x:v>ШТ</x:v>
      </x:c>
      <x:c r="F744" s="25" t="n">
        <x:v>71</x:v>
      </x:c>
      <x:c r="G744" s="17" t="n">
        <x:v>160.25920000000002</x:v>
      </x:c>
      <x:c r="H744" s="17" t="n">
        <x:f>G744*F744</x:f>
        <x:v>11378.4032</x:v>
      </x:c>
      <x:c r="I744" s="26" t="str">
        <x:f>HYPERLINK("https://etp-aktiv.ru/catalog/materialy/truboprovody/2000559489-W121/","Открыть позицию")</x:f>
        <x:v>Открыть позицию</x:v>
      </x:c>
    </x:row>
    <x:row r="745" ht="28" customHeight="1">
      <x:c r="A745" s="16" t="str">
        <x:v>Филиал БТСК</x:v>
      </x:c>
      <x:c r="B745" s="16" t="str">
        <x:v>2000560962-W121</x:v>
      </x:c>
      <x:c r="C745" s="16" t="str">
        <x:v>ФИЛЬТР IS16F-32 DN32 PN16 ФЛ КОФ ПРОБКА</x:v>
      </x:c>
      <x:c r="D745" s="16" t="str">
        <x:v>Прочая арматура</x:v>
      </x:c>
      <x:c r="E745" s="16" t="str">
        <x:v>ШТ</x:v>
      </x:c>
      <x:c r="F745" s="25" t="n">
        <x:v>1</x:v>
      </x:c>
      <x:c r="G745" s="17" t="n">
        <x:v>571.3992</x:v>
      </x:c>
      <x:c r="H745" s="17" t="n">
        <x:f>G745*F745</x:f>
        <x:v>571.3992</x:v>
      </x:c>
      <x:c r="I745" s="26" t="str">
        <x:f>HYPERLINK("https://etp-aktiv.ru/catalog/materialy/truboprovodnaya-armatura-i-komplektuyushchie/2000560962-W121/","Открыть позицию")</x:f>
        <x:v>Открыть позицию</x:v>
      </x:c>
    </x:row>
    <x:row r="746" ht="28" customHeight="1">
      <x:c r="A746" s="16" t="str">
        <x:v>Филиал БТСК</x:v>
      </x:c>
      <x:c r="B746" s="16" t="str">
        <x:v>2000695051-W121</x:v>
      </x:c>
      <x:c r="C746" s="16" t="str">
        <x:v>ФИЛЬТР ГРЯЗЕВОЙ ТИП 316 FROMME DN25 PN16</x:v>
      </x:c>
      <x:c r="D746" s="16" t="str">
        <x:v>Детали фасонные</x:v>
      </x:c>
      <x:c r="E746" s="16" t="str">
        <x:v>ШТ</x:v>
      </x:c>
      <x:c r="F746" s="25" t="n">
        <x:v>1</x:v>
      </x:c>
      <x:c r="G746" s="17" t="n">
        <x:v>1248.9384</x:v>
      </x:c>
      <x:c r="H746" s="17" t="n">
        <x:f>G746*F746</x:f>
        <x:v>1248.9384</x:v>
      </x:c>
      <x:c r="I746" s="26" t="str">
        <x:f>HYPERLINK("https://etp-aktiv.ru/catalog/materialy/truboprovody/2000695051-W121/","Открыть позицию")</x:f>
        <x:v>Открыть позицию</x:v>
      </x:c>
    </x:row>
    <x:row r="747" ht="28" customHeight="1">
      <x:c r="A747" s="16" t="str">
        <x:v>Филиал БТСК</x:v>
      </x:c>
      <x:c r="B747" s="16" t="str">
        <x:v>2000554746-W121</x:v>
      </x:c>
      <x:c r="C747" s="16" t="str">
        <x:v>ФЛАНЕЦ 09Г2С DN350 PN6 ИСП.1 ГОСТ12820</x:v>
      </x:c>
      <x:c r="D747" s="16" t="str">
        <x:v>Детали фасонные</x:v>
      </x:c>
      <x:c r="E747" s="16" t="str">
        <x:v>ШТ</x:v>
      </x:c>
      <x:c r="F747" s="25" t="n">
        <x:v>2</x:v>
      </x:c>
      <x:c r="G747" s="17" t="n">
        <x:v>2406.5353999999998</x:v>
      </x:c>
      <x:c r="H747" s="17" t="n">
        <x:f>G747*F747</x:f>
        <x:v>4813.0707999999995</x:v>
      </x:c>
      <x:c r="I747" s="26" t="str">
        <x:f>HYPERLINK("https://etp-aktiv.ru/catalog/materialy/truboprovody/2000554746-W121/","Открыть позицию")</x:f>
        <x:v>Открыть позицию</x:v>
      </x:c>
    </x:row>
    <x:row r="748" ht="28" customHeight="1">
      <x:c r="A748" s="16" t="str">
        <x:v>Филиал БТСК</x:v>
      </x:c>
      <x:c r="B748" s="16" t="str">
        <x:v>2000221475-W121</x:v>
      </x:c>
      <x:c r="C748" s="16" t="str">
        <x:v>ФЛАНЕЦ СТ20 DN32 PN16 ИСП1 ГОСТ12820-80</x:v>
      </x:c>
      <x:c r="D748" s="16" t="str">
        <x:v>Детали фасонные</x:v>
      </x:c>
      <x:c r="E748" s="16" t="str">
        <x:v>ШТ</x:v>
      </x:c>
      <x:c r="F748" s="25" t="n">
        <x:v>6</x:v>
      </x:c>
      <x:c r="G748" s="17" t="n">
        <x:v>309.5628</x:v>
      </x:c>
      <x:c r="H748" s="17" t="n">
        <x:f>G748*F748</x:f>
        <x:v>1857.3768</x:v>
      </x:c>
      <x:c r="I748" s="26" t="str">
        <x:f>HYPERLINK("https://etp-aktiv.ru/catalog/materialy/truboprovody/2000221475-W121/","Открыть позицию")</x:f>
        <x:v>Открыть позицию</x:v>
      </x:c>
    </x:row>
    <x:row r="749" ht="28" customHeight="1">
      <x:c r="A749" s="16" t="str">
        <x:v>Филиал БТСК</x:v>
      </x:c>
      <x:c r="B749" s="16" t="str">
        <x:v>2000554752-W121</x:v>
      </x:c>
      <x:c r="C749" s="16" t="str">
        <x:v>ФЛАНЕЦ СТ20 DN500 PN2,5 ИСП.1 ГОСТ12820</x:v>
      </x:c>
      <x:c r="D749" s="16" t="str">
        <x:v>Детали фасонные</x:v>
      </x:c>
      <x:c r="E749" s="16" t="str">
        <x:v>ШТ</x:v>
      </x:c>
      <x:c r="F749" s="25" t="n">
        <x:v>4</x:v>
      </x:c>
      <x:c r="G749" s="17" t="n">
        <x:v>19700.3526</x:v>
      </x:c>
      <x:c r="H749" s="17" t="n">
        <x:f>G749*F749</x:f>
        <x:v>78801.4104</x:v>
      </x:c>
      <x:c r="I749" s="26" t="str">
        <x:f>HYPERLINK("https://etp-aktiv.ru/catalog/materialy/truboprovody/2000554752-W121/","Открыть позицию")</x:f>
        <x:v>Открыть позицию</x:v>
      </x:c>
    </x:row>
    <x:row r="750" ht="28" customHeight="1">
      <x:c r="A750" s="16" t="str">
        <x:v>Филиал БТСК</x:v>
      </x:c>
      <x:c r="B750" s="16" t="str">
        <x:v>2000554786-W121</x:v>
      </x:c>
      <x:c r="C750" s="16" t="str">
        <x:v>ФЛАНЕЦ СТ20 DN80 PN16 ИСП.1 ГОСТ12820-80</x:v>
      </x:c>
      <x:c r="D750" s="16" t="str">
        <x:v>Детали фасонные</x:v>
      </x:c>
      <x:c r="E750" s="16" t="str">
        <x:v>ШТ</x:v>
      </x:c>
      <x:c r="F750" s="25" t="n">
        <x:v>3</x:v>
      </x:c>
      <x:c r="G750" s="17" t="n">
        <x:v>658.8</x:v>
      </x:c>
      <x:c r="H750" s="17" t="n">
        <x:f>G750*F750</x:f>
        <x:v>1976.3999999999999</x:v>
      </x:c>
      <x:c r="I750" s="26" t="str">
        <x:f>HYPERLINK("https://etp-aktiv.ru/catalog/materialy/truboprovody/2000554786-W121/","Открыть позицию")</x:f>
        <x:v>Открыть позицию</x:v>
      </x:c>
    </x:row>
    <x:row r="751" ht="28" customHeight="1">
      <x:c r="A751" s="16" t="str">
        <x:v>Филиал БТСК</x:v>
      </x:c>
      <x:c r="B751" s="16" t="str">
        <x:v>2000568364-W121</x:v>
      </x:c>
      <x:c r="C751" s="16" t="str">
        <x:v>ШТУЦЕР 09Г2С 219*6-200 160 ОСТ34.10.761</x:v>
      </x:c>
      <x:c r="D751" s="16" t="str">
        <x:v>Детали фасонные</x:v>
      </x:c>
      <x:c r="E751" s="16" t="str">
        <x:v>ШТ</x:v>
      </x:c>
      <x:c r="F751" s="25" t="n">
        <x:v>1</x:v>
      </x:c>
      <x:c r="G751" s="17" t="n">
        <x:v>2737.375</x:v>
      </x:c>
      <x:c r="H751" s="17" t="n">
        <x:f>G751*F751</x:f>
        <x:v>2737.375</x:v>
      </x:c>
      <x:c r="I751" s="26" t="str">
        <x:f>HYPERLINK("https://etp-aktiv.ru/catalog/materialy/truboprovody/2000568364-W121/","Открыть позицию")</x:f>
        <x:v>Открыть позицию</x:v>
      </x:c>
    </x:row>
    <x:row r="752" ht="28" customHeight="1">
      <x:c r="A752" s="16" t="str">
        <x:v>Филиал БТСК</x:v>
      </x:c>
      <x:c r="B752" s="16" t="str">
        <x:v>2000555416-W121</x:v>
      </x:c>
      <x:c r="C752" s="16" t="str">
        <x:v>ШТУЦЕР 09Г2С 45*2,5-300 078 ОСТ34.10.761</x:v>
      </x:c>
      <x:c r="D752" s="16" t="str">
        <x:v>Детали фасонные</x:v>
      </x:c>
      <x:c r="E752" s="16" t="str">
        <x:v>ШТ</x:v>
      </x:c>
      <x:c r="F752" s="25" t="n">
        <x:v>9</x:v>
      </x:c>
      <x:c r="G752" s="17" t="n">
        <x:v>6.673399999999999</x:v>
      </x:c>
      <x:c r="H752" s="17" t="n">
        <x:f>G752*F752</x:f>
        <x:v>60.060599999999994</x:v>
      </x:c>
      <x:c r="I752" s="26" t="str">
        <x:f>HYPERLINK("https://etp-aktiv.ru/catalog/materialy/truboprovody/2000555416-W121/","Открыть позицию")</x:f>
        <x:v>Открыть позицию</x:v>
      </x:c>
    </x:row>
    <x:row r="753" ht="28" customHeight="1">
      <x:c r="A753" s="16" t="str">
        <x:v>Филиал БТСК</x:v>
      </x:c>
      <x:c r="B753" s="16" t="str">
        <x:v>2000555425-W121</x:v>
      </x:c>
      <x:c r="C753" s="16" t="str">
        <x:v>ШТУЦЕР 09Г2С 57*3-300 088 ОСТ34.10.761</x:v>
      </x:c>
      <x:c r="D753" s="16" t="str">
        <x:v>Детали фасонные</x:v>
      </x:c>
      <x:c r="E753" s="16" t="str">
        <x:v>ШТ</x:v>
      </x:c>
      <x:c r="F753" s="25" t="n">
        <x:v>11</x:v>
      </x:c>
      <x:c r="G753" s="17" t="n">
        <x:v>194.18739999999997</x:v>
      </x:c>
      <x:c r="H753" s="17" t="n">
        <x:f>G753*F753</x:f>
        <x:v>2136.0613999999996</x:v>
      </x:c>
      <x:c r="I753" s="26" t="str">
        <x:f>HYPERLINK("https://etp-aktiv.ru/catalog/materialy/truboprovody/2000555425-W121/","Открыть позицию")</x:f>
        <x:v>Открыть позицию</x:v>
      </x:c>
    </x:row>
    <x:row r="754" ht="28" customHeight="1">
      <x:c r="A754" s="16" t="str">
        <x:v>Филиал БТСК</x:v>
      </x:c>
      <x:c r="B754" s="16" t="str">
        <x:v>2000555450-W121</x:v>
      </x:c>
      <x:c r="C754" s="16" t="str">
        <x:v>ШТУЦЕР 09Г2С 89*3,5-500 111 ОСТ34.10.761</x:v>
      </x:c>
      <x:c r="D754" s="16" t="str">
        <x:v>Детали фасонные</x:v>
      </x:c>
      <x:c r="E754" s="16" t="str">
        <x:v>ШТ</x:v>
      </x:c>
      <x:c r="F754" s="25" t="n">
        <x:v>2</x:v>
      </x:c>
      <x:c r="G754" s="17" t="n">
        <x:v>266.875</x:v>
      </x:c>
      <x:c r="H754" s="17" t="n">
        <x:f>G754*F754</x:f>
        <x:v>533.75</x:v>
      </x:c>
      <x:c r="I754" s="26" t="str">
        <x:f>HYPERLINK("https://etp-aktiv.ru/catalog/materialy/truboprovody/2000555450-W121/","Открыть позицию")</x:f>
        <x:v>Открыть позицию</x:v>
      </x:c>
    </x:row>
    <x:row r="755" ht="28" customHeight="1">
      <x:c r="A755" s="16" t="str">
        <x:v>Филиал БТСК</x:v>
      </x:c>
      <x:c r="B755" s="16" t="str">
        <x:v>2000568334-W121</x:v>
      </x:c>
      <x:c r="C755" s="16" t="str">
        <x:v>ШТУЦЕР 17Г1С 108*3,5-800 1,6 ТС-592-114</x:v>
      </x:c>
      <x:c r="D755" s="16" t="str">
        <x:v>Детали фасонные</x:v>
      </x:c>
      <x:c r="E755" s="16" t="str">
        <x:v>ШТ</x:v>
      </x:c>
      <x:c r="F755" s="25" t="n">
        <x:v>4</x:v>
      </x:c>
      <x:c r="G755" s="17" t="n">
        <x:v>1298.934</x:v>
      </x:c>
      <x:c r="H755" s="17" t="n">
        <x:f>G755*F755</x:f>
        <x:v>5195.736</x:v>
      </x:c>
      <x:c r="I755" s="26" t="str">
        <x:f>HYPERLINK("https://etp-aktiv.ru/catalog/materialy/truboprovody/2000568334-W121/","Открыть позицию")</x:f>
        <x:v>Открыть позицию</x:v>
      </x:c>
    </x:row>
    <x:row r="756" ht="28" customHeight="1">
      <x:c r="A756" s="16" t="str">
        <x:v>Филиал БТСК</x:v>
      </x:c>
      <x:c r="B756" s="16" t="str">
        <x:v>2000568333-W121</x:v>
      </x:c>
      <x:c r="C756" s="16" t="str">
        <x:v>ШТУЦЕР В-10Г2 108*3,5-200 ТС-592-104</x:v>
      </x:c>
      <x:c r="D756" s="16" t="str">
        <x:v>Детали фасонные</x:v>
      </x:c>
      <x:c r="E756" s="16" t="str">
        <x:v>ШТ</x:v>
      </x:c>
      <x:c r="F756" s="25" t="n">
        <x:v>2</x:v>
      </x:c>
      <x:c r="G756" s="17" t="n">
        <x:v>578.9266</x:v>
      </x:c>
      <x:c r="H756" s="17" t="n">
        <x:f>G756*F756</x:f>
        <x:v>1157.8532</x:v>
      </x:c>
      <x:c r="I756" s="26" t="str">
        <x:f>HYPERLINK("https://etp-aktiv.ru/catalog/materialy/truboprovody/2000568333-W121/","Открыть позицию")</x:f>
        <x:v>Открыть позицию</x:v>
      </x:c>
    </x:row>
    <x:row r="757" ht="28" customHeight="1">
      <x:c r="A757" s="16" t="str">
        <x:v>Филиал БТСК</x:v>
      </x:c>
      <x:c r="B757" s="16" t="str">
        <x:v>2000639791-W121</x:v>
      </x:c>
      <x:c r="C757" s="16" t="str">
        <x:v>ШТУЦЕР В20 32*2 80 1,6 ТС-592-033</x:v>
      </x:c>
      <x:c r="D757" s="16" t="str">
        <x:v>Детали фасонные</x:v>
      </x:c>
      <x:c r="E757" s="16" t="str">
        <x:v>ШТ</x:v>
      </x:c>
      <x:c r="F757" s="25" t="n">
        <x:v>1</x:v>
      </x:c>
      <x:c r="G757" s="17" t="n">
        <x:v>1486.875</x:v>
      </x:c>
      <x:c r="H757" s="17" t="n">
        <x:f>G757*F757</x:f>
        <x:v>1486.875</x:v>
      </x:c>
      <x:c r="I757" s="26" t="str">
        <x:f>HYPERLINK("https://etp-aktiv.ru/catalog/materialy/truboprovody/2000639791-W121/","Открыть позицию")</x:f>
        <x:v>Открыть позицию</x:v>
      </x:c>
    </x:row>
    <x:row r="758" ht="28" customHeight="1">
      <x:c r="A758" s="16" t="str">
        <x:v>Филиал БТСК</x:v>
      </x:c>
      <x:c r="B758" s="16" t="str">
        <x:v>2000639768-W121</x:v>
      </x:c>
      <x:c r="C758" s="16" t="str">
        <x:v>ШТУЦЕР В20 38*2 200 1,6 ТС-592-051</x:v>
      </x:c>
      <x:c r="D758" s="16" t="str">
        <x:v>Детали фасонные</x:v>
      </x:c>
      <x:c r="E758" s="16" t="str">
        <x:v>ШТ</x:v>
      </x:c>
      <x:c r="F758" s="25" t="n">
        <x:v>2</x:v>
      </x:c>
      <x:c r="G758" s="17" t="n">
        <x:v>1944.375</x:v>
      </x:c>
      <x:c r="H758" s="17" t="n">
        <x:f>G758*F758</x:f>
        <x:v>3888.75</x:v>
      </x:c>
      <x:c r="I758" s="26" t="str">
        <x:f>HYPERLINK("https://etp-aktiv.ru/catalog/materialy/truboprovody/2000639768-W121/","Открыть позицию")</x:f>
        <x:v>Открыть позицию</x:v>
      </x:c>
    </x:row>
    <x:row r="759" ht="28" customHeight="1">
      <x:c r="A759" s="16" t="str">
        <x:v>Филиал БТСК</x:v>
      </x:c>
      <x:c r="B759" s="16" t="str">
        <x:v>2000568336-W121</x:v>
      </x:c>
      <x:c r="C759" s="16" t="str">
        <x:v>ШТУЦЕР СТ20 108*4-150 118 ОСТ34.10.761</x:v>
      </x:c>
      <x:c r="D759" s="16" t="str">
        <x:v>Детали фасонные</x:v>
      </x:c>
      <x:c r="E759" s="16" t="str">
        <x:v>ШТ</x:v>
      </x:c>
      <x:c r="F759" s="25" t="n">
        <x:v>1</x:v>
      </x:c>
      <x:c r="G759" s="17" t="n">
        <x:v>187.17239999999998</x:v>
      </x:c>
      <x:c r="H759" s="17" t="n">
        <x:f>G759*F759</x:f>
        <x:v>187.17239999999998</x:v>
      </x:c>
      <x:c r="I759" s="26" t="str">
        <x:f>HYPERLINK("https://etp-aktiv.ru/catalog/materialy/truboprovody/2000568336-W121/","Открыть позицию")</x:f>
        <x:v>Открыть позицию</x:v>
      </x:c>
    </x:row>
    <x:row r="760" ht="28" customHeight="1">
      <x:c r="A760" s="16" t="str">
        <x:v>Филиал БТСК</x:v>
      </x:c>
      <x:c r="B760" s="16" t="str">
        <x:v>2000255849-W121</x:v>
      </x:c>
      <x:c r="C760" s="16" t="str">
        <x:v>ШТУЦЕР СТ20 219*6 400 PN16 ТС-592-149</x:v>
      </x:c>
      <x:c r="D760" s="16" t="str">
        <x:v>Детали фасонные</x:v>
      </x:c>
      <x:c r="E760" s="16" t="str">
        <x:v>ШТ</x:v>
      </x:c>
      <x:c r="F760" s="25" t="n">
        <x:v>2</x:v>
      </x:c>
      <x:c r="G760" s="17" t="n">
        <x:v>3197.9249999999997</x:v>
      </x:c>
      <x:c r="H760" s="17" t="n">
        <x:f>G760*F760</x:f>
        <x:v>6395.849999999999</x:v>
      </x:c>
      <x:c r="I760" s="26" t="str">
        <x:f>HYPERLINK("https://etp-aktiv.ru/catalog/materialy/truboprovody/2000255849-W121/","Открыть позицию")</x:f>
        <x:v>Открыть позицию</x:v>
      </x:c>
    </x:row>
    <x:row r="761" ht="28" customHeight="1">
      <x:c r="A761" s="16" t="str">
        <x:v>Филиал БТСК</x:v>
      </x:c>
      <x:c r="B761" s="16" t="str">
        <x:v>2000555421-W121</x:v>
      </x:c>
      <x:c r="C761" s="16" t="str">
        <x:v>ШТУЦЕР СТ20 45*3-700 ТС-592-064</x:v>
      </x:c>
      <x:c r="D761" s="16" t="str">
        <x:v>Детали фасонные</x:v>
      </x:c>
      <x:c r="E761" s="16" t="str">
        <x:v>ШТ</x:v>
      </x:c>
      <x:c r="F761" s="25" t="n">
        <x:v>11</x:v>
      </x:c>
      <x:c r="G761" s="17" t="n">
        <x:v>303.37739999999997</x:v>
      </x:c>
      <x:c r="H761" s="17" t="n">
        <x:f>G761*F761</x:f>
        <x:v>3337.1513999999997</x:v>
      </x:c>
      <x:c r="I761" s="26" t="str">
        <x:f>HYPERLINK("https://etp-aktiv.ru/catalog/materialy/truboprovody/2000555421-W121/","Открыть позицию")</x:f>
        <x:v>Открыть позицию</x:v>
      </x:c>
    </x:row>
    <x:row r="762" ht="28" customHeight="1">
      <x:c r="A762" s="16" t="str">
        <x:v>Филиал БТСК</x:v>
      </x:c>
      <x:c r="B762" s="16" t="str">
        <x:v>2000241482-W121</x:v>
      </x:c>
      <x:c r="C762" s="16" t="str">
        <x:v>ШТУЦЕР СТ20 57*3 50 PN16 ТС-592-065</x:v>
      </x:c>
      <x:c r="D762" s="16" t="str">
        <x:v>Детали фасонные</x:v>
      </x:c>
      <x:c r="E762" s="16" t="str">
        <x:v>ШТ</x:v>
      </x:c>
      <x:c r="F762" s="25" t="n">
        <x:v>2</x:v>
      </x:c>
      <x:c r="G762" s="17" t="n">
        <x:v>2051.125</x:v>
      </x:c>
      <x:c r="H762" s="17" t="n">
        <x:f>G762*F762</x:f>
        <x:v>4102.25</x:v>
      </x:c>
      <x:c r="I762" s="26" t="str">
        <x:f>HYPERLINK("https://etp-aktiv.ru/catalog/materialy/truboprovody/2000241482-W121/","Открыть позицию")</x:f>
        <x:v>Открыть позицию</x:v>
      </x:c>
    </x:row>
    <x:row r="763" ht="28" customHeight="1">
      <x:c r="A763" s="16" t="str">
        <x:v>Филиал БТСК</x:v>
      </x:c>
      <x:c r="B763" s="16" t="str">
        <x:v>2000555430-W121</x:v>
      </x:c>
      <x:c r="C763" s="16" t="str">
        <x:v>ШТУЦЕР СТ20 57*3-250 086 ОСТ34.10.761</x:v>
      </x:c>
      <x:c r="D763" s="16" t="str">
        <x:v>Детали фасонные</x:v>
      </x:c>
      <x:c r="E763" s="16" t="str">
        <x:v>ШТ</x:v>
      </x:c>
      <x:c r="F763" s="25" t="n">
        <x:v>2</x:v>
      </x:c>
      <x:c r="G763" s="17" t="n">
        <x:v>128.2708</x:v>
      </x:c>
      <x:c r="H763" s="17" t="n">
        <x:f>G763*F763</x:f>
        <x:v>256.5416</x:v>
      </x:c>
      <x:c r="I763" s="26" t="str">
        <x:f>HYPERLINK("https://etp-aktiv.ru/catalog/materialy/truboprovody/2000555430-W121/","Открыть позицию")</x:f>
        <x:v>Открыть позицию</x:v>
      </x:c>
    </x:row>
    <x:row r="764" ht="28" customHeight="1">
      <x:c r="A764" s="16" t="str">
        <x:v>Филиал БТСК</x:v>
      </x:c>
      <x:c r="B764" s="16" t="str">
        <x:v>2000555434-W121</x:v>
      </x:c>
      <x:c r="C764" s="16" t="str">
        <x:v>ШТУЦЕР СТ20 57*3-50 080 ОСТ34.10.761</x:v>
      </x:c>
      <x:c r="D764" s="16" t="str">
        <x:v>Детали фасонные</x:v>
      </x:c>
      <x:c r="E764" s="16" t="str">
        <x:v>ШТ</x:v>
      </x:c>
      <x:c r="F764" s="25" t="n">
        <x:v>2</x:v>
      </x:c>
      <x:c r="G764" s="17" t="n">
        <x:v>8.8938</x:v>
      </x:c>
      <x:c r="H764" s="17" t="n">
        <x:f>G764*F764</x:f>
        <x:v>17.7876</x:v>
      </x:c>
      <x:c r="I764" s="26" t="str">
        <x:f>HYPERLINK("https://etp-aktiv.ru/catalog/materialy/truboprovody/2000555434-W121/","Открыть позицию")</x:f>
        <x:v>Открыть позицию</x:v>
      </x:c>
    </x:row>
    <x:row r="765" ht="28" customHeight="1">
      <x:c r="A765" s="16" t="str">
        <x:v>Филиал БТСК</x:v>
      </x:c>
      <x:c r="B765" s="16" t="str">
        <x:v>2000555439-W121</x:v>
      </x:c>
      <x:c r="C765" s="16" t="str">
        <x:v>ШТУЦЕР СТ20 57*3-600 1,6 ТС-592-073</x:v>
      </x:c>
      <x:c r="D765" s="16" t="str">
        <x:v>Детали фасонные</x:v>
      </x:c>
      <x:c r="E765" s="16" t="str">
        <x:v>ШТ</x:v>
      </x:c>
      <x:c r="F765" s="25" t="n">
        <x:v>2</x:v>
      </x:c>
      <x:c r="G765" s="17" t="n">
        <x:v>106.5792</x:v>
      </x:c>
      <x:c r="H765" s="17" t="n">
        <x:f>G765*F765</x:f>
        <x:v>213.1584</x:v>
      </x:c>
      <x:c r="I765" s="26" t="str">
        <x:f>HYPERLINK("https://etp-aktiv.ru/catalog/materialy/truboprovody/2000555439-W121/","Открыть позицию")</x:f>
        <x:v>Открыть позицию</x:v>
      </x:c>
    </x:row>
    <x:row r="766" ht="28" customHeight="1">
      <x:c r="A766" s="16" t="str">
        <x:v>Филиал БТСК</x:v>
      </x:c>
      <x:c r="B766" s="16" t="str">
        <x:v>2000559705-W121</x:v>
      </x:c>
      <x:c r="C766" s="16" t="str">
        <x:v>ЭЛ-Т ТР/ПР КАБ ВЫВ СТ 108*4-1-ППУ-ПЭ 1М</x:v>
      </x:c>
      <x:c r="D766" s="16" t="str">
        <x:v>Труб/элем ТИ и Футер</x:v>
      </x:c>
      <x:c r="E766" s="16" t="str">
        <x:v>ШТ</x:v>
      </x:c>
      <x:c r="F766" s="25" t="n">
        <x:v>6</x:v>
      </x:c>
      <x:c r="G766" s="17" t="n">
        <x:v>805.2731999999999</x:v>
      </x:c>
      <x:c r="H766" s="17" t="n">
        <x:f>G766*F766</x:f>
        <x:v>4831.6392</x:v>
      </x:c>
      <x:c r="I766" s="26" t="str">
        <x:f>HYPERLINK("https://etp-aktiv.ru/catalog/materialy/truboprovody/2000559705-W121/","Открыть позицию")</x:f>
        <x:v>Открыть позицию</x:v>
      </x:c>
    </x:row>
    <x:row r="767" ht="28" customHeight="1">
      <x:c r="A767" s="16" t="str">
        <x:v>Филиал БТСК</x:v>
      </x:c>
      <x:c r="B767" s="16" t="str">
        <x:v>2000559696-W121</x:v>
      </x:c>
      <x:c r="C767" s="16" t="str">
        <x:v>ЭЛ-Т ТР/ПР КАБ ВЫВ СТ 159*5-1-ППУ-ОЦ 1М</x:v>
      </x:c>
      <x:c r="D767" s="16" t="str">
        <x:v>Труб/элем ТИ и Футер</x:v>
      </x:c>
      <x:c r="E767" s="16" t="str">
        <x:v>ШТ</x:v>
      </x:c>
      <x:c r="F767" s="25" t="n">
        <x:v>2</x:v>
      </x:c>
      <x:c r="G767" s="17" t="n">
        <x:v>481.2168</x:v>
      </x:c>
      <x:c r="H767" s="17" t="n">
        <x:f>G767*F767</x:f>
        <x:v>962.4336</x:v>
      </x:c>
      <x:c r="I767" s="26" t="str">
        <x:f>HYPERLINK("https://etp-aktiv.ru/catalog/materialy/truboprovody/2000559696-W121/","Открыть позицию")</x:f>
        <x:v>Открыть позицию</x:v>
      </x:c>
    </x:row>
    <x:row r="768" ht="28" customHeight="1">
      <x:c r="A768" s="16" t="str">
        <x:v>Филиал БТСК</x:v>
      </x:c>
      <x:c r="B768" s="16" t="str">
        <x:v>2000559695-W121</x:v>
      </x:c>
      <x:c r="C768" s="16" t="str">
        <x:v>ЭЛ-Т ТРУБОПР С КАБ ВЫВ СТ 108*4-1-ППУ-ОЦ</x:v>
      </x:c>
      <x:c r="D768" s="16" t="str">
        <x:v>Труб/элем ТИ и Футер</x:v>
      </x:c>
      <x:c r="E768" s="16" t="str">
        <x:v>ШТ</x:v>
      </x:c>
      <x:c r="F768" s="25" t="n">
        <x:v>6</x:v>
      </x:c>
      <x:c r="G768" s="17" t="n">
        <x:v>430.07439999999997</x:v>
      </x:c>
      <x:c r="H768" s="17" t="n">
        <x:f>G768*F768</x:f>
        <x:v>2580.4464</x:v>
      </x:c>
      <x:c r="I768" s="26" t="str">
        <x:f>HYPERLINK("https://etp-aktiv.ru/catalog/materialy/truboprovody/2000559695-W121/","Открыть позицию")</x:f>
        <x:v>Открыть позицию</x:v>
      </x:c>
    </x:row>
    <x:row r="769" ht="28" customHeight="1">
      <x:c r="A769" s="16" t="str">
        <x:v>Филиал БТСК</x:v>
      </x:c>
      <x:c r="B769" s="16" t="str">
        <x:v>2000559697-W121</x:v>
      </x:c>
      <x:c r="C769" s="16" t="str">
        <x:v>ЭЛ-Т ТРУБОПР С КАБ ВЫВ СТ 159*5-2-ППУ-ПЭ</x:v>
      </x:c>
      <x:c r="D769" s="16" t="str">
        <x:v>Труб/элем ТИ и Футер</x:v>
      </x:c>
      <x:c r="E769" s="16" t="str">
        <x:v>ШТ</x:v>
      </x:c>
      <x:c r="F769" s="25" t="n">
        <x:v>2</x:v>
      </x:c>
      <x:c r="G769" s="17" t="n">
        <x:v>628.605</x:v>
      </x:c>
      <x:c r="H769" s="17" t="n">
        <x:f>G769*F769</x:f>
        <x:v>1257.21</x:v>
      </x:c>
      <x:c r="I769" s="26" t="str">
        <x:f>HYPERLINK("https://etp-aktiv.ru/catalog/materialy/truboprovody/2000559697-W121/","Открыть позицию")</x:f>
        <x:v>Открыть позицию</x:v>
      </x:c>
    </x:row>
    <x:row r="770" ht="28" customHeight="1">
      <x:c r="A770" s="16" t="str">
        <x:v>Филиал БТСК</x:v>
      </x:c>
      <x:c r="B770" s="16" t="str">
        <x:v>2000559698-W121</x:v>
      </x:c>
      <x:c r="C770" s="16" t="str">
        <x:v>ЭЛ-Т ТРУБОПР С КАБ ВЫВ СТ 219*8-1-ППУ-ОЦ</x:v>
      </x:c>
      <x:c r="D770" s="16" t="str">
        <x:v>Труб/элем ТИ и Футер</x:v>
      </x:c>
      <x:c r="E770" s="16" t="str">
        <x:v>ШТ</x:v>
      </x:c>
      <x:c r="F770" s="25" t="n">
        <x:v>2</x:v>
      </x:c>
      <x:c r="G770" s="17" t="n">
        <x:v>1240.435</x:v>
      </x:c>
      <x:c r="H770" s="17" t="n">
        <x:f>G770*F770</x:f>
        <x:v>2480.87</x:v>
      </x:c>
      <x:c r="I770" s="26" t="str">
        <x:f>HYPERLINK("https://etp-aktiv.ru/catalog/materialy/truboprovody/2000559698-W121/","Открыть позицию")</x:f>
        <x:v>Открыть позицию</x:v>
      </x:c>
    </x:row>
    <x:row r="771" ht="28" customHeight="1">
      <x:c r="A771" s="16" t="str">
        <x:v>Филиал БТСК</x:v>
      </x:c>
      <x:c r="B771" s="16" t="str">
        <x:v>2000552776-W121</x:v>
      </x:c>
      <x:c r="C771" s="16" t="str">
        <x:v>ЭЛЕКТРОПРИВОД НМ-03 ТЭ099.088-03М</x:v>
      </x:c>
      <x:c r="D771" s="16" t="str">
        <x:v>Приводы арматуры</x:v>
      </x:c>
      <x:c r="E771" s="16" t="str">
        <x:v>ШТ</x:v>
      </x:c>
      <x:c r="F771" s="25" t="n">
        <x:v>1</x:v>
      </x:c>
      <x:c r="G771" s="17" t="n">
        <x:v>6036.6332</x:v>
      </x:c>
      <x:c r="H771" s="17" t="n">
        <x:f>G771*F771</x:f>
        <x:v>6036.6332</x:v>
      </x:c>
      <x:c r="I771" s="26" t="str">
        <x:f>HYPERLINK("https://etp-aktiv.ru/catalog/materialy/truboprovodnaya-armatura-i-komplektuyushchie/2000552776-W121/","Открыть позицию")</x:f>
        <x:v>Открыть позицию</x:v>
      </x:c>
    </x:row>
    <x:row r="772" ht="28" customHeight="1">
      <x:c r="A772" s="16" t="str">
        <x:v>Филиал БТСК</x:v>
      </x:c>
      <x:c r="B772" s="16" t="str">
        <x:v>2000559664-W121</x:v>
      </x:c>
      <x:c r="C772" s="16" t="str">
        <x:v>ЭЛЕМЕНТ КОНЦ СТ 159*5-2-ППУ-ПЭ-625 3МКТ</x:v>
      </x:c>
      <x:c r="D772" s="16" t="str">
        <x:v>Труб/элем ТИ и Футер</x:v>
      </x:c>
      <x:c r="E772" s="16" t="str">
        <x:v>ШТ</x:v>
      </x:c>
      <x:c r="F772" s="25" t="n">
        <x:v>4</x:v>
      </x:c>
      <x:c r="G772" s="17" t="n">
        <x:v>15956.38</x:v>
      </x:c>
      <x:c r="H772" s="17" t="n">
        <x:f>G772*F772</x:f>
        <x:v>63825.52</x:v>
      </x:c>
      <x:c r="I772" s="26" t="str">
        <x:f>HYPERLINK("https://etp-aktiv.ru/catalog/materialy/truboprovody/2000559664-W121/","Открыть позицию")</x:f>
        <x:v>Открыть позицию</x:v>
      </x:c>
    </x:row>
    <x:row r="773" ht="28" customHeight="1">
      <x:c r="A773" s="16" t="str">
        <x:v>Филиал БТСК</x:v>
      </x:c>
      <x:c r="B773" s="16" t="str">
        <x:v>2001035875-W121</x:v>
      </x:c>
      <x:c r="C773" s="16" t="str">
        <x:v>ЭЛЕМЕНТ С КАБ ВЫВОДА СТ20 89*4-1-ППУ-ПЭ</x:v>
      </x:c>
      <x:c r="D773" s="16" t="str">
        <x:v>Труб/элем ТИ и Футер</x:v>
      </x:c>
      <x:c r="E773" s="16" t="str">
        <x:v>ШТ</x:v>
      </x:c>
      <x:c r="F773" s="25" t="n">
        <x:v>8</x:v>
      </x:c>
      <x:c r="G773" s="17" t="n">
        <x:v>2294.82</x:v>
      </x:c>
      <x:c r="H773" s="17" t="n">
        <x:f>G773*F773</x:f>
        <x:v>18358.56</x:v>
      </x:c>
      <x:c r="I773" s="26" t="str">
        <x:f>HYPERLINK("https://etp-aktiv.ru/catalog/materialy/truboprovody/2001035875-W121/","Открыть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0956e36d82524b3b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Металлопрокат, металлоконструкции и сварка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2000068402-W111</x:v>
      </x:c>
      <x:c r="C5" s="16" t="str">
        <x:v>БОЛТ М12*25 ГОСТ7805-70</x:v>
      </x:c>
      <x:c r="D5" s="16" t="str">
        <x:v>Метизы Спец</x:v>
      </x:c>
      <x:c r="E5" s="16" t="str">
        <x:v>КГ</x:v>
      </x:c>
      <x:c r="F5" s="30" t="n">
        <x:v>0.5</x:v>
      </x:c>
      <x:c r="G5" s="17" t="n">
        <x:v>80.642</x:v>
      </x:c>
      <x:c r="H5" s="17" t="n">
        <x:f>G5*F5</x:f>
        <x:v>40.321</x:v>
      </x:c>
      <x:c r="I5" s="26" t="str">
        <x:f>HYPERLINK("https://etp-aktiv.ru/catalog/materialy/metizy/2000068402-W111/","Открыть позицию")</x:f>
        <x:v>Открыть позицию</x:v>
      </x:c>
    </x:row>
    <x:row r="6" ht="28" customHeight="1">
      <x:c r="A6" s="16" t="str">
        <x:v>Барнаульская ТЭЦ-2</x:v>
      </x:c>
      <x:c r="B6" s="16" t="str">
        <x:v>2000068357-W111</x:v>
      </x:c>
      <x:c r="C6" s="16" t="str">
        <x:v>БОЛТ М12*40 ГОСТ7798-70</x:v>
      </x:c>
      <x:c r="D6" s="16" t="str">
        <x:v>Метизы</x:v>
      </x:c>
      <x:c r="E6" s="16" t="str">
        <x:v>КГ</x:v>
      </x:c>
      <x:c r="F6" s="24" t="n">
        <x:v>2.78</x:v>
      </x:c>
      <x:c r="G6" s="17" t="n">
        <x:v>108.27499999999999</x:v>
      </x:c>
      <x:c r="H6" s="17" t="n">
        <x:f>G6*F6</x:f>
        <x:v>301.00449999999995</x:v>
      </x:c>
      <x:c r="I6" s="26" t="str">
        <x:f>HYPERLINK("https://etp-aktiv.ru/catalog/materialy/metizy/2000068357-W111/","Открыть позицию")</x:f>
        <x:v>Открыть позицию</x:v>
      </x:c>
    </x:row>
    <x:row r="7" ht="28" customHeight="1">
      <x:c r="A7" s="16" t="str">
        <x:v>Барнаульская ТЭЦ-2</x:v>
      </x:c>
      <x:c r="B7" s="16" t="str">
        <x:v>2000068297-W111</x:v>
      </x:c>
      <x:c r="C7" s="16" t="str">
        <x:v>БОЛТ М14*90 ГОСТ7805-70</x:v>
      </x:c>
      <x:c r="D7" s="16" t="str">
        <x:v>Метизы</x:v>
      </x:c>
      <x:c r="E7" s="16" t="str">
        <x:v>КГ</x:v>
      </x:c>
      <x:c r="F7" s="25" t="n">
        <x:v>10</x:v>
      </x:c>
      <x:c r="G7" s="17" t="n">
        <x:v>94.36699999999999</x:v>
      </x:c>
      <x:c r="H7" s="17" t="n">
        <x:f>G7*F7</x:f>
        <x:v>943.6699999999998</x:v>
      </x:c>
      <x:c r="I7" s="26" t="str">
        <x:f>HYPERLINK("https://etp-aktiv.ru/catalog/materialy/metizy/2000068297-W111/","Открыть позицию")</x:f>
        <x:v>Открыть позицию</x:v>
      </x:c>
    </x:row>
    <x:row r="8" ht="28" customHeight="1">
      <x:c r="A8" s="16" t="str">
        <x:v>Барнаульская ТЭЦ-2</x:v>
      </x:c>
      <x:c r="B8" s="16" t="str">
        <x:v>2000254606-W111</x:v>
      </x:c>
      <x:c r="C8" s="16" t="str">
        <x:v>БОЛТ М22*80 ГОСТ7798-70</x:v>
      </x:c>
      <x:c r="D8" s="16" t="str">
        <x:v>Метизы</x:v>
      </x:c>
      <x:c r="E8" s="16" t="str">
        <x:v>КГ</x:v>
      </x:c>
      <x:c r="F8" s="30" t="n">
        <x:v>0.15</x:v>
      </x:c>
      <x:c r="G8" s="17" t="n">
        <x:v>76.31099999999999</x:v>
      </x:c>
      <x:c r="H8" s="17" t="n">
        <x:f>G8*F8</x:f>
        <x:v>11.446649999999998</x:v>
      </x:c>
      <x:c r="I8" s="26" t="str">
        <x:f>HYPERLINK("https://etp-aktiv.ru/catalog/materialy/metizy/2000254606-W111/","Открыть позицию")</x:f>
        <x:v>Открыть позицию</x:v>
      </x:c>
    </x:row>
    <x:row r="9" ht="28" customHeight="1">
      <x:c r="A9" s="16" t="str">
        <x:v>Барнаульская ТЭЦ-2</x:v>
      </x:c>
      <x:c r="B9" s="16" t="str">
        <x:v>2000068441-W111</x:v>
      </x:c>
      <x:c r="C9" s="16" t="str">
        <x:v>БОЛТ М24*110 ГОСТ7805-70</x:v>
      </x:c>
      <x:c r="D9" s="16" t="str">
        <x:v>Метизы</x:v>
      </x:c>
      <x:c r="E9" s="16" t="str">
        <x:v>КГ</x:v>
      </x:c>
      <x:c r="F9" s="24" t="n">
        <x:v>11.5</x:v>
      </x:c>
      <x:c r="G9" s="17" t="n">
        <x:v>90.0726</x:v>
      </x:c>
      <x:c r="H9" s="17" t="n">
        <x:f>G9*F9</x:f>
        <x:v>1035.8348999999998</x:v>
      </x:c>
      <x:c r="I9" s="26" t="str">
        <x:f>HYPERLINK("https://etp-aktiv.ru/catalog/materialy/metizy/2000068441-W111/","Открыть позицию")</x:f>
        <x:v>Открыть позицию</x:v>
      </x:c>
    </x:row>
    <x:row r="10" ht="28" customHeight="1">
      <x:c r="A10" s="16" t="str">
        <x:v>Барнаульская ТЭЦ-2</x:v>
      </x:c>
      <x:c r="B10" s="16" t="str">
        <x:v>2000068329-W111</x:v>
      </x:c>
      <x:c r="C10" s="16" t="str">
        <x:v>БОЛТ М24*90 ГОСТ7798-70</x:v>
      </x:c>
      <x:c r="D10" s="16" t="str">
        <x:v>Метизы</x:v>
      </x:c>
      <x:c r="E10" s="16" t="str">
        <x:v>КГ</x:v>
      </x:c>
      <x:c r="F10" s="24" t="n">
        <x:v>76.158</x:v>
      </x:c>
      <x:c r="G10" s="17" t="n">
        <x:v>95.77</x:v>
      </x:c>
      <x:c r="H10" s="17" t="n">
        <x:f>G10*F10</x:f>
        <x:v>7293.6516599999995</x:v>
      </x:c>
      <x:c r="I10" s="26" t="str">
        <x:f>HYPERLINK("https://etp-aktiv.ru/catalog/materialy/metizy/2000068329-W111/","Открыть позицию")</x:f>
        <x:v>Открыть позицию</x:v>
      </x:c>
    </x:row>
    <x:row r="11" ht="28" customHeight="1">
      <x:c r="A11" s="16" t="str">
        <x:v>Барнаульская ТЭЦ-2</x:v>
      </x:c>
      <x:c r="B11" s="16" t="str">
        <x:v>2000480986-W111</x:v>
      </x:c>
      <x:c r="C11" s="16" t="str">
        <x:v>БОЛТ М24-6G*130.58 (S36) ГОСТ7798-70</x:v>
      </x:c>
      <x:c r="D11" s="16" t="str">
        <x:v>Метизы</x:v>
      </x:c>
      <x:c r="E11" s="16" t="str">
        <x:v>КГ</x:v>
      </x:c>
      <x:c r="F11" s="30" t="n">
        <x:v>0.4</x:v>
      </x:c>
      <x:c r="G11" s="17" t="n">
        <x:v>80.9348</x:v>
      </x:c>
      <x:c r="H11" s="17" t="n">
        <x:f>G11*F11</x:f>
        <x:v>32.37392</x:v>
      </x:c>
      <x:c r="I11" s="26" t="str">
        <x:f>HYPERLINK("https://etp-aktiv.ru/catalog/materialy/metizy/2000480986-W111/","Открыть позицию")</x:f>
        <x:v>Открыть позицию</x:v>
      </x:c>
    </x:row>
    <x:row r="12" ht="28" customHeight="1">
      <x:c r="A12" s="16" t="str">
        <x:v>Барнаульская ТЭЦ-2</x:v>
      </x:c>
      <x:c r="B12" s="16" t="str">
        <x:v>2000068335-W111</x:v>
      </x:c>
      <x:c r="C12" s="16" t="str">
        <x:v>БОЛТ М30*80 ГОСТ7798-70</x:v>
      </x:c>
      <x:c r="D12" s="16" t="str">
        <x:v>Метизы Спец</x:v>
      </x:c>
      <x:c r="E12" s="16" t="str">
        <x:v>КГ</x:v>
      </x:c>
      <x:c r="F12" s="30" t="n">
        <x:v>0.85</x:v>
      </x:c>
      <x:c r="G12" s="17" t="n">
        <x:v>105.7984</x:v>
      </x:c>
      <x:c r="H12" s="17" t="n">
        <x:f>G12*F12</x:f>
        <x:v>89.92864</x:v>
      </x:c>
      <x:c r="I12" s="26" t="str">
        <x:f>HYPERLINK("https://etp-aktiv.ru/catalog/materialy/metizy/2000068335-W111/","Открыть позицию")</x:f>
        <x:v>Открыть позицию</x:v>
      </x:c>
    </x:row>
    <x:row r="13" ht="28" customHeight="1">
      <x:c r="A13" s="16" t="str">
        <x:v>Барнаульская ТЭЦ-2</x:v>
      </x:c>
      <x:c r="B13" s="16" t="str">
        <x:v>2000529991-W111</x:v>
      </x:c>
      <x:c r="C13" s="16" t="str">
        <x:v>БОЛТ М36*140 ГОСТ7798-70</x:v>
      </x:c>
      <x:c r="D13" s="16" t="str">
        <x:v>Метизы</x:v>
      </x:c>
      <x:c r="E13" s="16" t="str">
        <x:v>КГ</x:v>
      </x:c>
      <x:c r="F13" s="24" t="n">
        <x:v>108.9</x:v>
      </x:c>
      <x:c r="G13" s="17" t="n">
        <x:v>141.8616</x:v>
      </x:c>
      <x:c r="H13" s="17" t="n">
        <x:f>G13*F13</x:f>
        <x:v>15448.728240000002</x:v>
      </x:c>
      <x:c r="I13" s="26" t="str">
        <x:f>HYPERLINK("https://etp-aktiv.ru/catalog/materialy/metizy/2000529991-W111/","Открыть позицию")</x:f>
        <x:v>Открыть позицию</x:v>
      </x:c>
    </x:row>
    <x:row r="14" ht="28" customHeight="1">
      <x:c r="A14" s="16" t="str">
        <x:v>Барнаульская ТЭЦ-2</x:v>
      </x:c>
      <x:c r="B14" s="16" t="str">
        <x:v>2000604196-W111</x:v>
      </x:c>
      <x:c r="C14" s="16" t="str">
        <x:v>БОЛТ М36*140.46 СТ20.019 (S55) ГОСТ 7798</x:v>
      </x:c>
      <x:c r="D14" s="16" t="str">
        <x:v>Метизы</x:v>
      </x:c>
      <x:c r="E14" s="16" t="str">
        <x:v>ШТ</x:v>
      </x:c>
      <x:c r="F14" s="25" t="n">
        <x:v>60</x:v>
      </x:c>
      <x:c r="G14" s="17" t="n">
        <x:v>139.995</x:v>
      </x:c>
      <x:c r="H14" s="17" t="n">
        <x:f>G14*F14</x:f>
        <x:v>8399.7</x:v>
      </x:c>
      <x:c r="I14" s="26" t="str">
        <x:f>HYPERLINK("https://etp-aktiv.ru/catalog/materialy/metizy/2000604196-W111/","Открыть позицию")</x:f>
        <x:v>Открыть позицию</x:v>
      </x:c>
    </x:row>
    <x:row r="15" ht="28" customHeight="1">
      <x:c r="A15" s="16" t="str">
        <x:v>Барнаульская ТЭЦ-2</x:v>
      </x:c>
      <x:c r="B15" s="16" t="str">
        <x:v>2000068366-W111</x:v>
      </x:c>
      <x:c r="C15" s="16" t="str">
        <x:v>БОЛТ М6*50 ГОСТ7798-70</x:v>
      </x:c>
      <x:c r="D15" s="16" t="str">
        <x:v>Метизы</x:v>
      </x:c>
      <x:c r="E15" s="16" t="str">
        <x:v>КГ</x:v>
      </x:c>
      <x:c r="F15" s="24" t="n">
        <x:v>3.9</x:v>
      </x:c>
      <x:c r="G15" s="17" t="n">
        <x:v>55.0708</x:v>
      </x:c>
      <x:c r="H15" s="17" t="n">
        <x:f>G15*F15</x:f>
        <x:v>214.77612</x:v>
      </x:c>
      <x:c r="I15" s="26" t="str">
        <x:f>HYPERLINK("https://etp-aktiv.ru/catalog/materialy/metizy/2000068366-W111/","Открыть позицию")</x:f>
        <x:v>Открыть позицию</x:v>
      </x:c>
    </x:row>
    <x:row r="16" ht="28" customHeight="1">
      <x:c r="A16" s="16" t="str">
        <x:v>Барнаульская ТЭЦ-2</x:v>
      </x:c>
      <x:c r="B16" s="16" t="str">
        <x:v>2000068376-W111</x:v>
      </x:c>
      <x:c r="C16" s="16" t="str">
        <x:v>БОЛТ М8*40 ГОСТ7805-70</x:v>
      </x:c>
      <x:c r="D16" s="16" t="str">
        <x:v>Метизы</x:v>
      </x:c>
      <x:c r="E16" s="16" t="str">
        <x:v>КГ</x:v>
      </x:c>
      <x:c r="F16" s="24" t="n">
        <x:v>3.555</x:v>
      </x:c>
      <x:c r="G16" s="17" t="n">
        <x:v>61.183</x:v>
      </x:c>
      <x:c r="H16" s="17" t="n">
        <x:f>G16*F16</x:f>
        <x:v>217.50556500000002</x:v>
      </x:c>
      <x:c r="I16" s="26" t="str">
        <x:f>HYPERLINK("https://etp-aktiv.ru/catalog/materialy/metizy/2000068376-W111/","Открыть позицию")</x:f>
        <x:v>Открыть позицию</x:v>
      </x:c>
    </x:row>
    <x:row r="17" ht="28" customHeight="1">
      <x:c r="A17" s="16" t="str">
        <x:v>Барнаульская ТЭЦ-2</x:v>
      </x:c>
      <x:c r="B17" s="16" t="str">
        <x:v>2000530006-W111</x:v>
      </x:c>
      <x:c r="C17" s="16" t="str">
        <x:v>БОЛТ ОТКИДНОЙ В.М12-6G*70 С 016 ГОСТ3033</x:v>
      </x:c>
      <x:c r="D17" s="16" t="str">
        <x:v>Метизы</x:v>
      </x:c>
      <x:c r="E17" s="16" t="str">
        <x:v>КГ</x:v>
      </x:c>
      <x:c r="F17" s="30" t="n">
        <x:v>0.48</x:v>
      </x:c>
      <x:c r="G17" s="17" t="n">
        <x:v>1037.1586</x:v>
      </x:c>
      <x:c r="H17" s="17" t="n">
        <x:f>G17*F17</x:f>
        <x:v>497.836128</x:v>
      </x:c>
      <x:c r="I17" s="26" t="str">
        <x:f>HYPERLINK("https://etp-aktiv.ru/catalog/materialy/metizy/2000530006-W111/","Открыть позицию")</x:f>
        <x:v>Открыть позицию</x:v>
      </x:c>
    </x:row>
    <x:row r="18" ht="28" customHeight="1">
      <x:c r="A18" s="16" t="str">
        <x:v>Барнаульская ТЭЦ-2</x:v>
      </x:c>
      <x:c r="B18" s="16" t="str">
        <x:v>2000530008-W111</x:v>
      </x:c>
      <x:c r="C18" s="16" t="str">
        <x:v>БОЛТ ОТКИДНОЙ В.М16-6G*80 С 016 ГОСТ3033</x:v>
      </x:c>
      <x:c r="D18" s="16" t="str">
        <x:v>Метизы</x:v>
      </x:c>
      <x:c r="E18" s="16" t="str">
        <x:v>КГ</x:v>
      </x:c>
      <x:c r="F18" s="24" t="n">
        <x:v>9.036</x:v>
      </x:c>
      <x:c r="G18" s="17" t="n">
        <x:v>658.5681999999999</x:v>
      </x:c>
      <x:c r="H18" s="17" t="n">
        <x:f>G18*F18</x:f>
        <x:v>5950.822255199999</x:v>
      </x:c>
      <x:c r="I18" s="26" t="str">
        <x:f>HYPERLINK("https://etp-aktiv.ru/catalog/materialy/metizy/2000530008-W111/","Открыть позицию")</x:f>
        <x:v>Открыть позицию</x:v>
      </x:c>
    </x:row>
    <x:row r="19" ht="28" customHeight="1">
      <x:c r="A19" s="16" t="str">
        <x:v>Барнаульская ТЭЦ-2</x:v>
      </x:c>
      <x:c r="B19" s="16" t="str">
        <x:v>2000530007-W111</x:v>
      </x:c>
      <x:c r="C19" s="16" t="str">
        <x:v>БОЛТ ОТКИДНОЙ В.М20-6G*125 С016 ГОСТ3033</x:v>
      </x:c>
      <x:c r="D19" s="16" t="str">
        <x:v>Метизы</x:v>
      </x:c>
      <x:c r="E19" s="16" t="str">
        <x:v>КГ</x:v>
      </x:c>
      <x:c r="F19" s="24" t="n">
        <x:v>2.89</x:v>
      </x:c>
      <x:c r="G19" s="17" t="n">
        <x:v>1092.2294</x:v>
      </x:c>
      <x:c r="H19" s="17" t="n">
        <x:f>G19*F19</x:f>
        <x:v>3156.542966</x:v>
      </x:c>
      <x:c r="I19" s="26" t="str">
        <x:f>HYPERLINK("https://etp-aktiv.ru/catalog/materialy/metizy/2000530007-W111/","Открыть позицию")</x:f>
        <x:v>Открыть позицию</x:v>
      </x:c>
    </x:row>
    <x:row r="20" ht="28" customHeight="1">
      <x:c r="A20" s="16" t="str">
        <x:v>Барнаульская ТЭЦ-2</x:v>
      </x:c>
      <x:c r="B20" s="16" t="str">
        <x:v>2000690905-W111</x:v>
      </x:c>
      <x:c r="C20" s="16" t="str">
        <x:v>ВИНТ А2.М6-6G*20.48 ГОСТ17475-80</x:v>
      </x:c>
      <x:c r="D20" s="16" t="str">
        <x:v>Метизы</x:v>
      </x:c>
      <x:c r="E20" s="16" t="str">
        <x:v>КГ</x:v>
      </x:c>
      <x:c r="F20" s="25" t="n">
        <x:v>1</x:v>
      </x:c>
      <x:c r="G20" s="17" t="n">
        <x:v>104.9932</x:v>
      </x:c>
      <x:c r="H20" s="17" t="n">
        <x:f>G20*F20</x:f>
        <x:v>104.9932</x:v>
      </x:c>
      <x:c r="I20" s="26" t="str">
        <x:f>HYPERLINK("https://etp-aktiv.ru/catalog/materialy/metizy/2000690905-W111/","Открыть позицию")</x:f>
        <x:v>Открыть позицию</x:v>
      </x:c>
    </x:row>
    <x:row r="21" ht="28" customHeight="1">
      <x:c r="A21" s="16" t="str">
        <x:v>Барнаульская ТЭЦ-2</x:v>
      </x:c>
      <x:c r="B21" s="16" t="str">
        <x:v>2000530033-W111</x:v>
      </x:c>
      <x:c r="C21" s="16" t="str">
        <x:v>ВИНТ М8-6G*25.48 ГОСТ17475-80</x:v>
      </x:c>
      <x:c r="D21" s="16" t="str">
        <x:v>Метизы</x:v>
      </x:c>
      <x:c r="E21" s="16" t="str">
        <x:v>КГ</x:v>
      </x:c>
      <x:c r="F21" s="30" t="n">
        <x:v>0.5</x:v>
      </x:c>
      <x:c r="G21" s="17" t="n">
        <x:v>304.74379999999996</x:v>
      </x:c>
      <x:c r="H21" s="17" t="n">
        <x:f>G21*F21</x:f>
        <x:v>152.37189999999998</x:v>
      </x:c>
      <x:c r="I21" s="26" t="str">
        <x:f>HYPERLINK("https://etp-aktiv.ru/catalog/materialy/metizy/2000530033-W111/","Открыть позицию")</x:f>
        <x:v>Открыть позицию</x:v>
      </x:c>
    </x:row>
    <x:row r="22" ht="28" customHeight="1">
      <x:c r="A22" s="16" t="str">
        <x:v>Барнаульская ТЭЦ-2</x:v>
      </x:c>
      <x:c r="B22" s="16" t="str">
        <x:v>2000530069-W111</x:v>
      </x:c>
      <x:c r="C22" s="16" t="str">
        <x:v>ГАЙКА М24-6H.05 S36 СТ3ПС2 ГОСТ5915-70</x:v>
      </x:c>
      <x:c r="D22" s="16" t="str">
        <x:v>Метизы</x:v>
      </x:c>
      <x:c r="E22" s="16" t="str">
        <x:v>КГ</x:v>
      </x:c>
      <x:c r="F22" s="30" t="n">
        <x:v>0.72</x:v>
      </x:c>
      <x:c r="G22" s="17" t="n">
        <x:v>29.267799999999998</x:v>
      </x:c>
      <x:c r="H22" s="17" t="n">
        <x:f>G22*F22</x:f>
        <x:v>21.072815999999996</x:v>
      </x:c>
      <x:c r="I22" s="26" t="str">
        <x:f>HYPERLINK("https://etp-aktiv.ru/catalog/materialy/metizy/2000530069-W111/","Открыть позицию")</x:f>
        <x:v>Открыть позицию</x:v>
      </x:c>
    </x:row>
    <x:row r="23" ht="28" customHeight="1">
      <x:c r="A23" s="16" t="str">
        <x:v>Барнаульская ТЭЦ-2</x:v>
      </x:c>
      <x:c r="B23" s="16" t="str">
        <x:v>2000530104-W111</x:v>
      </x:c>
      <x:c r="C23" s="16" t="str">
        <x:v>ГВОЗДЬ П 4*120 ГОСТ4028-63</x:v>
      </x:c>
      <x:c r="D23" s="16" t="str">
        <x:v>Метизы</x:v>
      </x:c>
      <x:c r="E23" s="16" t="str">
        <x:v>КГ</x:v>
      </x:c>
      <x:c r="F23" s="30" t="n">
        <x:v>0.15</x:v>
      </x:c>
      <x:c r="G23" s="17" t="n">
        <x:v>38.125</x:v>
      </x:c>
      <x:c r="H23" s="17" t="n">
        <x:f>G23*F23</x:f>
        <x:v>5.71875</x:v>
      </x:c>
      <x:c r="I23" s="26" t="str">
        <x:f>HYPERLINK("https://etp-aktiv.ru/catalog/materialy/metizy/2000530104-W111/","Открыть позицию")</x:f>
        <x:v>Открыть позицию</x:v>
      </x:c>
    </x:row>
    <x:row r="24" ht="28" customHeight="1">
      <x:c r="A24" s="16" t="str">
        <x:v>Барнаульская ТЭЦ-2</x:v>
      </x:c>
      <x:c r="B24" s="16" t="str">
        <x:v>2000691549-W111</x:v>
      </x:c>
      <x:c r="C24" s="16" t="str">
        <x:v>ДВУТАВР С345-1 30Б2 ГОСТР57837-2017</x:v>
      </x:c>
      <x:c r="D24" s="16" t="str">
        <x:v>М/прокат черный</x:v>
      </x:c>
      <x:c r="E24" s="16" t="str">
        <x:v>Т</x:v>
      </x:c>
      <x:c r="F24" s="30" t="n">
        <x:v>0.579</x:v>
      </x:c>
      <x:c r="G24" s="17" t="n">
        <x:v>102376.8856</x:v>
      </x:c>
      <x:c r="H24" s="17" t="n">
        <x:f>G24*F24</x:f>
        <x:v>59276.21676239999</x:v>
      </x:c>
      <x:c r="I24" s="26" t="str">
        <x:f>HYPERLINK("https://etp-aktiv.ru/catalog/materialy/metalloprodukciya/2000691549-W111/","Открыть позицию")</x:f>
        <x:v>Открыть позицию</x:v>
      </x:c>
    </x:row>
    <x:row r="25" ht="28" customHeight="1">
      <x:c r="A25" s="16" t="str">
        <x:v>Барнаульская ТЭЦ-2</x:v>
      </x:c>
      <x:c r="B25" s="16" t="str">
        <x:v>2000213154-W111</x:v>
      </x:c>
      <x:c r="C25" s="16" t="str">
        <x:v>ДВУТАВР СТ3 24 ГОСТ8239-89</x:v>
      </x:c>
      <x:c r="D25" s="16" t="str">
        <x:v>М/прокат черный</x:v>
      </x:c>
      <x:c r="E25" s="16" t="str">
        <x:v>Т</x:v>
      </x:c>
      <x:c r="F25" s="30" t="n">
        <x:v>0.46</x:v>
      </x:c>
      <x:c r="G25" s="17" t="n">
        <x:v>93330</x:v>
      </x:c>
      <x:c r="H25" s="17" t="n">
        <x:f>G25*F25</x:f>
        <x:v>42931.8</x:v>
      </x:c>
      <x:c r="I25" s="26" t="str">
        <x:f>HYPERLINK("https://etp-aktiv.ru/catalog/materialy/metalloprodukciya/2000213154-W111/","Открыть позицию")</x:f>
        <x:v>Открыть позицию</x:v>
      </x:c>
    </x:row>
    <x:row r="26" ht="28" customHeight="1">
      <x:c r="A26" s="16" t="str">
        <x:v>Барнаульская ТЭЦ-2</x:v>
      </x:c>
      <x:c r="B26" s="16" t="str">
        <x:v>2000242099-W111</x:v>
      </x:c>
      <x:c r="C26" s="16" t="str">
        <x:v>КРУГ 12Х18Н10Т D120ММ ГОСТ5949-75</x:v>
      </x:c>
      <x:c r="D26" s="16" t="str">
        <x:v>М/прокат нерж сталь</x:v>
      </x:c>
      <x:c r="E26" s="16" t="str">
        <x:v>Т</x:v>
      </x:c>
      <x:c r="F26" s="30" t="n">
        <x:v>0.075</x:v>
      </x:c>
      <x:c r="G26" s="17" t="n">
        <x:v>445300</x:v>
      </x:c>
      <x:c r="H26" s="17" t="n">
        <x:f>G26*F26</x:f>
        <x:v>33397.5</x:v>
      </x:c>
      <x:c r="I26" s="26" t="str">
        <x:f>HYPERLINK("https://etp-aktiv.ru/catalog/materialy/metalloprodukciya/2000242099-W111/","Открыть позицию")</x:f>
        <x:v>Открыть позицию</x:v>
      </x:c>
    </x:row>
    <x:row r="27" ht="28" customHeight="1">
      <x:c r="A27" s="16" t="str">
        <x:v>Барнаульская ТЭЦ-2</x:v>
      </x:c>
      <x:c r="B27" s="16" t="str">
        <x:v>2000169826-W111</x:v>
      </x:c>
      <x:c r="C27" s="16" t="str">
        <x:v>КРУГ 12Х1МФ D20ММ ГОСТ20072-74</x:v>
      </x:c>
      <x:c r="D27" s="16" t="str">
        <x:v>М/прокат нерж сталь</x:v>
      </x:c>
      <x:c r="E27" s="16" t="str">
        <x:v>Т</x:v>
      </x:c>
      <x:c r="F27" s="30" t="n">
        <x:v>0.03</x:v>
      </x:c>
      <x:c r="G27" s="17" t="n">
        <x:v>105548.4586</x:v>
      </x:c>
      <x:c r="H27" s="17" t="n">
        <x:f>G27*F27</x:f>
        <x:v>3166.4537579999997</x:v>
      </x:c>
      <x:c r="I27" s="26" t="str">
        <x:f>HYPERLINK("https://etp-aktiv.ru/catalog/materialy/metalloprodukciya/2000169826-W111/","Открыть позицию")</x:f>
        <x:v>Открыть позицию</x:v>
      </x:c>
    </x:row>
    <x:row r="28" ht="28" customHeight="1">
      <x:c r="A28" s="16" t="str">
        <x:v>Барнаульская ТЭЦ-2</x:v>
      </x:c>
      <x:c r="B28" s="16" t="str">
        <x:v>2000555547-W111</x:v>
      </x:c>
      <x:c r="C28" s="16" t="str">
        <x:v>КРУГ 12Х1МФ D250ММ ГОСТ20072-74</x:v>
      </x:c>
      <x:c r="D28" s="16" t="str">
        <x:v>М/прокат нерж сталь</x:v>
      </x:c>
      <x:c r="E28" s="16" t="str">
        <x:v>Т</x:v>
      </x:c>
      <x:c r="F28" s="30" t="n">
        <x:v>0.046</x:v>
      </x:c>
      <x:c r="G28" s="17" t="n">
        <x:v>160294.275</x:v>
      </x:c>
      <x:c r="H28" s="17" t="n">
        <x:f>G28*F28</x:f>
        <x:v>7373.53665</x:v>
      </x:c>
      <x:c r="I28" s="26" t="str">
        <x:f>HYPERLINK("https://etp-aktiv.ru/catalog/materialy/metalloprodukciya/2000555547-W111/","Открыть позицию")</x:f>
        <x:v>Открыть позицию</x:v>
      </x:c>
    </x:row>
    <x:row r="29" ht="28" customHeight="1">
      <x:c r="A29" s="16" t="str">
        <x:v>Барнаульская ТЭЦ-2</x:v>
      </x:c>
      <x:c r="B29" s="16" t="str">
        <x:v>2000253595-W111</x:v>
      </x:c>
      <x:c r="C29" s="16" t="str">
        <x:v>КРУГ 12Х1МФ D32ММ ГОСТ20072-74</x:v>
      </x:c>
      <x:c r="D29" s="16" t="str">
        <x:v>М/прокат нерж сталь</x:v>
      </x:c>
      <x:c r="E29" s="16" t="str">
        <x:v>Т</x:v>
      </x:c>
      <x:c r="F29" s="30" t="n">
        <x:v>0.079</x:v>
      </x:c>
      <x:c r="G29" s="17" t="n">
        <x:v>178428.0988</x:v>
      </x:c>
      <x:c r="H29" s="17" t="n">
        <x:f>G29*F29</x:f>
        <x:v>14095.8198052</x:v>
      </x:c>
      <x:c r="I29" s="26" t="str">
        <x:f>HYPERLINK("https://etp-aktiv.ru/catalog/materialy/metalloprodukciya/2000253595-W111/","Открыть позицию")</x:f>
        <x:v>Открыть позицию</x:v>
      </x:c>
    </x:row>
    <x:row r="30" ht="28" customHeight="1">
      <x:c r="A30" s="16" t="str">
        <x:v>Барнаульская ТЭЦ-2</x:v>
      </x:c>
      <x:c r="B30" s="16" t="str">
        <x:v>2000162824-W111</x:v>
      </x:c>
      <x:c r="C30" s="16" t="str">
        <x:v>КРУГ 12Х1МФ D36ММ ГОСТ20072-74</x:v>
      </x:c>
      <x:c r="D30" s="16" t="str">
        <x:v>М/прокат нерж сталь</x:v>
      </x:c>
      <x:c r="E30" s="16" t="str">
        <x:v>Т</x:v>
      </x:c>
      <x:c r="F30" s="30" t="n">
        <x:v>0.374</x:v>
      </x:c>
      <x:c r="G30" s="17" t="n">
        <x:v>104735.78</x:v>
      </x:c>
      <x:c r="H30" s="17" t="n">
        <x:f>G30*F30</x:f>
        <x:v>39171.18172</x:v>
      </x:c>
      <x:c r="I30" s="26" t="str">
        <x:f>HYPERLINK("https://etp-aktiv.ru/catalog/materialy/metalloprodukciya/2000162824-W111/","Открыть позицию")</x:f>
        <x:v>Открыть позицию</x:v>
      </x:c>
    </x:row>
    <x:row r="31" ht="28" customHeight="1">
      <x:c r="A31" s="16" t="str">
        <x:v>Барнаульская ТЭЦ-2</x:v>
      </x:c>
      <x:c r="B31" s="16" t="str">
        <x:v>2000584685-W111</x:v>
      </x:c>
      <x:c r="C31" s="16" t="str">
        <x:v>КРУГ 12Х1МФ D45ММ ГОСТ20072-74</x:v>
      </x:c>
      <x:c r="D31" s="16" t="str">
        <x:v>М/прокат нерж сталь</x:v>
      </x:c>
      <x:c r="E31" s="16" t="str">
        <x:v>Т</x:v>
      </x:c>
      <x:c r="F31" s="30" t="n">
        <x:v>0.055</x:v>
      </x:c>
      <x:c r="G31" s="17" t="n">
        <x:v>80497.125</x:v>
      </x:c>
      <x:c r="H31" s="17" t="n">
        <x:f>G31*F31</x:f>
        <x:v>4427.341875</x:v>
      </x:c>
      <x:c r="I31" s="26" t="str">
        <x:f>HYPERLINK("https://etp-aktiv.ru/catalog/materialy/metalloprodukciya/2000584685-W111/","Открыть позицию")</x:f>
        <x:v>Открыть позицию</x:v>
      </x:c>
    </x:row>
    <x:row r="32" ht="28" customHeight="1">
      <x:c r="A32" s="16" t="str">
        <x:v>Барнаульская ТЭЦ-2</x:v>
      </x:c>
      <x:c r="B32" s="16" t="str">
        <x:v>2000148462-W111</x:v>
      </x:c>
      <x:c r="C32" s="16" t="str">
        <x:v>КРУГ 12Х1МФ D60ММ ГОСТ20072-74</x:v>
      </x:c>
      <x:c r="D32" s="16" t="str">
        <x:v>М/прокат нерж сталь</x:v>
      </x:c>
      <x:c r="E32" s="16" t="str">
        <x:v>Т</x:v>
      </x:c>
      <x:c r="F32" s="30" t="n">
        <x:v>0.128</x:v>
      </x:c>
      <x:c r="G32" s="17" t="n">
        <x:v>174986.4056</x:v>
      </x:c>
      <x:c r="H32" s="17" t="n">
        <x:f>G32*F32</x:f>
        <x:v>22398.2599168</x:v>
      </x:c>
      <x:c r="I32" s="26" t="str">
        <x:f>HYPERLINK("https://etp-aktiv.ru/catalog/materialy/metalloprodukciya/2000148462-W111/","Открыть позицию")</x:f>
        <x:v>Открыть позицию</x:v>
      </x:c>
    </x:row>
    <x:row r="33" ht="28" customHeight="1">
      <x:c r="A33" s="16" t="str">
        <x:v>Барнаульская ТЭЦ-2</x:v>
      </x:c>
      <x:c r="B33" s="16" t="str">
        <x:v>2000866580-W111</x:v>
      </x:c>
      <x:c r="C33" s="16" t="str">
        <x:v>КРУГ 20Х13 D120ММ ГОСТ5632-2014</x:v>
      </x:c>
      <x:c r="D33" s="16" t="str">
        <x:v>М/прокат нерж сталь</x:v>
      </x:c>
      <x:c r="E33" s="16" t="str">
        <x:v>Т</x:v>
      </x:c>
      <x:c r="F33" s="30" t="n">
        <x:v>0.088</x:v>
      </x:c>
      <x:c r="G33" s="17" t="n">
        <x:v>118995.75</x:v>
      </x:c>
      <x:c r="H33" s="17" t="n">
        <x:f>G33*F33</x:f>
        <x:v>10471.626</x:v>
      </x:c>
      <x:c r="I33" s="26" t="str">
        <x:f>HYPERLINK("https://etp-aktiv.ru/catalog/materialy/metalloprodukciya/2000866580-W111/","Открыть позицию")</x:f>
        <x:v>Открыть позицию</x:v>
      </x:c>
    </x:row>
    <x:row r="34" ht="28" customHeight="1">
      <x:c r="A34" s="16" t="str">
        <x:v>Барнаульская ТЭЦ-2</x:v>
      </x:c>
      <x:c r="B34" s="16" t="str">
        <x:v>2000555535-W111</x:v>
      </x:c>
      <x:c r="C34" s="16" t="str">
        <x:v>КРУГ 25Х1МФ D100ММ ГОСТ20072-74</x:v>
      </x:c>
      <x:c r="D34" s="16" t="str">
        <x:v>М/прокат нерж сталь</x:v>
      </x:c>
      <x:c r="E34" s="16" t="str">
        <x:v>Т</x:v>
      </x:c>
      <x:c r="F34" s="30" t="n">
        <x:v>0.02</x:v>
      </x:c>
      <x:c r="G34" s="17" t="n">
        <x:v>152741.4136</x:v>
      </x:c>
      <x:c r="H34" s="17" t="n">
        <x:f>G34*F34</x:f>
        <x:v>3054.828272</x:v>
      </x:c>
      <x:c r="I34" s="26" t="str">
        <x:f>HYPERLINK("https://etp-aktiv.ru/catalog/materialy/metalloprodukciya/2000555535-W111/","Открыть позицию")</x:f>
        <x:v>Открыть позицию</x:v>
      </x:c>
    </x:row>
    <x:row r="35" ht="28" customHeight="1">
      <x:c r="A35" s="16" t="str">
        <x:v>Барнаульская ТЭЦ-2</x:v>
      </x:c>
      <x:c r="B35" s="16" t="str">
        <x:v>2000181903-W111</x:v>
      </x:c>
      <x:c r="C35" s="16" t="str">
        <x:v>КРУГ 25Х1МФ D50ММ ГОСТ20072-74</x:v>
      </x:c>
      <x:c r="D35" s="16" t="str">
        <x:v>М/прокат нерж сталь</x:v>
      </x:c>
      <x:c r="E35" s="16" t="str">
        <x:v>Т</x:v>
      </x:c>
      <x:c r="F35" s="30" t="n">
        <x:v>0.01</x:v>
      </x:c>
      <x:c r="G35" s="17" t="n">
        <x:v>173243.8186</x:v>
      </x:c>
      <x:c r="H35" s="17" t="n">
        <x:f>G35*F35</x:f>
        <x:v>1732.438186</x:v>
      </x:c>
      <x:c r="I35" s="26" t="str">
        <x:f>HYPERLINK("https://etp-aktiv.ru/catalog/materialy/metalloprodukciya/2000181903-W111/","Открыть позицию")</x:f>
        <x:v>Открыть позицию</x:v>
      </x:c>
    </x:row>
    <x:row r="36" ht="28" customHeight="1">
      <x:c r="A36" s="16" t="str">
        <x:v>Барнаульская ТЭЦ-2</x:v>
      </x:c>
      <x:c r="B36" s="16" t="str">
        <x:v>2000555563-W111</x:v>
      </x:c>
      <x:c r="C36" s="16" t="str">
        <x:v>КРУГ 25Х2М1Ф D65ММ ГОСТ20072-74</x:v>
      </x:c>
      <x:c r="D36" s="16" t="str">
        <x:v>М/прокат нерж сталь</x:v>
      </x:c>
      <x:c r="E36" s="16" t="str">
        <x:v>Т</x:v>
      </x:c>
      <x:c r="F36" s="30" t="n">
        <x:v>0.05</x:v>
      </x:c>
      <x:c r="G36" s="17" t="n">
        <x:v>186893.32499999998</x:v>
      </x:c>
      <x:c r="H36" s="17" t="n">
        <x:f>G36*F36</x:f>
        <x:v>9344.66625</x:v>
      </x:c>
      <x:c r="I36" s="26" t="str">
        <x:f>HYPERLINK("https://etp-aktiv.ru/catalog/materialy/metalloprodukciya/2000555563-W111/","Открыть позицию")</x:f>
        <x:v>Открыть позицию</x:v>
      </x:c>
    </x:row>
    <x:row r="37" ht="28" customHeight="1">
      <x:c r="A37" s="16" t="str">
        <x:v>Барнаульская ТЭЦ-2</x:v>
      </x:c>
      <x:c r="B37" s="16" t="str">
        <x:v>2000555759-W111</x:v>
      </x:c>
      <x:c r="C37" s="16" t="str">
        <x:v>КРУГ 30Х13 D120ММ ГОСТ5949-75</x:v>
      </x:c>
      <x:c r="D37" s="16" t="str">
        <x:v>М/прокат нерж сталь</x:v>
      </x:c>
      <x:c r="E37" s="16" t="str">
        <x:v>Т</x:v>
      </x:c>
      <x:c r="F37" s="30" t="n">
        <x:v>0.122</x:v>
      </x:c>
      <x:c r="G37" s="17" t="n">
        <x:v>188012.248</x:v>
      </x:c>
      <x:c r="H37" s="17" t="n">
        <x:f>G37*F37</x:f>
        <x:v>22937.494255999998</x:v>
      </x:c>
      <x:c r="I37" s="26" t="str">
        <x:f>HYPERLINK("https://etp-aktiv.ru/catalog/materialy/metalloprodukciya/2000555759-W111/","Открыть позицию")</x:f>
        <x:v>Открыть позицию</x:v>
      </x:c>
    </x:row>
    <x:row r="38" ht="28" customHeight="1">
      <x:c r="A38" s="16" t="str">
        <x:v>Барнаульская ТЭЦ-2</x:v>
      </x:c>
      <x:c r="B38" s="16" t="str">
        <x:v>2000555598-W111</x:v>
      </x:c>
      <x:c r="C38" s="16" t="str">
        <x:v>КРУГ 30ХМА D32ММ ГОСТ4543-71</x:v>
      </x:c>
      <x:c r="D38" s="16" t="str">
        <x:v>М/прокат нерж сталь</x:v>
      </x:c>
      <x:c r="E38" s="16" t="str">
        <x:v>КГ</x:v>
      </x:c>
      <x:c r="F38" s="25" t="n">
        <x:v>91</x:v>
      </x:c>
      <x:c r="G38" s="17" t="n">
        <x:v>78.2874</x:v>
      </x:c>
      <x:c r="H38" s="17" t="n">
        <x:f>G38*F38</x:f>
        <x:v>7124.1534</x:v>
      </x:c>
      <x:c r="I38" s="26" t="str">
        <x:f>HYPERLINK("https://etp-aktiv.ru/catalog/materialy/metalloprodukciya/2000555598-W111/","Открыть позицию")</x:f>
        <x:v>Открыть позицию</x:v>
      </x:c>
    </x:row>
    <x:row r="39" ht="28" customHeight="1">
      <x:c r="A39" s="16" t="str">
        <x:v>Барнаульская ТЭЦ-2</x:v>
      </x:c>
      <x:c r="B39" s="16" t="str">
        <x:v>2000015138-W111</x:v>
      </x:c>
      <x:c r="C39" s="16" t="str">
        <x:v>КРУГ СТ3 D30ММ ГОСТ2590-2006</x:v>
      </x:c>
      <x:c r="D39" s="16" t="str">
        <x:v>М/прокат черный</x:v>
      </x:c>
      <x:c r="E39" s="16" t="str">
        <x:v>Т</x:v>
      </x:c>
      <x:c r="F39" s="30" t="n">
        <x:v>0.664</x:v>
      </x:c>
      <x:c r="G39" s="17" t="n">
        <x:v>69276.50439999999</x:v>
      </x:c>
      <x:c r="H39" s="17" t="n">
        <x:f>G39*F39</x:f>
        <x:v>45999.598921599994</x:v>
      </x:c>
      <x:c r="I39" s="26" t="str">
        <x:f>HYPERLINK("https://etp-aktiv.ru/catalog/materialy/metalloprodukciya/2000015138-W111/","Открыть позицию")</x:f>
        <x:v>Открыть позицию</x:v>
      </x:c>
    </x:row>
    <x:row r="40" ht="28" customHeight="1">
      <x:c r="A40" s="16" t="str">
        <x:v>Барнаульская ТЭЦ-2</x:v>
      </x:c>
      <x:c r="B40" s="16" t="str">
        <x:v>2000014890-W111</x:v>
      </x:c>
      <x:c r="C40" s="16" t="str">
        <x:v>КРУГ СТ3 D40ММ ГОСТ2590-2006</x:v>
      </x:c>
      <x:c r="D40" s="16" t="str">
        <x:v>М/прокат черный</x:v>
      </x:c>
      <x:c r="E40" s="16" t="str">
        <x:v>Т</x:v>
      </x:c>
      <x:c r="F40" s="30" t="n">
        <x:v>0.25</x:v>
      </x:c>
      <x:c r="G40" s="17" t="n">
        <x:v>42226.945</x:v>
      </x:c>
      <x:c r="H40" s="17" t="n">
        <x:f>G40*F40</x:f>
        <x:v>10556.73625</x:v>
      </x:c>
      <x:c r="I40" s="26" t="str">
        <x:f>HYPERLINK("https://etp-aktiv.ru/catalog/materialy/metalloprodukciya/2000014890-W111/","Открыть позицию")</x:f>
        <x:v>Открыть позицию</x:v>
      </x:c>
    </x:row>
    <x:row r="41" ht="28" customHeight="1">
      <x:c r="A41" s="16" t="str">
        <x:v>Барнаульская ТЭЦ-2</x:v>
      </x:c>
      <x:c r="B41" s="16" t="str">
        <x:v>2000174763-W111</x:v>
      </x:c>
      <x:c r="C41" s="16" t="str">
        <x:v>КРУГ СТ3 D6ММ ГОСТ2590-2006</x:v>
      </x:c>
      <x:c r="D41" s="16" t="str">
        <x:v>М/прокат черный</x:v>
      </x:c>
      <x:c r="E41" s="16" t="str">
        <x:v>Т</x:v>
      </x:c>
      <x:c r="F41" s="30" t="n">
        <x:v>0.159</x:v>
      </x:c>
      <x:c r="G41" s="17" t="n">
        <x:v>57330.728</x:v>
      </x:c>
      <x:c r="H41" s="17" t="n">
        <x:f>G41*F41</x:f>
        <x:v>9115.585752</x:v>
      </x:c>
      <x:c r="I41" s="26" t="str">
        <x:f>HYPERLINK("https://etp-aktiv.ru/catalog/materialy/metalloprodukciya/2000174763-W111/","Открыть позицию")</x:f>
        <x:v>Открыть позицию</x:v>
      </x:c>
    </x:row>
    <x:row r="42" ht="28" customHeight="1">
      <x:c r="A42" s="16" t="str">
        <x:v>Барнаульская ТЭЦ-2</x:v>
      </x:c>
      <x:c r="B42" s="16" t="str">
        <x:v>2000142439-W111</x:v>
      </x:c>
      <x:c r="C42" s="16" t="str">
        <x:v>КРУГ СТ35 D30ММ ГОСТ1050-88</x:v>
      </x:c>
      <x:c r="D42" s="16" t="str">
        <x:v>М/прокат черный</x:v>
      </x:c>
      <x:c r="E42" s="16" t="str">
        <x:v>Т</x:v>
      </x:c>
      <x:c r="F42" s="30" t="n">
        <x:v>0.109</x:v>
      </x:c>
      <x:c r="G42" s="17" t="n">
        <x:v>51714.641</x:v>
      </x:c>
      <x:c r="H42" s="17" t="n">
        <x:f>G42*F42</x:f>
        <x:v>5636.895869</x:v>
      </x:c>
      <x:c r="I42" s="26" t="str">
        <x:f>HYPERLINK("https://etp-aktiv.ru/catalog/materialy/metalloprodukciya/2000142439-W111/","Открыть позицию")</x:f>
        <x:v>Открыть позицию</x:v>
      </x:c>
    </x:row>
    <x:row r="43" ht="28" customHeight="1">
      <x:c r="A43" s="16" t="str">
        <x:v>Барнаульская ТЭЦ-2</x:v>
      </x:c>
      <x:c r="B43" s="16" t="str">
        <x:v>2000555809-W111</x:v>
      </x:c>
      <x:c r="C43" s="16" t="str">
        <x:v>КРУГ СТ3СП3 D36ММ ГОСТ2590-2006</x:v>
      </x:c>
      <x:c r="D43" s="16" t="str">
        <x:v>М/прокат черный</x:v>
      </x:c>
      <x:c r="E43" s="16" t="str">
        <x:v>Т</x:v>
      </x:c>
      <x:c r="F43" s="30" t="n">
        <x:v>0.144</x:v>
      </x:c>
      <x:c r="G43" s="17" t="n">
        <x:v>57875.946</x:v>
      </x:c>
      <x:c r="H43" s="17" t="n">
        <x:f>G43*F43</x:f>
        <x:v>8334.136224</x:v>
      </x:c>
      <x:c r="I43" s="26" t="str">
        <x:f>HYPERLINK("https://etp-aktiv.ru/catalog/materialy/metalloprodukciya/2000555809-W111/","Открыть позицию")</x:f>
        <x:v>Открыть позицию</x:v>
      </x:c>
    </x:row>
    <x:row r="44" ht="28" customHeight="1">
      <x:c r="A44" s="16" t="str">
        <x:v>Барнаульская ТЭЦ-2</x:v>
      </x:c>
      <x:c r="B44" s="16" t="str">
        <x:v>2000015020-W111</x:v>
      </x:c>
      <x:c r="C44" s="16" t="str">
        <x:v>КРУГ СТ40Х D150ММ ГОСТ4543-71</x:v>
      </x:c>
      <x:c r="D44" s="16" t="str">
        <x:v>М/прокат черный</x:v>
      </x:c>
      <x:c r="E44" s="16" t="str">
        <x:v>Т</x:v>
      </x:c>
      <x:c r="F44" s="30" t="n">
        <x:v>0.032</x:v>
      </x:c>
      <x:c r="G44" s="17" t="n">
        <x:v>70683.75</x:v>
      </x:c>
      <x:c r="H44" s="17" t="n">
        <x:f>G44*F44</x:f>
        <x:v>2261.88</x:v>
      </x:c>
      <x:c r="I44" s="26" t="str">
        <x:f>HYPERLINK("https://etp-aktiv.ru/catalog/materialy/metalloprodukciya/2000015020-W111/","Открыть позицию")</x:f>
        <x:v>Открыть позицию</x:v>
      </x:c>
    </x:row>
    <x:row r="45" ht="28" customHeight="1">
      <x:c r="A45" s="16" t="str">
        <x:v>Барнаульская ТЭЦ-2</x:v>
      </x:c>
      <x:c r="B45" s="16" t="str">
        <x:v>2000724220-W111</x:v>
      </x:c>
      <x:c r="C45" s="16" t="str">
        <x:v>КРУГ СТ45 D120ММ ГОСТ2590-88</x:v>
      </x:c>
      <x:c r="D45" s="16" t="str">
        <x:v>М/прокат черный</x:v>
      </x:c>
      <x:c r="E45" s="16" t="str">
        <x:v>Т</x:v>
      </x:c>
      <x:c r="F45" s="30" t="n">
        <x:v>0.284</x:v>
      </x:c>
      <x:c r="G45" s="17" t="n">
        <x:v>67519.27739999999</x:v>
      </x:c>
      <x:c r="H45" s="17" t="n">
        <x:f>G45*F45</x:f>
        <x:v>19175.474781599994</x:v>
      </x:c>
      <x:c r="I45" s="26" t="str">
        <x:f>HYPERLINK("https://etp-aktiv.ru/catalog/materialy/metalloprodukciya/2000724220-W111/","Открыть позицию")</x:f>
        <x:v>Открыть позицию</x:v>
      </x:c>
    </x:row>
    <x:row r="46" ht="28" customHeight="1">
      <x:c r="A46" s="16" t="str">
        <x:v>Барнаульская ТЭЦ-2</x:v>
      </x:c>
      <x:c r="B46" s="16" t="str">
        <x:v>2000555783-W111</x:v>
      </x:c>
      <x:c r="C46" s="16" t="str">
        <x:v>КРУГ СТ45 D22ММ ГОСТ2590-2006</x:v>
      </x:c>
      <x:c r="D46" s="16" t="str">
        <x:v>М/прокат черный</x:v>
      </x:c>
      <x:c r="E46" s="16" t="str">
        <x:v>Т</x:v>
      </x:c>
      <x:c r="F46" s="30" t="n">
        <x:v>0.12</x:v>
      </x:c>
      <x:c r="G46" s="17" t="n">
        <x:v>48337.851800000004</x:v>
      </x:c>
      <x:c r="H46" s="17" t="n">
        <x:f>G46*F46</x:f>
        <x:v>5800.542216</x:v>
      </x:c>
      <x:c r="I46" s="26" t="str">
        <x:f>HYPERLINK("https://etp-aktiv.ru/catalog/materialy/metalloprodukciya/2000555783-W111/","Открыть позицию")</x:f>
        <x:v>Открыть позицию</x:v>
      </x:c>
    </x:row>
    <x:row r="47" ht="28" customHeight="1">
      <x:c r="A47" s="16" t="str">
        <x:v>Барнаульская ТЭЦ-2</x:v>
      </x:c>
      <x:c r="B47" s="16" t="str">
        <x:v>2000308891-W111</x:v>
      </x:c>
      <x:c r="C47" s="16" t="str">
        <x:v>ЛЕНТА 12Х18Н10Т 20*0,7ММ ГОСТ5582-75</x:v>
      </x:c>
      <x:c r="D47" s="16" t="str">
        <x:v>М/прокат нерж сталь</x:v>
      </x:c>
      <x:c r="E47" s="16" t="str">
        <x:v>Т</x:v>
      </x:c>
      <x:c r="F47" s="30" t="n">
        <x:v>0.102</x:v>
      </x:c>
      <x:c r="G47" s="17" t="n">
        <x:v>313837.009</x:v>
      </x:c>
      <x:c r="H47" s="17" t="n">
        <x:f>G47*F47</x:f>
        <x:v>32011.374918</x:v>
      </x:c>
      <x:c r="I47" s="26" t="str">
        <x:f>HYPERLINK("https://etp-aktiv.ru/catalog/materialy/metalloprodukciya/2000308891-W111/","Открыть позицию")</x:f>
        <x:v>Открыть позицию</x:v>
      </x:c>
    </x:row>
    <x:row r="48" ht="28" customHeight="1">
      <x:c r="A48" s="16" t="str">
        <x:v>Барнаульская ТЭЦ-2</x:v>
      </x:c>
      <x:c r="B48" s="16" t="str">
        <x:v>2000555924-W111</x:v>
      </x:c>
      <x:c r="C48" s="16" t="str">
        <x:v>ЛИСТ 09Г2С 20*1500*6000 ГОСТ19281-2014</x:v>
      </x:c>
      <x:c r="D48" s="16" t="str">
        <x:v>М/прокат черный</x:v>
      </x:c>
      <x:c r="E48" s="16" t="str">
        <x:v>Т</x:v>
      </x:c>
      <x:c r="F48" s="30" t="n">
        <x:v>0.198</x:v>
      </x:c>
      <x:c r="G48" s="17" t="n">
        <x:v>43748.4436</x:v>
      </x:c>
      <x:c r="H48" s="17" t="n">
        <x:f>G48*F48</x:f>
        <x:v>8662.1918328</x:v>
      </x:c>
      <x:c r="I48" s="26" t="str">
        <x:f>HYPERLINK("https://etp-aktiv.ru/catalog/materialy/metalloprodukciya/2000555924-W111/","Открыть позицию")</x:f>
        <x:v>Открыть позицию</x:v>
      </x:c>
    </x:row>
    <x:row r="49" ht="28" customHeight="1">
      <x:c r="A49" s="16" t="str">
        <x:v>Барнаульская ТЭЦ-2</x:v>
      </x:c>
      <x:c r="B49" s="16" t="str">
        <x:v>2000555635-W111</x:v>
      </x:c>
      <x:c r="C49" s="16" t="str">
        <x:v>ЛИСТ 12Х1МФ 40*1500*6000 ГОСТ7350-77</x:v>
      </x:c>
      <x:c r="D49" s="16" t="str">
        <x:v>М/прокат нерж сталь</x:v>
      </x:c>
      <x:c r="E49" s="16" t="str">
        <x:v>Т</x:v>
      </x:c>
      <x:c r="F49" s="30" t="n">
        <x:v>0.276</x:v>
      </x:c>
      <x:c r="G49" s="17" t="n">
        <x:v>78232.5</x:v>
      </x:c>
      <x:c r="H49" s="17" t="n">
        <x:f>G49*F49</x:f>
        <x:v>21592.170000000002</x:v>
      </x:c>
      <x:c r="I49" s="26" t="str">
        <x:f>HYPERLINK("https://etp-aktiv.ru/catalog/materialy/metalloprodukciya/2000555635-W111/","Открыть позицию")</x:f>
        <x:v>Открыть позицию</x:v>
      </x:c>
    </x:row>
    <x:row r="50" ht="28" customHeight="1">
      <x:c r="A50" s="16" t="str">
        <x:v>Барнаульская ТЭЦ-2</x:v>
      </x:c>
      <x:c r="B50" s="16" t="str">
        <x:v>2000937725-W111</x:v>
      </x:c>
      <x:c r="C50" s="16" t="str">
        <x:v>ЛИСТ АД1 3*1000*2000 ГОСТ21631-76</x:v>
      </x:c>
      <x:c r="D50" s="16" t="str">
        <x:v>М/прокат цветной</x:v>
      </x:c>
      <x:c r="E50" s="16" t="str">
        <x:v>КГ</x:v>
      </x:c>
      <x:c r="F50" s="24" t="n">
        <x:v>11.62</x:v>
      </x:c>
      <x:c r="G50" s="17" t="n">
        <x:v>267.6436</x:v>
      </x:c>
      <x:c r="H50" s="17" t="n">
        <x:f>G50*F50</x:f>
        <x:v>3110.018632</x:v>
      </x:c>
      <x:c r="I50" s="26" t="str">
        <x:f>HYPERLINK("https://etp-aktiv.ru/catalog/materialy/metalloprodukciya/2000937725-W111/","Открыть позицию")</x:f>
        <x:v>Открыть позицию</x:v>
      </x:c>
    </x:row>
    <x:row r="51" ht="28" customHeight="1">
      <x:c r="A51" s="16" t="str">
        <x:v>Барнаульская ТЭЦ-2</x:v>
      </x:c>
      <x:c r="B51" s="16" t="str">
        <x:v>2000746861-W111</x:v>
      </x:c>
      <x:c r="C51" s="16" t="str">
        <x:v>ЛИСТ АД1 4*1000*3000 ГОСТ21631-76</x:v>
      </x:c>
      <x:c r="D51" s="16" t="str">
        <x:v>М/прокат цветной</x:v>
      </x:c>
      <x:c r="E51" s="16" t="str">
        <x:v>КГ</x:v>
      </x:c>
      <x:c r="F51" s="24" t="n">
        <x:v>16.16</x:v>
      </x:c>
      <x:c r="G51" s="17" t="n">
        <x:v>550.3786</x:v>
      </x:c>
      <x:c r="H51" s="17" t="n">
        <x:f>G51*F51</x:f>
        <x:v>8894.118176</x:v>
      </x:c>
      <x:c r="I51" s="26" t="str">
        <x:f>HYPERLINK("https://etp-aktiv.ru/catalog/materialy/metalloprodukciya/2000746861-W111/","Открыть позицию")</x:f>
        <x:v>Открыть позицию</x:v>
      </x:c>
    </x:row>
    <x:row r="52" ht="28" customHeight="1">
      <x:c r="A52" s="16" t="str">
        <x:v>Барнаульская ТЭЦ-2</x:v>
      </x:c>
      <x:c r="B52" s="16" t="str">
        <x:v>2000454159-W111</x:v>
      </x:c>
      <x:c r="C52" s="16" t="str">
        <x:v>ЛИСТ ПВЛ 610 СТ3 ТУ-36.26.11-5-89</x:v>
      </x:c>
      <x:c r="D52" s="16" t="str">
        <x:v>М/прокат черный</x:v>
      </x:c>
      <x:c r="E52" s="16" t="str">
        <x:v>Т</x:v>
      </x:c>
      <x:c r="F52" s="30" t="n">
        <x:v>0.143</x:v>
      </x:c>
      <x:c r="G52" s="17" t="n">
        <x:v>91500</x:v>
      </x:c>
      <x:c r="H52" s="17" t="n">
        <x:f>G52*F52</x:f>
        <x:v>13084.499999999998</x:v>
      </x:c>
      <x:c r="I52" s="26" t="str">
        <x:f>HYPERLINK("https://etp-aktiv.ru/catalog/materialy/metalloprodukciya/2000454159-W111/","Открыть позицию")</x:f>
        <x:v>Открыть позицию</x:v>
      </x:c>
    </x:row>
    <x:row r="53" ht="28" customHeight="1">
      <x:c r="A53" s="16" t="str">
        <x:v>Барнаульская ТЭЦ-2</x:v>
      </x:c>
      <x:c r="B53" s="16" t="str">
        <x:v>2000630243-W111</x:v>
      </x:c>
      <x:c r="C53" s="16" t="str">
        <x:v>ЛИСТ С355 20*1500*6000 ГОСТ19903-74</x:v>
      </x:c>
      <x:c r="D53" s="16" t="str">
        <x:v>М/прокат черный</x:v>
      </x:c>
      <x:c r="E53" s="16" t="str">
        <x:v>Т</x:v>
      </x:c>
      <x:c r="F53" s="30" t="n">
        <x:v>0.627</x:v>
      </x:c>
      <x:c r="G53" s="17" t="n">
        <x:v>95404</x:v>
      </x:c>
      <x:c r="H53" s="17" t="n">
        <x:f>G53*F53</x:f>
        <x:v>59818.308</x:v>
      </x:c>
      <x:c r="I53" s="26" t="str">
        <x:f>HYPERLINK("https://etp-aktiv.ru/catalog/materialy/metalloprodukciya/2000630243-W111/","Открыть позицию")</x:f>
        <x:v>Открыть позицию</x:v>
      </x:c>
    </x:row>
    <x:row r="54" ht="28" customHeight="1">
      <x:c r="A54" s="16" t="str">
        <x:v>Барнаульская ТЭЦ-2</x:v>
      </x:c>
      <x:c r="B54" s="16" t="str">
        <x:v>2000555983-W111</x:v>
      </x:c>
      <x:c r="C54" s="16" t="str">
        <x:v>ЛИСТ СТ3СП ПВ1 510 800*3000 ГОСТ380-05</x:v>
      </x:c>
      <x:c r="D54" s="16" t="str">
        <x:v>М/прокат черный</x:v>
      </x:c>
      <x:c r="E54" s="16" t="str">
        <x:v>Т</x:v>
      </x:c>
      <x:c r="F54" s="30" t="n">
        <x:v>0.335</x:v>
      </x:c>
      <x:c r="G54" s="17" t="n">
        <x:v>19507.9342</x:v>
      </x:c>
      <x:c r="H54" s="17" t="n">
        <x:f>G54*F54</x:f>
        <x:v>6535.157957</x:v>
      </x:c>
      <x:c r="I54" s="26" t="str">
        <x:f>HYPERLINK("https://etp-aktiv.ru/catalog/materialy/metalloprodukciya/2000555983-W111/","Открыть позицию")</x:f>
        <x:v>Открыть позицию</x:v>
      </x:c>
    </x:row>
    <x:row r="55" ht="28" customHeight="1">
      <x:c r="A55" s="16" t="str">
        <x:v>Барнаульская ТЭЦ-2</x:v>
      </x:c>
      <x:c r="B55" s="16" t="str">
        <x:v>2000556245-W111</x:v>
      </x:c>
      <x:c r="C55" s="16" t="str">
        <x:v>ОЛОВО ПТ О1 8ММ ГОСТ860-75</x:v>
      </x:c>
      <x:c r="D55" s="16" t="str">
        <x:v>М/прокат цветной</x:v>
      </x:c>
      <x:c r="E55" s="16" t="str">
        <x:v>КГ</x:v>
      </x:c>
      <x:c r="F55" s="24" t="n">
        <x:v>1.6</x:v>
      </x:c>
      <x:c r="G55" s="17" t="n">
        <x:v>1673.413</x:v>
      </x:c>
      <x:c r="H55" s="17" t="n">
        <x:f>G55*F55</x:f>
        <x:v>2677.4608000000003</x:v>
      </x:c>
      <x:c r="I55" s="26" t="str">
        <x:f>HYPERLINK("https://etp-aktiv.ru/catalog/materialy/metalloprodukciya/2000556245-W111/","Открыть позицию")</x:f>
        <x:v>Открыть позицию</x:v>
      </x:c>
    </x:row>
    <x:row r="56" ht="28" customHeight="1">
      <x:c r="A56" s="16" t="str">
        <x:v>Барнаульская ТЭЦ-2</x:v>
      </x:c>
      <x:c r="B56" s="16" t="str">
        <x:v>2000611060-W111</x:v>
      </x:c>
      <x:c r="C56" s="16" t="str">
        <x:v>ОТЛИВКА СЧ15-32 120*300 ГОСТ1412-85</x:v>
      </x:c>
      <x:c r="D56" s="16" t="str">
        <x:v>Шихтовые материалы</x:v>
      </x:c>
      <x:c r="E56" s="16" t="str">
        <x:v>ШТ</x:v>
      </x:c>
      <x:c r="F56" s="25" t="n">
        <x:v>15</x:v>
      </x:c>
      <x:c r="G56" s="17" t="n">
        <x:v>2189.2412</x:v>
      </x:c>
      <x:c r="H56" s="17" t="n">
        <x:f>G56*F56</x:f>
        <x:v>32838.618</x:v>
      </x:c>
      <x:c r="I56" s="26" t="str">
        <x:f>HYPERLINK("https://etp-aktiv.ru/catalog/materialy/metalloprodukciya/2000611060-W111/","Открыть позицию")</x:f>
        <x:v>Открыть позицию</x:v>
      </x:c>
    </x:row>
    <x:row r="57" ht="28" customHeight="1">
      <x:c r="A57" s="16" t="str">
        <x:v>Барнаульская ТЭЦ-2</x:v>
      </x:c>
      <x:c r="B57" s="16" t="str">
        <x:v>2000446665-W111</x:v>
      </x:c>
      <x:c r="C57" s="16" t="str">
        <x:v>ПОЛОСА СТ3 5*50 ГОСТ103-2006</x:v>
      </x:c>
      <x:c r="D57" s="16" t="str">
        <x:v>М/прокат прочий</x:v>
      </x:c>
      <x:c r="E57" s="16" t="str">
        <x:v>Т</x:v>
      </x:c>
      <x:c r="F57" s="30" t="n">
        <x:v>0.011</x:v>
      </x:c>
      <x:c r="G57" s="17" t="n">
        <x:v>65304.965200000006</x:v>
      </x:c>
      <x:c r="H57" s="17" t="n">
        <x:f>G57*F57</x:f>
        <x:v>718.3546172</x:v>
      </x:c>
      <x:c r="I57" s="26" t="str">
        <x:f>HYPERLINK("https://etp-aktiv.ru/catalog/materialy/metalloprodukciya/2000446665-W111/","Открыть позицию")</x:f>
        <x:v>Открыть позицию</x:v>
      </x:c>
    </x:row>
    <x:row r="58" ht="28" customHeight="1">
      <x:c r="A58" s="16" t="str">
        <x:v>Барнаульская ТЭЦ-2</x:v>
      </x:c>
      <x:c r="B58" s="16" t="str">
        <x:v>2000555612-W111</x:v>
      </x:c>
      <x:c r="C58" s="16" t="str">
        <x:v>ПРОВОЛОКА 12Х18Н10Т 3ММ ГОСТ18143-72</x:v>
      </x:c>
      <x:c r="D58" s="16" t="str">
        <x:v>М/прокат нерж сталь</x:v>
      </x:c>
      <x:c r="E58" s="16" t="str">
        <x:v>Т</x:v>
      </x:c>
      <x:c r="F58" s="30" t="n">
        <x:v>0.001</x:v>
      </x:c>
      <x:c r="G58" s="17" t="n">
        <x:v>302636.25</x:v>
      </x:c>
      <x:c r="H58" s="17" t="n">
        <x:f>G58*F58</x:f>
        <x:v>302.63625</x:v>
      </x:c>
      <x:c r="I58" s="26" t="str">
        <x:f>HYPERLINK("https://etp-aktiv.ru/catalog/materialy/metalloprodukciya/2000555612-W111/","Открыть позицию")</x:f>
        <x:v>Открыть позицию</x:v>
      </x:c>
    </x:row>
    <x:row r="59" ht="28" customHeight="1">
      <x:c r="A59" s="16" t="str">
        <x:v>Барнаульская ТЭЦ-2</x:v>
      </x:c>
      <x:c r="B59" s="16" t="str">
        <x:v>2000530158-W111</x:v>
      </x:c>
      <x:c r="C59" s="16" t="str">
        <x:v>ПРОВОЛОКА 2 О-1Ц ГОСТ3282-74</x:v>
      </x:c>
      <x:c r="D59" s="16" t="str">
        <x:v>Метизы Спец</x:v>
      </x:c>
      <x:c r="E59" s="16" t="str">
        <x:v>КГ</x:v>
      </x:c>
      <x:c r="F59" s="24" t="n">
        <x:v>1.817</x:v>
      </x:c>
      <x:c r="G59" s="17" t="n">
        <x:v>164.578</x:v>
      </x:c>
      <x:c r="H59" s="17" t="n">
        <x:f>G59*F59</x:f>
        <x:v>299.038226</x:v>
      </x:c>
      <x:c r="I59" s="26" t="str">
        <x:f>HYPERLINK("https://etp-aktiv.ru/catalog/materialy/metizy/2000530158-W111/","Открыть позицию")</x:f>
        <x:v>Открыть позицию</x:v>
      </x:c>
    </x:row>
    <x:row r="60" ht="28" customHeight="1">
      <x:c r="A60" s="16" t="str">
        <x:v>Барнаульская ТЭЦ-2</x:v>
      </x:c>
      <x:c r="B60" s="16" t="str">
        <x:v>2000147432-W111</x:v>
      </x:c>
      <x:c r="C60" s="16" t="str">
        <x:v>ПРОВОЛОКА 2,0-О-С ГОСТ3282-74</x:v>
      </x:c>
      <x:c r="D60" s="16" t="str">
        <x:v>Метизы Спец</x:v>
      </x:c>
      <x:c r="E60" s="16" t="str">
        <x:v>Т</x:v>
      </x:c>
      <x:c r="F60" s="30" t="n">
        <x:v>0.01</x:v>
      </x:c>
      <x:c r="G60" s="17" t="n">
        <x:v>494333.325</x:v>
      </x:c>
      <x:c r="H60" s="17" t="n">
        <x:f>G60*F60</x:f>
        <x:v>4943.333250000001</x:v>
      </x:c>
      <x:c r="I60" s="26" t="str">
        <x:f>HYPERLINK("https://etp-aktiv.ru/catalog/materialy/metizy/2000147432-W111/","Открыть позицию")</x:f>
        <x:v>Открыть позицию</x:v>
      </x:c>
    </x:row>
    <x:row r="61" ht="28" customHeight="1">
      <x:c r="A61" s="16" t="str">
        <x:v>Барнаульская ТЭЦ-2</x:v>
      </x:c>
      <x:c r="B61" s="16" t="str">
        <x:v>2000530166-W111</x:v>
      </x:c>
      <x:c r="C61" s="16" t="str">
        <x:v>ПРОВОЛОКА 5 О ЧЕРНАЯ ГОСТ3282-74</x:v>
      </x:c>
      <x:c r="D61" s="16" t="str">
        <x:v>Метизы Спец</x:v>
      </x:c>
      <x:c r="E61" s="16" t="str">
        <x:v>Т</x:v>
      </x:c>
      <x:c r="F61" s="30" t="n">
        <x:v>0.272</x:v>
      </x:c>
      <x:c r="G61" s="17" t="n">
        <x:v>20525.7436</x:v>
      </x:c>
      <x:c r="H61" s="17" t="n">
        <x:f>G61*F61</x:f>
        <x:v>5583.0022592000005</x:v>
      </x:c>
      <x:c r="I61" s="26" t="str">
        <x:f>HYPERLINK("https://etp-aktiv.ru/catalog/materialy/metizy/2000530166-W111/","Открыть позицию")</x:f>
        <x:v>Открыть позицию</x:v>
      </x:c>
    </x:row>
    <x:row r="62" ht="28" customHeight="1">
      <x:c r="A62" s="16" t="str">
        <x:v>Барнаульская ТЭЦ-2</x:v>
      </x:c>
      <x:c r="B62" s="16" t="str">
        <x:v>2000546339-W111</x:v>
      </x:c>
      <x:c r="C62" s="16" t="str">
        <x:v>ПРОВОЛОКА СВ07Х25Н13 D1,2ММ ГОСТ2246-70</x:v>
      </x:c>
      <x:c r="D62" s="16" t="str">
        <x:v>Сварочные электроды</x:v>
      </x:c>
      <x:c r="E62" s="16" t="str">
        <x:v>КГ</x:v>
      </x:c>
      <x:c r="F62" s="24" t="n">
        <x:v>6.5</x:v>
      </x:c>
      <x:c r="G62" s="17" t="n">
        <x:v>550.891</x:v>
      </x:c>
      <x:c r="H62" s="17" t="n">
        <x:f>G62*F62</x:f>
        <x:v>3580.7915</x:v>
      </x:c>
      <x:c r="I62" s="26" t="str">
        <x:f>HYPERLINK("https://etp-aktiv.ru/catalog/materialy/svarochnye-ehlektrody/2000546339-W111/","Открыть позицию")</x:f>
        <x:v>Открыть позицию</x:v>
      </x:c>
    </x:row>
    <x:row r="63" ht="28" customHeight="1">
      <x:c r="A63" s="16" t="str">
        <x:v>Барнаульская ТЭЦ-2</x:v>
      </x:c>
      <x:c r="B63" s="16" t="str">
        <x:v>2000546356-W111</x:v>
      </x:c>
      <x:c r="C63" s="16" t="str">
        <x:v>ПРОВОЛОКА СВ07Х25Н13 D2ММ ГОСТ2246-70</x:v>
      </x:c>
      <x:c r="D63" s="16" t="str">
        <x:v>Сварочные электроды</x:v>
      </x:c>
      <x:c r="E63" s="16" t="str">
        <x:v>КГ</x:v>
      </x:c>
      <x:c r="F63" s="24" t="n">
        <x:v>31.6</x:v>
      </x:c>
      <x:c r="G63" s="17" t="n">
        <x:v>1648.8056</x:v>
      </x:c>
      <x:c r="H63" s="17" t="n">
        <x:f>G63*F63</x:f>
        <x:v>52102.25696</x:v>
      </x:c>
      <x:c r="I63" s="26" t="str">
        <x:f>HYPERLINK("https://etp-aktiv.ru/catalog/materialy/svarochnye-ehlektrody/2000546356-W111/","Открыть позицию")</x:f>
        <x:v>Открыть позицию</x:v>
      </x:c>
    </x:row>
    <x:row r="64" ht="28" customHeight="1">
      <x:c r="A64" s="16" t="str">
        <x:v>Барнаульская ТЭЦ-2</x:v>
      </x:c>
      <x:c r="B64" s="16" t="str">
        <x:v>2000546349-W111</x:v>
      </x:c>
      <x:c r="C64" s="16" t="str">
        <x:v>ПРОВОЛОКА СВ08Г2С D1,6ММ ГОСТ2246-70</x:v>
      </x:c>
      <x:c r="D64" s="16" t="str">
        <x:v>Сварочные электроды</x:v>
      </x:c>
      <x:c r="E64" s="16" t="str">
        <x:v>КГ</x:v>
      </x:c>
      <x:c r="F64" s="24" t="n">
        <x:v>6.27</x:v>
      </x:c>
      <x:c r="G64" s="17" t="n">
        <x:v>53.04559999999999</x:v>
      </x:c>
      <x:c r="H64" s="17" t="n">
        <x:f>G64*F64</x:f>
        <x:v>332.59591199999994</x:v>
      </x:c>
      <x:c r="I64" s="26" t="str">
        <x:f>HYPERLINK("https://etp-aktiv.ru/catalog/materialy/svarochnye-ehlektrody/2000546349-W111/","Открыть позицию")</x:f>
        <x:v>Открыть позицию</x:v>
      </x:c>
    </x:row>
    <x:row r="65" ht="28" customHeight="1">
      <x:c r="A65" s="16" t="str">
        <x:v>Барнаульская ТЭЦ-2</x:v>
      </x:c>
      <x:c r="B65" s="16" t="str">
        <x:v>2000035824-W111</x:v>
      </x:c>
      <x:c r="C65" s="16" t="str">
        <x:v>ПРОВОЛОКА СВ08Г2С D1,6ММ ГОСТ2246-70 (Т)</x:v>
      </x:c>
      <x:c r="D65" s="16" t="str">
        <x:v>Сварочные электроды</x:v>
      </x:c>
      <x:c r="E65" s="16" t="str">
        <x:v>Т</x:v>
      </x:c>
      <x:c r="F65" s="30" t="n">
        <x:v>0.048</x:v>
      </x:c>
      <x:c r="G65" s="17" t="n">
        <x:v>81897.075</x:v>
      </x:c>
      <x:c r="H65" s="17" t="n">
        <x:f>G65*F65</x:f>
        <x:v>3931.0596</x:v>
      </x:c>
      <x:c r="I65" s="26" t="str">
        <x:f>HYPERLINK("https://etp-aktiv.ru/catalog/materialy/svarochnye-ehlektrody/2000035824-W111/","Открыть позицию")</x:f>
        <x:v>Открыть позицию</x:v>
      </x:c>
    </x:row>
    <x:row r="66" ht="28" customHeight="1">
      <x:c r="A66" s="16" t="str">
        <x:v>Барнаульская ТЭЦ-2</x:v>
      </x:c>
      <x:c r="B66" s="16" t="str">
        <x:v>2000546340-W111</x:v>
      </x:c>
      <x:c r="C66" s="16" t="str">
        <x:v>ПРОВОЛОКА СВ08Х18Н10Г2Б 1,6 ГОСТ2246-70</x:v>
      </x:c>
      <x:c r="D66" s="16" t="str">
        <x:v>Сварочные электроды</x:v>
      </x:c>
      <x:c r="E66" s="16" t="str">
        <x:v>КГ</x:v>
      </x:c>
      <x:c r="F66" s="24" t="n">
        <x:v>3.4</x:v>
      </x:c>
      <x:c r="G66" s="17" t="n">
        <x:v>386.6302</x:v>
      </x:c>
      <x:c r="H66" s="17" t="n">
        <x:f>G66*F66</x:f>
        <x:v>1314.54268</x:v>
      </x:c>
      <x:c r="I66" s="26" t="str">
        <x:f>HYPERLINK("https://etp-aktiv.ru/catalog/materialy/svarochnye-ehlektrody/2000546340-W111/","Открыть позицию")</x:f>
        <x:v>Открыть позицию</x:v>
      </x:c>
    </x:row>
    <x:row r="67" ht="28" customHeight="1">
      <x:c r="A67" s="16" t="str">
        <x:v>Барнаульская ТЭЦ-2</x:v>
      </x:c>
      <x:c r="B67" s="16" t="str">
        <x:v>2000546359-W111</x:v>
      </x:c>
      <x:c r="C67" s="16" t="str">
        <x:v>ПРОВОЛОКА СВ08Х19Н10Г2Б D2ММ ГОСТ2246-70</x:v>
      </x:c>
      <x:c r="D67" s="16" t="str">
        <x:v>Сварочные электроды</x:v>
      </x:c>
      <x:c r="E67" s="16" t="str">
        <x:v>КГ</x:v>
      </x:c>
      <x:c r="F67" s="24" t="n">
        <x:v>33.65</x:v>
      </x:c>
      <x:c r="G67" s="17" t="n">
        <x:v>1551.3154</x:v>
      </x:c>
      <x:c r="H67" s="17" t="n">
        <x:f>G67*F67</x:f>
        <x:v>52201.76321</x:v>
      </x:c>
      <x:c r="I67" s="26" t="str">
        <x:f>HYPERLINK("https://etp-aktiv.ru/catalog/materialy/svarochnye-ehlektrody/2000546359-W111/","Открыть позицию")</x:f>
        <x:v>Открыть позицию</x:v>
      </x:c>
    </x:row>
    <x:row r="68" ht="28" customHeight="1">
      <x:c r="A68" s="16" t="str">
        <x:v>Барнаульская ТЭЦ-2</x:v>
      </x:c>
      <x:c r="B68" s="16" t="str">
        <x:v>2000546361-W111</x:v>
      </x:c>
      <x:c r="C68" s="16" t="str">
        <x:v>ПРОВОЛОКА СВ08ХМФА D2ММ ГОСТ2246-70</x:v>
      </x:c>
      <x:c r="D68" s="16" t="str">
        <x:v>Сварочные электроды</x:v>
      </x:c>
      <x:c r="E68" s="16" t="str">
        <x:v>КГ</x:v>
      </x:c>
      <x:c r="F68" s="24" t="n">
        <x:v>31.7</x:v>
      </x:c>
      <x:c r="G68" s="17" t="n">
        <x:v>206.0702</x:v>
      </x:c>
      <x:c r="H68" s="17" t="n">
        <x:f>G68*F68</x:f>
        <x:v>6532.42534</x:v>
      </x:c>
      <x:c r="I68" s="26" t="str">
        <x:f>HYPERLINK("https://etp-aktiv.ru/catalog/materialy/svarochnye-ehlektrody/2000546361-W111/","Открыть позицию")</x:f>
        <x:v>Открыть позицию</x:v>
      </x:c>
    </x:row>
    <x:row r="69" ht="28" customHeight="1">
      <x:c r="A69" s="16" t="str">
        <x:v>Барнаульская ТЭЦ-2</x:v>
      </x:c>
      <x:c r="B69" s="16" t="str">
        <x:v>2000147522-W111</x:v>
      </x:c>
      <x:c r="C69" s="16" t="str">
        <x:v>ПРУТОК БРАЖ 9-4 D50ММ ГОСТ1628-78</x:v>
      </x:c>
      <x:c r="D69" s="16" t="str">
        <x:v>М/прокат цветной</x:v>
      </x:c>
      <x:c r="E69" s="16" t="str">
        <x:v>КГ</x:v>
      </x:c>
      <x:c r="F69" s="24" t="n">
        <x:v>4.9</x:v>
      </x:c>
      <x:c r="G69" s="17" t="n">
        <x:v>784.3502</x:v>
      </x:c>
      <x:c r="H69" s="17" t="n">
        <x:f>G69*F69</x:f>
        <x:v>3843.3159800000003</x:v>
      </x:c>
      <x:c r="I69" s="26" t="str">
        <x:f>HYPERLINK("https://etp-aktiv.ru/catalog/materialy/metalloprodukciya/2000147522-W111/","Открыть позицию")</x:f>
        <x:v>Открыть позицию</x:v>
      </x:c>
    </x:row>
    <x:row r="70" ht="28" customHeight="1">
      <x:c r="A70" s="16" t="str">
        <x:v>Барнаульская ТЭЦ-2</x:v>
      </x:c>
      <x:c r="B70" s="16" t="str">
        <x:v>2000556353-W111</x:v>
      </x:c>
      <x:c r="C70" s="16" t="str">
        <x:v>ПРУТОК БРАЖ9-4 60*3000 ГОСТ1628-78</x:v>
      </x:c>
      <x:c r="D70" s="16" t="str">
        <x:v>М/прокат цветной</x:v>
      </x:c>
      <x:c r="E70" s="16" t="str">
        <x:v>КГ</x:v>
      </x:c>
      <x:c r="F70" s="24" t="n">
        <x:v>7.84</x:v>
      </x:c>
      <x:c r="G70" s="17" t="n">
        <x:v>732</x:v>
      </x:c>
      <x:c r="H70" s="17" t="n">
        <x:f>G70*F70</x:f>
        <x:v>5738.88</x:v>
      </x:c>
      <x:c r="I70" s="26" t="str">
        <x:f>HYPERLINK("https://etp-aktiv.ru/catalog/materialy/metalloprodukciya/2000556353-W111/","Открыть позицию")</x:f>
        <x:v>Открыть позицию</x:v>
      </x:c>
    </x:row>
    <x:row r="71" ht="28" customHeight="1">
      <x:c r="A71" s="16" t="str">
        <x:v>Барнаульская ТЭЦ-2</x:v>
      </x:c>
      <x:c r="B71" s="16" t="str">
        <x:v>2000556335-W111</x:v>
      </x:c>
      <x:c r="C71" s="16" t="str">
        <x:v>ПРУТОК БРО5Ц5С5 60*2000-2 ГОСТ24301-93</x:v>
      </x:c>
      <x:c r="D71" s="16" t="str">
        <x:v>М/прокат цветной</x:v>
      </x:c>
      <x:c r="E71" s="16" t="str">
        <x:v>КГ</x:v>
      </x:c>
      <x:c r="F71" s="30" t="n">
        <x:v>0.6</x:v>
      </x:c>
      <x:c r="G71" s="17" t="n">
        <x:v>732</x:v>
      </x:c>
      <x:c r="H71" s="17" t="n">
        <x:f>G71*F71</x:f>
        <x:v>439.2</x:v>
      </x:c>
      <x:c r="I71" s="26" t="str">
        <x:f>HYPERLINK("https://etp-aktiv.ru/catalog/materialy/metalloprodukciya/2000556335-W111/","Открыть позицию")</x:f>
        <x:v>Открыть позицию</x:v>
      </x:c>
    </x:row>
    <x:row r="72" ht="28" customHeight="1">
      <x:c r="A72" s="16" t="str">
        <x:v>Барнаульская ТЭЦ-2</x:v>
      </x:c>
      <x:c r="B72" s="16" t="str">
        <x:v>2000337217-W111</x:v>
      </x:c>
      <x:c r="C72" s="16" t="str">
        <x:v>РЫМ-ГАЙКА М12 8 ОЦИНК DIN582</x:v>
      </x:c>
      <x:c r="D72" s="16" t="str">
        <x:v>Метизы</x:v>
      </x:c>
      <x:c r="E72" s="16" t="str">
        <x:v>ШТ</x:v>
      </x:c>
      <x:c r="F72" s="25" t="n">
        <x:v>2</x:v>
      </x:c>
      <x:c r="G72" s="17" t="n">
        <x:v>50.459199999999996</x:v>
      </x:c>
      <x:c r="H72" s="17" t="n">
        <x:f>G72*F72</x:f>
        <x:v>100.91839999999999</x:v>
      </x:c>
      <x:c r="I72" s="26" t="str">
        <x:f>HYPERLINK("https://etp-aktiv.ru/catalog/materialy/metizy/2000337217-W111/","Открыть позицию")</x:f>
        <x:v>Открыть позицию</x:v>
      </x:c>
    </x:row>
    <x:row r="73" ht="28" customHeight="1">
      <x:c r="A73" s="16" t="str">
        <x:v>Барнаульская ТЭЦ-2</x:v>
      </x:c>
      <x:c r="B73" s="16" t="str">
        <x:v>2000534724-W111</x:v>
      </x:c>
      <x:c r="C73" s="16" t="str">
        <x:v>САМОРЕЗ 4,2*13 ПО МЕТАЛЛУ ГОСТ10510-2013</x:v>
      </x:c>
      <x:c r="D73" s="16" t="str">
        <x:v>Метизы Спец</x:v>
      </x:c>
      <x:c r="E73" s="16" t="str">
        <x:v>КГ</x:v>
      </x:c>
      <x:c r="F73" s="24" t="n">
        <x:v>23.625</x:v>
      </x:c>
      <x:c r="G73" s="17" t="n">
        <x:v>147.77859999999998</x:v>
      </x:c>
      <x:c r="H73" s="17" t="n">
        <x:f>G73*F73</x:f>
        <x:v>3491.2694249999995</x:v>
      </x:c>
      <x:c r="I73" s="26" t="str">
        <x:f>HYPERLINK("https://etp-aktiv.ru/catalog/materialy/metizy/2000534724-W111/","Открыть позицию")</x:f>
        <x:v>Открыть позицию</x:v>
      </x:c>
    </x:row>
    <x:row r="74" ht="28" customHeight="1">
      <x:c r="A74" s="16" t="str">
        <x:v>Барнаульская ТЭЦ-2</x:v>
      </x:c>
      <x:c r="B74" s="16" t="str">
        <x:v>2000148466-W111</x:v>
      </x:c>
      <x:c r="C74" s="16" t="str">
        <x:v>УГОЛОК СТ3 40*40*4 ГОСТ8509-93</x:v>
      </x:c>
      <x:c r="D74" s="16" t="str">
        <x:v>М/прокат черный</x:v>
      </x:c>
      <x:c r="E74" s="16" t="str">
        <x:v>Т</x:v>
      </x:c>
      <x:c r="F74" s="30" t="n">
        <x:v>0.086</x:v>
      </x:c>
      <x:c r="G74" s="17" t="n">
        <x:v>50797.127799999995</x:v>
      </x:c>
      <x:c r="H74" s="17" t="n">
        <x:f>G74*F74</x:f>
        <x:v>4368.552990799999</x:v>
      </x:c>
      <x:c r="I74" s="26" t="str">
        <x:f>HYPERLINK("https://etp-aktiv.ru/catalog/materialy/metalloprodukciya/2000148466-W111/","Открыть позицию")</x:f>
        <x:v>Открыть позицию</x:v>
      </x:c>
    </x:row>
    <x:row r="75" ht="28" customHeight="1">
      <x:c r="A75" s="16" t="str">
        <x:v>Барнаульская ТЭЦ-2</x:v>
      </x:c>
      <x:c r="B75" s="16" t="str">
        <x:v>2000165127-W111</x:v>
      </x:c>
      <x:c r="C75" s="16" t="str">
        <x:v>УГОЛОК СТ3 63*63*6 ГОСТ8509-93</x:v>
      </x:c>
      <x:c r="D75" s="16" t="str">
        <x:v>М/прокат черный</x:v>
      </x:c>
      <x:c r="E75" s="16" t="str">
        <x:v>Т</x:v>
      </x:c>
      <x:c r="F75" s="30" t="n">
        <x:v>0.053</x:v>
      </x:c>
      <x:c r="G75" s="17" t="n">
        <x:v>52860.538199999995</x:v>
      </x:c>
      <x:c r="H75" s="17" t="n">
        <x:f>G75*F75</x:f>
        <x:v>2801.6085246</x:v>
      </x:c>
      <x:c r="I75" s="26" t="str">
        <x:f>HYPERLINK("https://etp-aktiv.ru/catalog/materialy/metalloprodukciya/2000165127-W111/","Открыть позицию")</x:f>
        <x:v>Открыть позицию</x:v>
      </x:c>
    </x:row>
    <x:row r="76" ht="28" customHeight="1">
      <x:c r="A76" s="16" t="str">
        <x:v>Барнаульская ТЭЦ-2</x:v>
      </x:c>
      <x:c r="B76" s="16" t="str">
        <x:v>2000165109-W111</x:v>
      </x:c>
      <x:c r="C76" s="16" t="str">
        <x:v>УГОЛОК СТ3СП5 63*63*5 ГОСТ8509-93</x:v>
      </x:c>
      <x:c r="D76" s="16" t="str">
        <x:v>М/прокат черный</x:v>
      </x:c>
      <x:c r="E76" s="16" t="str">
        <x:v>Т</x:v>
      </x:c>
      <x:c r="F76" s="30" t="n">
        <x:v>0.031</x:v>
      </x:c>
      <x:c r="G76" s="17" t="n">
        <x:v>40296.3072</x:v>
      </x:c>
      <x:c r="H76" s="17" t="n">
        <x:f>G76*F76</x:f>
        <x:v>1249.1855232</x:v>
      </x:c>
      <x:c r="I76" s="26" t="str">
        <x:f>HYPERLINK("https://etp-aktiv.ru/catalog/materialy/metalloprodukciya/2000165109-W111/","Открыть позицию")</x:f>
        <x:v>Открыть позицию</x:v>
      </x:c>
    </x:row>
    <x:row r="77" ht="28" customHeight="1">
      <x:c r="A77" s="16" t="str">
        <x:v>Барнаульская ТЭЦ-2</x:v>
      </x:c>
      <x:c r="B77" s="16" t="str">
        <x:v>2000530241-W111</x:v>
      </x:c>
      <x:c r="C77" s="16" t="str">
        <x:v>ШАЙБА ПЛОСКАЯ 12 СТ20Х1М1Ф1ТР ГОСТ11371</x:v>
      </x:c>
      <x:c r="D77" s="16" t="str">
        <x:v>Метизы</x:v>
      </x:c>
      <x:c r="E77" s="16" t="str">
        <x:v>КГ</x:v>
      </x:c>
      <x:c r="F77" s="25" t="n">
        <x:v>2</x:v>
      </x:c>
      <x:c r="G77" s="17" t="n">
        <x:v>160.9912</x:v>
      </x:c>
      <x:c r="H77" s="17" t="n">
        <x:f>G77*F77</x:f>
        <x:v>321.9824</x:v>
      </x:c>
      <x:c r="I77" s="26" t="str">
        <x:f>HYPERLINK("https://etp-aktiv.ru/catalog/materialy/metizy/2000530241-W111/","Открыть позицию")</x:f>
        <x:v>Открыть позицию</x:v>
      </x:c>
    </x:row>
    <x:row r="78" ht="28" customHeight="1">
      <x:c r="A78" s="16" t="str">
        <x:v>Барнаульская ТЭЦ-2</x:v>
      </x:c>
      <x:c r="B78" s="16" t="str">
        <x:v>2000530250-W111</x:v>
      </x:c>
      <x:c r="C78" s="16" t="str">
        <x:v>ШАЙБА ПЛОСКАЯ А.12 ГОСТ10450-78</x:v>
      </x:c>
      <x:c r="D78" s="16" t="str">
        <x:v>Метизы</x:v>
      </x:c>
      <x:c r="E78" s="16" t="str">
        <x:v>КГ</x:v>
      </x:c>
      <x:c r="F78" s="25" t="n">
        <x:v>1</x:v>
      </x:c>
      <x:c r="G78" s="17" t="n">
        <x:v>83.38699999999999</x:v>
      </x:c>
      <x:c r="H78" s="17" t="n">
        <x:f>G78*F78</x:f>
        <x:v>83.38699999999999</x:v>
      </x:c>
      <x:c r="I78" s="26" t="str">
        <x:f>HYPERLINK("https://etp-aktiv.ru/catalog/materialy/metizy/2000530250-W111/","Открыть позицию")</x:f>
        <x:v>Открыть позицию</x:v>
      </x:c>
    </x:row>
    <x:row r="79" ht="28" customHeight="1">
      <x:c r="A79" s="16" t="str">
        <x:v>Барнаульская ТЭЦ-2</x:v>
      </x:c>
      <x:c r="B79" s="16" t="str">
        <x:v>2000530263-W111</x:v>
      </x:c>
      <x:c r="C79" s="16" t="str">
        <x:v>ШАЙБА ПЛОСКАЯ А.27 01 ГОСТ11371-78</x:v>
      </x:c>
      <x:c r="D79" s="16" t="str">
        <x:v>Метизы</x:v>
      </x:c>
      <x:c r="E79" s="16" t="str">
        <x:v>КГ</x:v>
      </x:c>
      <x:c r="F79" s="30" t="n">
        <x:v>0.048</x:v>
      </x:c>
      <x:c r="G79" s="17" t="n">
        <x:v>72.1996</x:v>
      </x:c>
      <x:c r="H79" s="17" t="n">
        <x:f>G79*F79</x:f>
        <x:v>3.4655808</x:v>
      </x:c>
      <x:c r="I79" s="26" t="str">
        <x:f>HYPERLINK("https://etp-aktiv.ru/catalog/materialy/metizy/2000530263-W111/","Открыть позицию")</x:f>
        <x:v>Открыть позицию</x:v>
      </x:c>
    </x:row>
    <x:row r="80" ht="28" customHeight="1">
      <x:c r="A80" s="16" t="str">
        <x:v>Барнаульская ТЭЦ-2</x:v>
      </x:c>
      <x:c r="B80" s="16" t="str">
        <x:v>2000530278-W111</x:v>
      </x:c>
      <x:c r="C80" s="16" t="str">
        <x:v>ШАЙБА ПЛОСКАЯ С 36 СТ45Х ГОСТ Р52646</x:v>
      </x:c>
      <x:c r="D80" s="16" t="str">
        <x:v>Метизы</x:v>
      </x:c>
      <x:c r="E80" s="16" t="str">
        <x:v>КГ</x:v>
      </x:c>
      <x:c r="F80" s="24" t="n">
        <x:v>2.3</x:v>
      </x:c>
      <x:c r="G80" s="17" t="n">
        <x:v>174.4722</x:v>
      </x:c>
      <x:c r="H80" s="17" t="n">
        <x:f>G80*F80</x:f>
        <x:v>401.28605999999996</x:v>
      </x:c>
      <x:c r="I80" s="26" t="str">
        <x:f>HYPERLINK("https://etp-aktiv.ru/catalog/materialy/metizy/2000530278-W111/","Открыть позицию")</x:f>
        <x:v>Открыть позицию</x:v>
      </x:c>
    </x:row>
    <x:row r="81" ht="28" customHeight="1">
      <x:c r="A81" s="16" t="str">
        <x:v>Барнаульская ТЭЦ-2</x:v>
      </x:c>
      <x:c r="B81" s="16" t="str">
        <x:v>2000530297-W111</x:v>
      </x:c>
      <x:c r="C81" s="16" t="str">
        <x:v>ШАЙБА ПРУЖИННАЯ 1.36 СТ65Г ГОСТ6402</x:v>
      </x:c>
      <x:c r="D81" s="16" t="str">
        <x:v>Метизы</x:v>
      </x:c>
      <x:c r="E81" s="16" t="str">
        <x:v>КГ</x:v>
      </x:c>
      <x:c r="F81" s="24" t="n">
        <x:v>24.8</x:v>
      </x:c>
      <x:c r="G81" s="17" t="n">
        <x:v>114.31400000000001</x:v>
      </x:c>
      <x:c r="H81" s="17" t="n">
        <x:f>G81*F81</x:f>
        <x:v>2834.9872000000005</x:v>
      </x:c>
      <x:c r="I81" s="26" t="str">
        <x:f>HYPERLINK("https://etp-aktiv.ru/catalog/materialy/metizy/2000530297-W111/","Открыть позицию")</x:f>
        <x:v>Открыть позицию</x:v>
      </x:c>
    </x:row>
    <x:row r="82" ht="28" customHeight="1">
      <x:c r="A82" s="16" t="str">
        <x:v>Барнаульская ТЭЦ-2</x:v>
      </x:c>
      <x:c r="B82" s="16" t="str">
        <x:v>2000530310-W111</x:v>
      </x:c>
      <x:c r="C82" s="16" t="str">
        <x:v>ШАЙБА СТОПОРНАЯ А 10 03 ГОСТ13463-77</x:v>
      </x:c>
      <x:c r="D82" s="16" t="str">
        <x:v>Метизы</x:v>
      </x:c>
      <x:c r="E82" s="16" t="str">
        <x:v>ШТ</x:v>
      </x:c>
      <x:c r="F82" s="25" t="n">
        <x:v>4</x:v>
      </x:c>
      <x:c r="G82" s="17" t="n">
        <x:v>17.153200000000002</x:v>
      </x:c>
      <x:c r="H82" s="17" t="n">
        <x:f>G82*F82</x:f>
        <x:v>68.61280000000001</x:v>
      </x:c>
      <x:c r="I82" s="26" t="str">
        <x:f>HYPERLINK("https://etp-aktiv.ru/catalog/materialy/metizy/2000530310-W111/","Открыть позицию")</x:f>
        <x:v>Открыть позицию</x:v>
      </x:c>
    </x:row>
    <x:row r="83" ht="28" customHeight="1">
      <x:c r="A83" s="16" t="str">
        <x:v>Барнаульская ТЭЦ-2</x:v>
      </x:c>
      <x:c r="B83" s="16" t="str">
        <x:v>2000166439-W111</x:v>
      </x:c>
      <x:c r="C83" s="16" t="str">
        <x:v>ШВЕЛЛЕР СТ3 14П ГОСТ8240-97</x:v>
      </x:c>
      <x:c r="D83" s="16" t="str">
        <x:v>М/прокат черный</x:v>
      </x:c>
      <x:c r="E83" s="16" t="str">
        <x:v>Т</x:v>
      </x:c>
      <x:c r="F83" s="30" t="n">
        <x:v>0.38</x:v>
      </x:c>
      <x:c r="G83" s="17" t="n">
        <x:v>85875.7878</x:v>
      </x:c>
      <x:c r="H83" s="17" t="n">
        <x:f>G83*F83</x:f>
        <x:v>32632.799364000002</x:v>
      </x:c>
      <x:c r="I83" s="26" t="str">
        <x:f>HYPERLINK("https://etp-aktiv.ru/catalog/materialy/metalloprodukciya/2000166439-W111/","Открыть позицию")</x:f>
        <x:v>Открыть позицию</x:v>
      </x:c>
    </x:row>
    <x:row r="84" ht="28" customHeight="1">
      <x:c r="A84" s="16" t="str">
        <x:v>Барнаульская ТЭЦ-2</x:v>
      </x:c>
      <x:c r="B84" s="16" t="str">
        <x:v>2000015507-W111</x:v>
      </x:c>
      <x:c r="C84" s="16" t="str">
        <x:v>ШВЕЛЛЕР СТ3 18 ГОСТ8240-97</x:v>
      </x:c>
      <x:c r="D84" s="16" t="str">
        <x:v>М/прокат черный</x:v>
      </x:c>
      <x:c r="E84" s="16" t="str">
        <x:v>Т</x:v>
      </x:c>
      <x:c r="F84" s="30" t="n">
        <x:v>0.066</x:v>
      </x:c>
      <x:c r="G84" s="17" t="n">
        <x:v>51770.395</x:v>
      </x:c>
      <x:c r="H84" s="17" t="n">
        <x:f>G84*F84</x:f>
        <x:v>3416.84607</x:v>
      </x:c>
      <x:c r="I84" s="26" t="str">
        <x:f>HYPERLINK("https://etp-aktiv.ru/catalog/materialy/metalloprodukciya/2000015507-W111/","Открыть позицию")</x:f>
        <x:v>Открыть позицию</x:v>
      </x:c>
    </x:row>
    <x:row r="85" ht="28" customHeight="1">
      <x:c r="A85" s="16" t="str">
        <x:v>Барнаульская ТЭЦ-2</x:v>
      </x:c>
      <x:c r="B85" s="16" t="str">
        <x:v>2000841094-W111</x:v>
      </x:c>
      <x:c r="C85" s="16" t="str">
        <x:v>ШЕСТИГРАННИК 12Х18Н10Т 22ММ ГОСТ8560-78</x:v>
      </x:c>
      <x:c r="D85" s="16" t="str">
        <x:v>М/прокат нерж сталь</x:v>
      </x:c>
      <x:c r="E85" s="16" t="str">
        <x:v>Т</x:v>
      </x:c>
      <x:c r="F85" s="30" t="n">
        <x:v>0.01</x:v>
      </x:c>
      <x:c r="G85" s="17" t="n">
        <x:v>466839.40499999997</x:v>
      </x:c>
      <x:c r="H85" s="17" t="n">
        <x:f>G85*F85</x:f>
        <x:v>4668.39405</x:v>
      </x:c>
      <x:c r="I85" s="26" t="str">
        <x:f>HYPERLINK("https://etp-aktiv.ru/catalog/materialy/metalloprodukciya/2000841094-W111/","Открыть позицию")</x:f>
        <x:v>Открыть позицию</x:v>
      </x:c>
    </x:row>
    <x:row r="86" ht="28" customHeight="1">
      <x:c r="A86" s="16" t="str">
        <x:v>Барнаульская ТЭЦ-2</x:v>
      </x:c>
      <x:c r="B86" s="16" t="str">
        <x:v>2000015429-W111</x:v>
      </x:c>
      <x:c r="C86" s="16" t="str">
        <x:v>ШЕСТИГРАННИК СТ45 22ММ ГОСТ2879-88</x:v>
      </x:c>
      <x:c r="D86" s="16" t="str">
        <x:v>М/прокат прочий</x:v>
      </x:c>
      <x:c r="E86" s="16" t="str">
        <x:v>Т</x:v>
      </x:c>
      <x:c r="F86" s="30" t="n">
        <x:v>0.08</x:v>
      </x:c>
      <x:c r="G86" s="17" t="n">
        <x:v>52286.1622</x:v>
      </x:c>
      <x:c r="H86" s="17" t="n">
        <x:f>G86*F86</x:f>
        <x:v>4182.892976</x:v>
      </x:c>
      <x:c r="I86" s="26" t="str">
        <x:f>HYPERLINK("https://etp-aktiv.ru/catalog/materialy/metalloprodukciya/2000015429-W111/","Открыть позицию")</x:f>
        <x:v>Открыть позицию</x:v>
      </x:c>
    </x:row>
    <x:row r="87" ht="28" customHeight="1">
      <x:c r="A87" s="16" t="str">
        <x:v>Барнаульская ТЭЦ-2</x:v>
      </x:c>
      <x:c r="B87" s="16" t="str">
        <x:v>2000015430-W111</x:v>
      </x:c>
      <x:c r="C87" s="16" t="str">
        <x:v>ШЕСТИГРАННИК СТ45 24ММ ГОСТ2879-88</x:v>
      </x:c>
      <x:c r="D87" s="16" t="str">
        <x:v>М/прокат прочий</x:v>
      </x:c>
      <x:c r="E87" s="16" t="str">
        <x:v>Т</x:v>
      </x:c>
      <x:c r="F87" s="30" t="n">
        <x:v>0.134</x:v>
      </x:c>
      <x:c r="G87" s="17" t="n">
        <x:v>88175.5</x:v>
      </x:c>
      <x:c r="H87" s="17" t="n">
        <x:f>G87*F87</x:f>
        <x:v>11815.517</x:v>
      </x:c>
      <x:c r="I87" s="26" t="str">
        <x:f>HYPERLINK("https://etp-aktiv.ru/catalog/materialy/metalloprodukciya/2000015430-W111/","Открыть позицию")</x:f>
        <x:v>Открыть позицию</x:v>
      </x:c>
    </x:row>
    <x:row r="88" ht="28" customHeight="1">
      <x:c r="A88" s="16" t="str">
        <x:v>Барнаульская ТЭЦ-2</x:v>
      </x:c>
      <x:c r="B88" s="16" t="str">
        <x:v>2000555841-W111</x:v>
      </x:c>
      <x:c r="C88" s="16" t="str">
        <x:v>ШЕСТИГРАННИК СТ45 55ММ ГОСТ2879-2006</x:v>
      </x:c>
      <x:c r="D88" s="16" t="str">
        <x:v>М/прокат прочий</x:v>
      </x:c>
      <x:c r="E88" s="16" t="str">
        <x:v>Т</x:v>
      </x:c>
      <x:c r="F88" s="30" t="n">
        <x:v>0.12</x:v>
      </x:c>
      <x:c r="G88" s="17" t="n">
        <x:v>66194.7356</x:v>
      </x:c>
      <x:c r="H88" s="17" t="n">
        <x:f>G88*F88</x:f>
        <x:v>7943.368272</x:v>
      </x:c>
      <x:c r="I88" s="26" t="str">
        <x:f>HYPERLINK("https://etp-aktiv.ru/catalog/materialy/metalloprodukciya/2000555841-W111/","Открыть позицию")</x:f>
        <x:v>Открыть позицию</x:v>
      </x:c>
    </x:row>
    <x:row r="89" ht="28" customHeight="1">
      <x:c r="A89" s="16" t="str">
        <x:v>Барнаульская ТЭЦ-2</x:v>
      </x:c>
      <x:c r="B89" s="16" t="str">
        <x:v>2000530405-W111</x:v>
      </x:c>
      <x:c r="C89" s="16" t="str">
        <x:v>ШПИЛЬКА М22*100 ГОСТ22040-76</x:v>
      </x:c>
      <x:c r="D89" s="16" t="str">
        <x:v>Метизы</x:v>
      </x:c>
      <x:c r="E89" s="16" t="str">
        <x:v>КГ</x:v>
      </x:c>
      <x:c r="F89" s="25" t="n">
        <x:v>25</x:v>
      </x:c>
      <x:c r="G89" s="17" t="n">
        <x:v>180.072</x:v>
      </x:c>
      <x:c r="H89" s="17" t="n">
        <x:f>G89*F89</x:f>
        <x:v>4501.8</x:v>
      </x:c>
      <x:c r="I89" s="26" t="str">
        <x:f>HYPERLINK("https://etp-aktiv.ru/catalog/materialy/metizy/2000530405-W111/","Открыть позицию")</x:f>
        <x:v>Открыть позицию</x:v>
      </x:c>
    </x:row>
    <x:row r="90" ht="28" customHeight="1">
      <x:c r="A90" s="16" t="str">
        <x:v>Барнаульская ТЭЦ-2</x:v>
      </x:c>
      <x:c r="B90" s="16" t="str">
        <x:v>2000738859-W111</x:v>
      </x:c>
      <x:c r="C90" s="16" t="str">
        <x:v>ШПЛИНТ 6.3*36 ГОСТ397-79</x:v>
      </x:c>
      <x:c r="D90" s="16" t="str">
        <x:v>Метизы Спец</x:v>
      </x:c>
      <x:c r="E90" s="16" t="str">
        <x:v>КГ</x:v>
      </x:c>
      <x:c r="F90" s="30" t="n">
        <x:v>0.9</x:v>
      </x:c>
      <x:c r="G90" s="17" t="n">
        <x:v>160.9912</x:v>
      </x:c>
      <x:c r="H90" s="17" t="n">
        <x:f>G90*F90</x:f>
        <x:v>144.89208</x:v>
      </x:c>
      <x:c r="I90" s="26" t="str">
        <x:f>HYPERLINK("https://etp-aktiv.ru/catalog/materialy/metizy/2000738859-W111/","Открыть позицию")</x:f>
        <x:v>Открыть позицию</x:v>
      </x:c>
    </x:row>
    <x:row r="91" ht="28" customHeight="1">
      <x:c r="A91" s="16" t="str">
        <x:v>Барнаульская ТЭЦ-2</x:v>
      </x:c>
      <x:c r="B91" s="16" t="str">
        <x:v>2000162553-W111</x:v>
      </x:c>
      <x:c r="C91" s="16" t="str">
        <x:v>ЭЛЕКТРОД МНЧ-2 3ММ ТУ14-4-780-76</x:v>
      </x:c>
      <x:c r="D91" s="16" t="str">
        <x:v>Сварочные электроды</x:v>
      </x:c>
      <x:c r="E91" s="16" t="str">
        <x:v>Т</x:v>
      </x:c>
      <x:c r="F91" s="30" t="n">
        <x:v>0.003</x:v>
      </x:c>
      <x:c r="G91" s="17" t="n">
        <x:v>3542916.6</x:v>
      </x:c>
      <x:c r="H91" s="17" t="n">
        <x:f>G91*F91</x:f>
        <x:v>10628.7498</x:v>
      </x:c>
      <x:c r="I91" s="26" t="str">
        <x:f>HYPERLINK("https://etp-aktiv.ru/catalog/materialy/svarochnye-ehlektrody/2000162553-W111/","Открыть позицию")</x:f>
        <x:v>Открыть позицию</x:v>
      </x:c>
    </x:row>
    <x:row r="92" ht="28" customHeight="1">
      <x:c r="A92" s="16" t="str">
        <x:v>Барнаульская ТЭЦ-2</x:v>
      </x:c>
      <x:c r="B92" s="16" t="str">
        <x:v>2000015573-W111</x:v>
      </x:c>
      <x:c r="C92" s="16" t="str">
        <x:v>ЭЛЕКТРОД МР-3 4ММ ГОСТ9466-75</x:v>
      </x:c>
      <x:c r="D92" s="16" t="str">
        <x:v>Сварочные электроды</x:v>
      </x:c>
      <x:c r="E92" s="16" t="str">
        <x:v>Т</x:v>
      </x:c>
      <x:c r="F92" s="30" t="n">
        <x:v>0.001</x:v>
      </x:c>
      <x:c r="G92" s="17" t="n">
        <x:v>28905.338</x:v>
      </x:c>
      <x:c r="H92" s="17" t="n">
        <x:f>G92*F92</x:f>
        <x:v>28.905338</x:v>
      </x:c>
      <x:c r="I92" s="26" t="str">
        <x:f>HYPERLINK("https://etp-aktiv.ru/catalog/materialy/svarochnye-ehlektrody/2000015573-W111/","Открыть позицию")</x:f>
        <x:v>Открыть позицию</x:v>
      </x:c>
    </x:row>
    <x:row r="93" ht="28" customHeight="1">
      <x:c r="A93" s="16" t="str">
        <x:v>Барнаульская ТЭЦ-2</x:v>
      </x:c>
      <x:c r="B93" s="16" t="str">
        <x:v>2000015612-W111</x:v>
      </x:c>
      <x:c r="C93" s="16" t="str">
        <x:v>ЭЛЕКТРОД УОНИ-13/55 4ММ ГОСТ9466-75</x:v>
      </x:c>
      <x:c r="D93" s="16" t="str">
        <x:v>Сварочные электроды</x:v>
      </x:c>
      <x:c r="E93" s="16" t="str">
        <x:v>Т</x:v>
      </x:c>
      <x:c r="F93" s="30" t="n">
        <x:v>0.001</x:v>
      </x:c>
      <x:c r="G93" s="17" t="n">
        <x:v>223135.96259999997</x:v>
      </x:c>
      <x:c r="H93" s="17" t="n">
        <x:f>G93*F93</x:f>
        <x:v>223.13596259999997</x:v>
      </x:c>
      <x:c r="I93" s="26" t="str">
        <x:f>HYPERLINK("https://etp-aktiv.ru/catalog/materialy/svarochnye-ehlektrody/2000015612-W111/","Открыть позицию")</x:f>
        <x:v>Открыть позицию</x:v>
      </x:c>
    </x:row>
    <x:row r="94" ht="28" customHeight="1">
      <x:c r="A94" s="16" t="str">
        <x:v>Барнаульская ТЭЦ-2</x:v>
      </x:c>
      <x:c r="B94" s="16" t="str">
        <x:v>2000546329-W111</x:v>
      </x:c>
      <x:c r="C94" s="16" t="str">
        <x:v>ЭЛЕКТРОД ЦТ-28 4ММ ГОСТ9466-75</x:v>
      </x:c>
      <x:c r="D94" s="16" t="str">
        <x:v>Сварочные электроды</x:v>
      </x:c>
      <x:c r="E94" s="16" t="str">
        <x:v>Т</x:v>
      </x:c>
      <x:c r="F94" s="30" t="n">
        <x:v>0.008</x:v>
      </x:c>
      <x:c r="G94" s="17" t="n">
        <x:v>6271152.885</x:v>
      </x:c>
      <x:c r="H94" s="17" t="n">
        <x:f>G94*F94</x:f>
        <x:v>50169.223079999996</x:v>
      </x:c>
      <x:c r="I94" s="26" t="str">
        <x:f>HYPERLINK("https://etp-aktiv.ru/catalog/materialy/svarochnye-ehlektrody/2000546329-W111/","Открыть позицию")</x:f>
        <x:v>Открыть позицию</x:v>
      </x:c>
    </x:row>
    <x:row r="95" ht="28" customHeight="1">
      <x:c r="A95" s="16" t="str">
        <x:v>Барнаульская ТЭЦ-2</x:v>
      </x:c>
      <x:c r="B95" s="16" t="str">
        <x:v>2000546331-W111</x:v>
      </x:c>
      <x:c r="C95" s="16" t="str">
        <x:v>ЭЛЕКТРОД ЦУ-5 3ММ ГОСТ9466-75</x:v>
      </x:c>
      <x:c r="D95" s="16" t="str">
        <x:v>Сварочные электроды</x:v>
      </x:c>
      <x:c r="E95" s="16" t="str">
        <x:v>КГ</x:v>
      </x:c>
      <x:c r="F95" s="30" t="n">
        <x:v>0.662</x:v>
      </x:c>
      <x:c r="G95" s="17" t="n">
        <x:v>125.7698</x:v>
      </x:c>
      <x:c r="H95" s="17" t="n">
        <x:f>G95*F95</x:f>
        <x:v>83.25960760000001</x:v>
      </x:c>
      <x:c r="I95" s="26" t="str">
        <x:f>HYPERLINK("https://etp-aktiv.ru/catalog/materialy/svarochnye-ehlektrody/2000546331-W111/","Открыть позицию")</x:f>
        <x:v>Открыть позицию</x:v>
      </x:c>
    </x:row>
    <x:row r="96" ht="28" customHeight="1">
      <x:c r="A96" s="16" t="str">
        <x:v>Барнаульская ТЭЦ-3</x:v>
      </x:c>
      <x:c r="B96" s="16" t="str">
        <x:v>2000068291-W112</x:v>
      </x:c>
      <x:c r="C96" s="16" t="str">
        <x:v>БОЛТ М14*50 ГОСТ7805-70</x:v>
      </x:c>
      <x:c r="D96" s="16" t="str">
        <x:v>Метизы</x:v>
      </x:c>
      <x:c r="E96" s="16" t="str">
        <x:v>КГ</x:v>
      </x:c>
      <x:c r="F96" s="24" t="n">
        <x:v>4.39</x:v>
      </x:c>
      <x:c r="G96" s="17" t="n">
        <x:v>84.7534</x:v>
      </x:c>
      <x:c r="H96" s="17" t="n">
        <x:f>G96*F96</x:f>
        <x:v>372.06742599999995</x:v>
      </x:c>
      <x:c r="I96" s="26" t="str">
        <x:f>HYPERLINK("https://etp-aktiv.ru/catalog/materialy/metizy/2000068291-W112/","Открыть позицию")</x:f>
        <x:v>Открыть позицию</x:v>
      </x:c>
    </x:row>
    <x:row r="97" ht="28" customHeight="1">
      <x:c r="A97" s="16" t="str">
        <x:v>Барнаульская ТЭЦ-3</x:v>
      </x:c>
      <x:c r="B97" s="16" t="str">
        <x:v>2000068329-W112</x:v>
      </x:c>
      <x:c r="C97" s="16" t="str">
        <x:v>БОЛТ М24*90 ГОСТ7798-70</x:v>
      </x:c>
      <x:c r="D97" s="16" t="str">
        <x:v>Метизы</x:v>
      </x:c>
      <x:c r="E97" s="16" t="str">
        <x:v>КГ</x:v>
      </x:c>
      <x:c r="F97" s="25" t="n">
        <x:v>2</x:v>
      </x:c>
      <x:c r="G97" s="17" t="n">
        <x:v>127.6852</x:v>
      </x:c>
      <x:c r="H97" s="17" t="n">
        <x:f>G97*F97</x:f>
        <x:v>255.3704</x:v>
      </x:c>
      <x:c r="I97" s="26" t="str">
        <x:f>HYPERLINK("https://etp-aktiv.ru/catalog/materialy/metizy/2000068329-W112/","Открыть позицию")</x:f>
        <x:v>Открыть позицию</x:v>
      </x:c>
    </x:row>
    <x:row r="98" ht="28" customHeight="1">
      <x:c r="A98" s="16" t="str">
        <x:v>Барнаульская ТЭЦ-3</x:v>
      </x:c>
      <x:c r="B98" s="16" t="str">
        <x:v>2000673400-W112</x:v>
      </x:c>
      <x:c r="C98" s="16" t="str">
        <x:v>ГАЙКА М20 СТ35Х 10.9 ГОСТРИСО4032-2014</x:v>
      </x:c>
      <x:c r="D98" s="16" t="str">
        <x:v>Метизы</x:v>
      </x:c>
      <x:c r="E98" s="16" t="str">
        <x:v>КГ</x:v>
      </x:c>
      <x:c r="F98" s="30" t="n">
        <x:v>0.09</x:v>
      </x:c>
      <x:c r="G98" s="17" t="n">
        <x:v>260.775</x:v>
      </x:c>
      <x:c r="H98" s="17" t="n">
        <x:f>G98*F98</x:f>
        <x:v>23.469749999999998</x:v>
      </x:c>
      <x:c r="I98" s="26" t="str">
        <x:f>HYPERLINK("https://etp-aktiv.ru/catalog/materialy/metizy/2000673400-W112/","Открыть позицию")</x:f>
        <x:v>Открыть позицию</x:v>
      </x:c>
    </x:row>
    <x:row r="99" ht="28" customHeight="1">
      <x:c r="A99" s="16" t="str">
        <x:v>Барнаульская ТЭЦ-3</x:v>
      </x:c>
      <x:c r="B99" s="16" t="str">
        <x:v>2000068471-W112</x:v>
      </x:c>
      <x:c r="C99" s="16" t="str">
        <x:v>ГАЙКА М5 ГОСТ5915-70</x:v>
      </x:c>
      <x:c r="D99" s="16" t="str">
        <x:v>Метизы</x:v>
      </x:c>
      <x:c r="E99" s="16" t="str">
        <x:v>КГ</x:v>
      </x:c>
      <x:c r="F99" s="30" t="n">
        <x:v>0.9</x:v>
      </x:c>
      <x:c r="G99" s="17" t="n">
        <x:v>172.874</x:v>
      </x:c>
      <x:c r="H99" s="17" t="n">
        <x:f>G99*F99</x:f>
        <x:v>155.5866</x:v>
      </x:c>
      <x:c r="I99" s="26" t="str">
        <x:f>HYPERLINK("https://etp-aktiv.ru/catalog/materialy/metizy/2000068471-W112/","Открыть позицию")</x:f>
        <x:v>Открыть позицию</x:v>
      </x:c>
    </x:row>
    <x:row r="100" ht="28" customHeight="1">
      <x:c r="A100" s="16" t="str">
        <x:v>Барнаульская ТЭЦ-3</x:v>
      </x:c>
      <x:c r="B100" s="16" t="str">
        <x:v>2000287850-W112</x:v>
      </x:c>
      <x:c r="C100" s="16" t="str">
        <x:v>КВАДРАТ СТ45 120*120ММ ГОСТ2591-88</x:v>
      </x:c>
      <x:c r="D100" s="16" t="str">
        <x:v>М/прокат прочий</x:v>
      </x:c>
      <x:c r="E100" s="16" t="str">
        <x:v>Т</x:v>
      </x:c>
      <x:c r="F100" s="30" t="n">
        <x:v>0.253</x:v>
      </x:c>
      <x:c r="G100" s="17" t="n">
        <x:v>69997.5</x:v>
      </x:c>
      <x:c r="H100" s="17" t="n">
        <x:f>G100*F100</x:f>
        <x:v>17709.3675</x:v>
      </x:c>
      <x:c r="I100" s="26" t="str">
        <x:f>HYPERLINK("https://etp-aktiv.ru/catalog/materialy/metalloprodukciya/2000287850-W112/","Открыть позицию")</x:f>
        <x:v>Открыть позицию</x:v>
      </x:c>
    </x:row>
    <x:row r="101" ht="28" customHeight="1">
      <x:c r="A101" s="16" t="str">
        <x:v>Барнаульская ТЭЦ-3</x:v>
      </x:c>
      <x:c r="B101" s="16" t="str">
        <x:v>2000555587-W112</x:v>
      </x:c>
      <x:c r="C101" s="16" t="str">
        <x:v>КРУГ 08Х13 D180ММ ГОСТ5949-75</x:v>
      </x:c>
      <x:c r="D101" s="16" t="str">
        <x:v>М/прокат нерж сталь</x:v>
      </x:c>
      <x:c r="E101" s="16" t="str">
        <x:v>КГ</x:v>
      </x:c>
      <x:c r="F101" s="25" t="n">
        <x:v>196</x:v>
      </x:c>
      <x:c r="G101" s="17" t="n">
        <x:v>104.1026</x:v>
      </x:c>
      <x:c r="H101" s="17" t="n">
        <x:f>G101*F101</x:f>
        <x:v>20404.1096</x:v>
      </x:c>
      <x:c r="I101" s="26" t="str">
        <x:f>HYPERLINK("https://etp-aktiv.ru/catalog/materialy/metalloprodukciya/2000555587-W112/","Открыть позицию")</x:f>
        <x:v>Открыть позицию</x:v>
      </x:c>
    </x:row>
    <x:row r="102" ht="28" customHeight="1">
      <x:c r="A102" s="16" t="str">
        <x:v>Барнаульская ТЭЦ-3</x:v>
      </x:c>
      <x:c r="B102" s="16" t="str">
        <x:v>2000169821-W112</x:v>
      </x:c>
      <x:c r="C102" s="16" t="str">
        <x:v>КРУГ 12Х1МФ D10ММ ГОСТ20072-74</x:v>
      </x:c>
      <x:c r="D102" s="16" t="str">
        <x:v>М/прокат нерж сталь</x:v>
      </x:c>
      <x:c r="E102" s="16" t="str">
        <x:v>Т</x:v>
      </x:c>
      <x:c r="F102" s="24" t="n">
        <x:v>3.76</x:v>
      </x:c>
      <x:c r="G102" s="17" t="n">
        <x:v>86559</x:v>
      </x:c>
      <x:c r="H102" s="17" t="n">
        <x:f>G102*F102</x:f>
        <x:v>325461.83999999997</x:v>
      </x:c>
      <x:c r="I102" s="26" t="str">
        <x:f>HYPERLINK("https://etp-aktiv.ru/catalog/materialy/metalloprodukciya/2000169821-W112/","Открыть позицию")</x:f>
        <x:v>Открыть позицию</x:v>
      </x:c>
    </x:row>
    <x:row r="103" ht="28" customHeight="1">
      <x:c r="A103" s="16" t="str">
        <x:v>Барнаульская ТЭЦ-3</x:v>
      </x:c>
      <x:c r="B103" s="16" t="str">
        <x:v>2000555596-W112</x:v>
      </x:c>
      <x:c r="C103" s="16" t="str">
        <x:v>КРУГ 12Х1МФ D280ММ ГОСТ20072-74</x:v>
      </x:c>
      <x:c r="D103" s="16" t="str">
        <x:v>М/прокат нерж сталь</x:v>
      </x:c>
      <x:c r="E103" s="16" t="str">
        <x:v>Т</x:v>
      </x:c>
      <x:c r="F103" s="30" t="n">
        <x:v>0.342</x:v>
      </x:c>
      <x:c r="G103" s="17" t="n">
        <x:v>169754.25259999998</x:v>
      </x:c>
      <x:c r="H103" s="17" t="n">
        <x:f>G103*F103</x:f>
        <x:v>58055.9543892</x:v>
      </x:c>
      <x:c r="I103" s="26" t="str">
        <x:f>HYPERLINK("https://etp-aktiv.ru/catalog/materialy/metalloprodukciya/2000555596-W112/","Открыть позицию")</x:f>
        <x:v>Открыть позицию</x:v>
      </x:c>
    </x:row>
    <x:row r="104" ht="28" customHeight="1">
      <x:c r="A104" s="16" t="str">
        <x:v>Барнаульская ТЭЦ-3</x:v>
      </x:c>
      <x:c r="B104" s="16" t="str">
        <x:v>2000015343-W112</x:v>
      </x:c>
      <x:c r="C104" s="16" t="str">
        <x:v>КРУГ СТ3 D10ММ ГОСТ2590-2006</x:v>
      </x:c>
      <x:c r="D104" s="16" t="str">
        <x:v>М/прокат черный</x:v>
      </x:c>
      <x:c r="E104" s="16" t="str">
        <x:v>Т</x:v>
      </x:c>
      <x:c r="F104" s="30" t="n">
        <x:v>0.538</x:v>
      </x:c>
      <x:c r="G104" s="17" t="n">
        <x:v>51360.1456</x:v>
      </x:c>
      <x:c r="H104" s="17" t="n">
        <x:f>G104*F104</x:f>
        <x:v>27631.758332800004</x:v>
      </x:c>
      <x:c r="I104" s="26" t="str">
        <x:f>HYPERLINK("https://etp-aktiv.ru/catalog/materialy/metalloprodukciya/2000015343-W112/","Открыть позицию")</x:f>
        <x:v>Открыть позицию</x:v>
      </x:c>
    </x:row>
    <x:row r="105" ht="28" customHeight="1">
      <x:c r="A105" s="16" t="str">
        <x:v>Барнаульская ТЭЦ-3</x:v>
      </x:c>
      <x:c r="B105" s="16" t="str">
        <x:v>2000014894-W112</x:v>
      </x:c>
      <x:c r="C105" s="16" t="str">
        <x:v>КРУГ СТ3 D60ММ ГОСТ2590-2006</x:v>
      </x:c>
      <x:c r="D105" s="16" t="str">
        <x:v>М/прокат черный</x:v>
      </x:c>
      <x:c r="E105" s="16" t="str">
        <x:v>Т</x:v>
      </x:c>
      <x:c r="F105" s="30" t="n">
        <x:v>0.138</x:v>
      </x:c>
      <x:c r="G105" s="17" t="n">
        <x:v>41254.714799999994</x:v>
      </x:c>
      <x:c r="H105" s="17" t="n">
        <x:f>G105*F105</x:f>
        <x:v>5693.1506424</x:v>
      </x:c>
      <x:c r="I105" s="26" t="str">
        <x:f>HYPERLINK("https://etp-aktiv.ru/catalog/materialy/metalloprodukciya/2000014894-W112/","Открыть позицию")</x:f>
        <x:v>Открыть позицию</x:v>
      </x:c>
    </x:row>
    <x:row r="106" ht="28" customHeight="1">
      <x:c r="A106" s="16" t="str">
        <x:v>Барнаульская ТЭЦ-3</x:v>
      </x:c>
      <x:c r="B106" s="16" t="str">
        <x:v>2000167409-W112</x:v>
      </x:c>
      <x:c r="C106" s="16" t="str">
        <x:v>КРУГ СТ3ПС5 D20ММ ГОСТ2590-2006</x:v>
      </x:c>
      <x:c r="D106" s="16" t="str">
        <x:v>М/прокат черный</x:v>
      </x:c>
      <x:c r="E106" s="16" t="str">
        <x:v>Т</x:v>
      </x:c>
      <x:c r="F106" s="24" t="n">
        <x:v>2.343</x:v>
      </x:c>
      <x:c r="G106" s="17" t="n">
        <x:v>31507.061199999996</x:v>
      </x:c>
      <x:c r="H106" s="17" t="n">
        <x:f>G106*F106</x:f>
        <x:v>73821.0443916</x:v>
      </x:c>
      <x:c r="I106" s="26" t="str">
        <x:f>HYPERLINK("https://etp-aktiv.ru/catalog/materialy/metalloprodukciya/2000167409-W112/","Открыть позицию")</x:f>
        <x:v>Открыть позицию</x:v>
      </x:c>
    </x:row>
    <x:row r="107" ht="28" customHeight="1">
      <x:c r="A107" s="16" t="str">
        <x:v>Барнаульская ТЭЦ-3</x:v>
      </x:c>
      <x:c r="B107" s="16" t="str">
        <x:v>2000015113-W112</x:v>
      </x:c>
      <x:c r="C107" s="16" t="str">
        <x:v>КРУГ СТ40Х D110ММ ГОСТ4543-71</x:v>
      </x:c>
      <x:c r="D107" s="16" t="str">
        <x:v>М/прокат черный</x:v>
      </x:c>
      <x:c r="E107" s="16" t="str">
        <x:v>Т</x:v>
      </x:c>
      <x:c r="F107" s="30" t="n">
        <x:v>0.802</x:v>
      </x:c>
      <x:c r="G107" s="17" t="n">
        <x:v>65026.3904</x:v>
      </x:c>
      <x:c r="H107" s="17" t="n">
        <x:f>G107*F107</x:f>
        <x:v>52151.1651008</x:v>
      </x:c>
      <x:c r="I107" s="26" t="str">
        <x:f>HYPERLINK("https://etp-aktiv.ru/catalog/materialy/metalloprodukciya/2000015113-W112/","Открыть позицию")</x:f>
        <x:v>Открыть позицию</x:v>
      </x:c>
    </x:row>
    <x:row r="108" ht="28" customHeight="1">
      <x:c r="A108" s="16" t="str">
        <x:v>Барнаульская ТЭЦ-3</x:v>
      </x:c>
      <x:c r="B108" s="16" t="str">
        <x:v>2000015025-W112</x:v>
      </x:c>
      <x:c r="C108" s="16" t="str">
        <x:v>КРУГ СТ40Х D250ММ ГОСТ4543-71</x:v>
      </x:c>
      <x:c r="D108" s="16" t="str">
        <x:v>М/прокат черный</x:v>
      </x:c>
      <x:c r="E108" s="16" t="str">
        <x:v>Т</x:v>
      </x:c>
      <x:c r="F108" s="30" t="n">
        <x:v>0.109</x:v>
      </x:c>
      <x:c r="G108" s="17" t="n">
        <x:v>120475.03659999999</x:v>
      </x:c>
      <x:c r="H108" s="17" t="n">
        <x:f>G108*F108</x:f>
        <x:v>13131.7789894</x:v>
      </x:c>
      <x:c r="I108" s="26" t="str">
        <x:f>HYPERLINK("https://etp-aktiv.ru/catalog/materialy/metalloprodukciya/2000015025-W112/","Открыть позицию")</x:f>
        <x:v>Открыть позицию</x:v>
      </x:c>
    </x:row>
    <x:row r="109" ht="28" customHeight="1">
      <x:c r="A109" s="16" t="str">
        <x:v>Барнаульская ТЭЦ-3</x:v>
      </x:c>
      <x:c r="B109" s="16" t="str">
        <x:v>2000555924-W112</x:v>
      </x:c>
      <x:c r="C109" s="16" t="str">
        <x:v>ЛИСТ 09Г2С 20*1500*6000 ГОСТ19281-2014</x:v>
      </x:c>
      <x:c r="D109" s="16" t="str">
        <x:v>М/прокат черный</x:v>
      </x:c>
      <x:c r="E109" s="16" t="str">
        <x:v>Т</x:v>
      </x:c>
      <x:c r="F109" s="30" t="n">
        <x:v>0.176</x:v>
      </x:c>
      <x:c r="G109" s="17" t="n">
        <x:v>52841.25</x:v>
      </x:c>
      <x:c r="H109" s="17" t="n">
        <x:f>G109*F109</x:f>
        <x:v>9300.06</x:v>
      </x:c>
      <x:c r="I109" s="26" t="str">
        <x:f>HYPERLINK("https://etp-aktiv.ru/catalog/materialy/metalloprodukciya/2000555924-W112/","Открыть позицию")</x:f>
        <x:v>Открыть позицию</x:v>
      </x:c>
    </x:row>
    <x:row r="110" ht="28" customHeight="1">
      <x:c r="A110" s="16" t="str">
        <x:v>Барнаульская ТЭЦ-3</x:v>
      </x:c>
      <x:c r="B110" s="16" t="str">
        <x:v>2000139962-W112</x:v>
      </x:c>
      <x:c r="C110" s="16" t="str">
        <x:v>ЛИСТ Г/К СТ3 50ММ ГОСТ19903-74</x:v>
      </x:c>
      <x:c r="D110" s="16" t="str">
        <x:v>М/прокат черный</x:v>
      </x:c>
      <x:c r="E110" s="16" t="str">
        <x:v>Т</x:v>
      </x:c>
      <x:c r="F110" s="24" t="n">
        <x:v>2.492</x:v>
      </x:c>
      <x:c r="G110" s="17" t="n">
        <x:v>47337.525</x:v>
      </x:c>
      <x:c r="H110" s="17" t="n">
        <x:f>G110*F110</x:f>
        <x:v>117965.11230000001</x:v>
      </x:c>
      <x:c r="I110" s="26" t="str">
        <x:f>HYPERLINK("https://etp-aktiv.ru/catalog/materialy/metalloprodukciya/2000139962-W112/","Открыть позицию")</x:f>
        <x:v>Открыть позицию</x:v>
      </x:c>
    </x:row>
    <x:row r="111" ht="28" customHeight="1">
      <x:c r="A111" s="16" t="str">
        <x:v>Барнаульская ТЭЦ-3</x:v>
      </x:c>
      <x:c r="B111" s="16" t="str">
        <x:v>2000126111-W112</x:v>
      </x:c>
      <x:c r="C111" s="16" t="str">
        <x:v>ЛИСТ Г/К СТ3ГПС 20ММ ГОСТ19903-74</x:v>
      </x:c>
      <x:c r="D111" s="16" t="str">
        <x:v>М/прокат черный</x:v>
      </x:c>
      <x:c r="E111" s="16" t="str">
        <x:v>Т</x:v>
      </x:c>
      <x:c r="F111" s="30" t="n">
        <x:v>0.122</x:v>
      </x:c>
      <x:c r="G111" s="17" t="n">
        <x:v>41998.5</x:v>
      </x:c>
      <x:c r="H111" s="17" t="n">
        <x:f>G111*F111</x:f>
        <x:v>5123.817</x:v>
      </x:c>
      <x:c r="I111" s="26" t="str">
        <x:f>HYPERLINK("https://etp-aktiv.ru/catalog/materialy/metalloprodukciya/2000126111-W112/","Открыть позицию")</x:f>
        <x:v>Открыть позицию</x:v>
      </x:c>
    </x:row>
    <x:row r="112" ht="28" customHeight="1">
      <x:c r="A112" s="16" t="str">
        <x:v>Барнаульская ТЭЦ-3</x:v>
      </x:c>
      <x:c r="B112" s="16" t="str">
        <x:v>2000555978-W112</x:v>
      </x:c>
      <x:c r="C112" s="16" t="str">
        <x:v>ЛИСТ Г/К СТ3СП5 16*1500*6000 ГОСТ380-05</x:v>
      </x:c>
      <x:c r="D112" s="16" t="str">
        <x:v>М/прокат черный</x:v>
      </x:c>
      <x:c r="E112" s="16" t="str">
        <x:v>Т</x:v>
      </x:c>
      <x:c r="F112" s="24" t="n">
        <x:v>1.073</x:v>
      </x:c>
      <x:c r="G112" s="17" t="n">
        <x:v>35825.239</x:v>
      </x:c>
      <x:c r="H112" s="17" t="n">
        <x:f>G112*F112</x:f>
        <x:v>38440.481447</x:v>
      </x:c>
      <x:c r="I112" s="26" t="str">
        <x:f>HYPERLINK("https://etp-aktiv.ru/catalog/materialy/metalloprodukciya/2000555978-W112/","Открыть позицию")</x:f>
        <x:v>Открыть позицию</x:v>
      </x:c>
    </x:row>
    <x:row r="113" ht="28" customHeight="1">
      <x:c r="A113" s="16" t="str">
        <x:v>Барнаульская ТЭЦ-3</x:v>
      </x:c>
      <x:c r="B113" s="16" t="str">
        <x:v>2000164886-W112</x:v>
      </x:c>
      <x:c r="C113" s="16" t="str">
        <x:v>ЛИСТ Г/К СТ3СП5 40ММ ГОСТ14637-89</x:v>
      </x:c>
      <x:c r="D113" s="16" t="str">
        <x:v>М/прокат черный</x:v>
      </x:c>
      <x:c r="E113" s="16" t="str">
        <x:v>Т</x:v>
      </x:c>
      <x:c r="F113" s="24" t="n">
        <x:v>1.008</x:v>
      </x:c>
      <x:c r="G113" s="17" t="n">
        <x:v>80503.84719999999</x:v>
      </x:c>
      <x:c r="H113" s="17" t="n">
        <x:f>G113*F113</x:f>
        <x:v>81147.87797759999</x:v>
      </x:c>
      <x:c r="I113" s="26" t="str">
        <x:f>HYPERLINK("https://etp-aktiv.ru/catalog/materialy/metalloprodukciya/2000164886-W112/","Открыть позицию")</x:f>
        <x:v>Открыть позицию</x:v>
      </x:c>
    </x:row>
    <x:row r="114" ht="28" customHeight="1">
      <x:c r="A114" s="16" t="str">
        <x:v>Барнаульская ТЭЦ-3</x:v>
      </x:c>
      <x:c r="B114" s="16" t="str">
        <x:v>2000683832-W112</x:v>
      </x:c>
      <x:c r="C114" s="16" t="str">
        <x:v>ЛИСТ С235 18ММ ГОСТ27772-88</x:v>
      </x:c>
      <x:c r="D114" s="16" t="str">
        <x:v>М/прокат черный</x:v>
      </x:c>
      <x:c r="E114" s="16" t="str">
        <x:v>Т</x:v>
      </x:c>
      <x:c r="F114" s="24" t="n">
        <x:v>1.179</x:v>
      </x:c>
      <x:c r="G114" s="17" t="n">
        <x:v>39369.460999999996</x:v>
      </x:c>
      <x:c r="H114" s="17" t="n">
        <x:f>G114*F114</x:f>
        <x:v>46416.594519</x:v>
      </x:c>
      <x:c r="I114" s="26" t="str">
        <x:f>HYPERLINK("https://etp-aktiv.ru/catalog/materialy/metalloprodukciya/2000683832-W112/","Открыть позицию")</x:f>
        <x:v>Открыть позицию</x:v>
      </x:c>
    </x:row>
    <x:row r="115" ht="28" customHeight="1">
      <x:c r="A115" s="16" t="str">
        <x:v>Барнаульская ТЭЦ-3</x:v>
      </x:c>
      <x:c r="B115" s="16" t="str">
        <x:v>2000675191-W112</x:v>
      </x:c>
      <x:c r="C115" s="16" t="str">
        <x:v>ЛИСТ С245-5 10*1500*6000 ГОСТ19903-2015</x:v>
      </x:c>
      <x:c r="D115" s="16" t="str">
        <x:v>М/прокат черный</x:v>
      </x:c>
      <x:c r="E115" s="16" t="str">
        <x:v>Т</x:v>
      </x:c>
      <x:c r="F115" s="30" t="n">
        <x:v>0.281</x:v>
      </x:c>
      <x:c r="G115" s="17" t="n">
        <x:v>30960.367</x:v>
      </x:c>
      <x:c r="H115" s="17" t="n">
        <x:f>G115*F115</x:f>
        <x:v>8699.863127</x:v>
      </x:c>
      <x:c r="I115" s="26" t="str">
        <x:f>HYPERLINK("https://etp-aktiv.ru/catalog/materialy/metalloprodukciya/2000675191-W112/","Открыть позицию")</x:f>
        <x:v>Открыть позицию</x:v>
      </x:c>
    </x:row>
    <x:row r="116" ht="28" customHeight="1">
      <x:c r="A116" s="16" t="str">
        <x:v>Барнаульская ТЭЦ-3</x:v>
      </x:c>
      <x:c r="B116" s="16" t="str">
        <x:v>2000555911-W112</x:v>
      </x:c>
      <x:c r="C116" s="16" t="str">
        <x:v>ЛИСТ С255 10ММ ГОСТ27772-2015</x:v>
      </x:c>
      <x:c r="D116" s="16" t="str">
        <x:v>М/прокат черный</x:v>
      </x:c>
      <x:c r="E116" s="16" t="str">
        <x:v>Т</x:v>
      </x:c>
      <x:c r="F116" s="30" t="n">
        <x:v>0.213</x:v>
      </x:c>
      <x:c r="G116" s="17" t="n">
        <x:v>60904.6936</x:v>
      </x:c>
      <x:c r="H116" s="17" t="n">
        <x:f>G116*F116</x:f>
        <x:v>12972.6997368</x:v>
      </x:c>
      <x:c r="I116" s="26" t="str">
        <x:f>HYPERLINK("https://etp-aktiv.ru/catalog/materialy/metalloprodukciya/2000555911-W112/","Открыть позицию")</x:f>
        <x:v>Открыть позицию</x:v>
      </x:c>
    </x:row>
    <x:row r="117" ht="28" customHeight="1">
      <x:c r="A117" s="16" t="str">
        <x:v>Барнаульская ТЭЦ-3</x:v>
      </x:c>
      <x:c r="B117" s="16" t="str">
        <x:v>2000555916-W112</x:v>
      </x:c>
      <x:c r="C117" s="16" t="str">
        <x:v>ЛИСТ С255 12ММ ГОСТ27772-2015</x:v>
      </x:c>
      <x:c r="D117" s="16" t="str">
        <x:v>М/прокат черный</x:v>
      </x:c>
      <x:c r="E117" s="16" t="str">
        <x:v>Т</x:v>
      </x:c>
      <x:c r="F117" s="30" t="n">
        <x:v>0.444</x:v>
      </x:c>
      <x:c r="G117" s="17" t="n">
        <x:v>62334.375</x:v>
      </x:c>
      <x:c r="H117" s="17" t="n">
        <x:f>G117*F117</x:f>
        <x:v>27676.4625</x:v>
      </x:c>
      <x:c r="I117" s="26" t="str">
        <x:f>HYPERLINK("https://etp-aktiv.ru/catalog/materialy/metalloprodukciya/2000555916-W112/","Открыть позицию")</x:f>
        <x:v>Открыть позицию</x:v>
      </x:c>
    </x:row>
    <x:row r="118" ht="28" customHeight="1">
      <x:c r="A118" s="16" t="str">
        <x:v>Барнаульская ТЭЦ-3</x:v>
      </x:c>
      <x:c r="B118" s="16" t="str">
        <x:v>2000555896-W112</x:v>
      </x:c>
      <x:c r="C118" s="16" t="str">
        <x:v>ЛИСТ СТ20 16ММ ГОСТ1577-93</x:v>
      </x:c>
      <x:c r="D118" s="16" t="str">
        <x:v>М/прокат черный</x:v>
      </x:c>
      <x:c r="E118" s="16" t="str">
        <x:v>Т</x:v>
      </x:c>
      <x:c r="F118" s="30" t="n">
        <x:v>0.296</x:v>
      </x:c>
      <x:c r="G118" s="17" t="n">
        <x:v>77367.9958</x:v>
      </x:c>
      <x:c r="H118" s="17" t="n">
        <x:f>G118*F118</x:f>
        <x:v>22900.9267568</x:v>
      </x:c>
      <x:c r="I118" s="26" t="str">
        <x:f>HYPERLINK("https://etp-aktiv.ru/catalog/materialy/metalloprodukciya/2000555896-W112/","Открыть позицию")</x:f>
        <x:v>Открыть позицию</x:v>
      </x:c>
    </x:row>
    <x:row r="119" ht="28" customHeight="1">
      <x:c r="A119" s="16" t="str">
        <x:v>Барнаульская ТЭЦ-3</x:v>
      </x:c>
      <x:c r="B119" s="16" t="str">
        <x:v>2000148553-W112</x:v>
      </x:c>
      <x:c r="C119" s="16" t="str">
        <x:v>ЛИСТ СТ3 25ММ ГОСТ19904-90</x:v>
      </x:c>
      <x:c r="D119" s="16" t="str">
        <x:v>М/прокат черный</x:v>
      </x:c>
      <x:c r="E119" s="16" t="str">
        <x:v>Т</x:v>
      </x:c>
      <x:c r="F119" s="30" t="n">
        <x:v>0.802</x:v>
      </x:c>
      <x:c r="G119" s="17" t="n">
        <x:v>87687.5122</x:v>
      </x:c>
      <x:c r="H119" s="17" t="n">
        <x:f>G119*F119</x:f>
        <x:v>70325.3847844</x:v>
      </x:c>
      <x:c r="I119" s="26" t="str">
        <x:f>HYPERLINK("https://etp-aktiv.ru/catalog/materialy/metalloprodukciya/2000148553-W112/","Открыть позицию")</x:f>
        <x:v>Открыть позицию</x:v>
      </x:c>
    </x:row>
    <x:row r="120" ht="28" customHeight="1">
      <x:c r="A120" s="16" t="str">
        <x:v>Барнаульская ТЭЦ-3</x:v>
      </x:c>
      <x:c r="B120" s="16" t="str">
        <x:v>2000261587-W112</x:v>
      </x:c>
      <x:c r="C120" s="16" t="str">
        <x:v>ЛИСТ СТ3 ПВ1-508 ТУ5262-001-23083253-9</x:v>
      </x:c>
      <x:c r="D120" s="16" t="str">
        <x:v>М/прокат черный</x:v>
      </x:c>
      <x:c r="E120" s="16" t="str">
        <x:v>Т</x:v>
      </x:c>
      <x:c r="F120" s="30" t="n">
        <x:v>0.45</x:v>
      </x:c>
      <x:c r="G120" s="17" t="n">
        <x:v>41246.5286</x:v>
      </x:c>
      <x:c r="H120" s="17" t="n">
        <x:f>G120*F120</x:f>
        <x:v>18560.937869999998</x:v>
      </x:c>
      <x:c r="I120" s="26" t="str">
        <x:f>HYPERLINK("https://etp-aktiv.ru/catalog/materialy/metalloprodukciya/2000261587-W112/","Открыть позицию")</x:f>
        <x:v>Открыть позицию</x:v>
      </x:c>
    </x:row>
    <x:row r="121" ht="28" customHeight="1">
      <x:c r="A121" s="16" t="str">
        <x:v>Барнаульская ТЭЦ-3</x:v>
      </x:c>
      <x:c r="B121" s="16" t="str">
        <x:v>2000555982-W112</x:v>
      </x:c>
      <x:c r="C121" s="16" t="str">
        <x:v>ЛИСТ СТ3СП ПВ1 510 1000*2500 ГОСТ380-05</x:v>
      </x:c>
      <x:c r="D121" s="16" t="str">
        <x:v>М/прокат черный</x:v>
      </x:c>
      <x:c r="E121" s="16" t="str">
        <x:v>Т</x:v>
      </x:c>
      <x:c r="F121" s="30" t="n">
        <x:v>0.279</x:v>
      </x:c>
      <x:c r="G121" s="17" t="n">
        <x:v>30905.833000000002</x:v>
      </x:c>
      <x:c r="H121" s="17" t="n">
        <x:f>G121*F121</x:f>
        <x:v>8622.727407000002</x:v>
      </x:c>
      <x:c r="I121" s="26" t="str">
        <x:f>HYPERLINK("https://etp-aktiv.ru/catalog/materialy/metalloprodukciya/2000555982-W112/","Открыть позицию")</x:f>
        <x:v>Открыть позицию</x:v>
      </x:c>
    </x:row>
    <x:row r="122" ht="28" customHeight="1">
      <x:c r="A122" s="16" t="str">
        <x:v>Барнаульская ТЭЦ-3</x:v>
      </x:c>
      <x:c r="B122" s="16" t="str">
        <x:v>2000579581-W112</x:v>
      </x:c>
      <x:c r="C122" s="16" t="str">
        <x:v>ОТЛИВКА СЧ20 300*400 ГОСТ1412-85</x:v>
      </x:c>
      <x:c r="D122" s="16" t="str">
        <x:v>Шихтовые материалы</x:v>
      </x:c>
      <x:c r="E122" s="16" t="str">
        <x:v>ШТ</x:v>
      </x:c>
      <x:c r="F122" s="30" t="n">
        <x:v>0.5</x:v>
      </x:c>
      <x:c r="G122" s="17" t="n">
        <x:v>27621.568600000002</x:v>
      </x:c>
      <x:c r="H122" s="17" t="n">
        <x:f>G122*F122</x:f>
        <x:v>13810.784300000001</x:v>
      </x:c>
      <x:c r="I122" s="26" t="str">
        <x:f>HYPERLINK("https://etp-aktiv.ru/catalog/materialy/metalloprodukciya/2000579581-W112/","Открыть позицию")</x:f>
        <x:v>Открыть позицию</x:v>
      </x:c>
    </x:row>
    <x:row r="123" ht="28" customHeight="1">
      <x:c r="A123" s="16" t="str">
        <x:v>Барнаульская ТЭЦ-3</x:v>
      </x:c>
      <x:c r="B123" s="16" t="str">
        <x:v>2000530157-W112</x:v>
      </x:c>
      <x:c r="C123" s="16" t="str">
        <x:v>ПРОВОЛОКА 2 СВЕТЛАЯ ГОСТ3282-74</x:v>
      </x:c>
      <x:c r="D123" s="16" t="str">
        <x:v>Метизы Спец</x:v>
      </x:c>
      <x:c r="E123" s="16" t="str">
        <x:v>КГ</x:v>
      </x:c>
      <x:c r="F123" s="24" t="n">
        <x:v>40.525</x:v>
      </x:c>
      <x:c r="G123" s="17" t="n">
        <x:v>55.9858</x:v>
      </x:c>
      <x:c r="H123" s="17" t="n">
        <x:f>G123*F123</x:f>
        <x:v>2268.824545</x:v>
      </x:c>
      <x:c r="I123" s="26" t="str">
        <x:f>HYPERLINK("https://etp-aktiv.ru/catalog/materialy/metizy/2000530157-W112/","Открыть позицию")</x:f>
        <x:v>Открыть позицию</x:v>
      </x:c>
    </x:row>
    <x:row r="124" ht="28" customHeight="1">
      <x:c r="A124" s="16" t="str">
        <x:v>Барнаульская ТЭЦ-3</x:v>
      </x:c>
      <x:c r="B124" s="16" t="str">
        <x:v>2000530171-W112</x:v>
      </x:c>
      <x:c r="C124" s="16" t="str">
        <x:v>ПРОВОЛОКА 6 О ЧЕРНАЯ ГОСТ3282-74</x:v>
      </x:c>
      <x:c r="D124" s="16" t="str">
        <x:v>Метизы Спец</x:v>
      </x:c>
      <x:c r="E124" s="16" t="str">
        <x:v>КГ</x:v>
      </x:c>
      <x:c r="F124" s="24" t="n">
        <x:v>172.145</x:v>
      </x:c>
      <x:c r="G124" s="17" t="n">
        <x:v>41.589800000000004</x:v>
      </x:c>
      <x:c r="H124" s="17" t="n">
        <x:f>G124*F124</x:f>
        <x:v>7159.4761210000015</x:v>
      </x:c>
      <x:c r="I124" s="26" t="str">
        <x:f>HYPERLINK("https://etp-aktiv.ru/catalog/materialy/metizy/2000530171-W112/","Открыть позицию")</x:f>
        <x:v>Открыть позицию</x:v>
      </x:c>
    </x:row>
    <x:row r="125" ht="28" customHeight="1">
      <x:c r="A125" s="16" t="str">
        <x:v>Барнаульская ТЭЦ-3</x:v>
      </x:c>
      <x:c r="B125" s="16" t="str">
        <x:v>2000546355-W112</x:v>
      </x:c>
      <x:c r="C125" s="16" t="str">
        <x:v>ПРОВОЛОКА СВ06Х19Н9Т D2ММ ГОСТ2246-70</x:v>
      </x:c>
      <x:c r="D125" s="16" t="str">
        <x:v>Сварочные электроды</x:v>
      </x:c>
      <x:c r="E125" s="16" t="str">
        <x:v>КГ</x:v>
      </x:c>
      <x:c r="F125" s="25" t="n">
        <x:v>86</x:v>
      </x:c>
      <x:c r="G125" s="17" t="n">
        <x:v>763.6102</x:v>
      </x:c>
      <x:c r="H125" s="17" t="n">
        <x:f>G125*F125</x:f>
        <x:v>65670.4772</x:v>
      </x:c>
      <x:c r="I125" s="26" t="str">
        <x:f>HYPERLINK("https://etp-aktiv.ru/catalog/materialy/svarochnye-ehlektrody/2000546355-W112/","Открыть позицию")</x:f>
        <x:v>Открыть позицию</x:v>
      </x:c>
    </x:row>
    <x:row r="126" ht="28" customHeight="1">
      <x:c r="A126" s="16" t="str">
        <x:v>Барнаульская ТЭЦ-3</x:v>
      </x:c>
      <x:c r="B126" s="16" t="str">
        <x:v>2000546339-W112</x:v>
      </x:c>
      <x:c r="C126" s="16" t="str">
        <x:v>ПРОВОЛОКА СВ07Х25Н13 D1,2ММ ГОСТ2246-70</x:v>
      </x:c>
      <x:c r="D126" s="16" t="str">
        <x:v>Сварочные электроды</x:v>
      </x:c>
      <x:c r="E126" s="16" t="str">
        <x:v>КГ</x:v>
      </x:c>
      <x:c r="F126" s="25" t="n">
        <x:v>1</x:v>
      </x:c>
      <x:c r="G126" s="17" t="n">
        <x:v>550.891</x:v>
      </x:c>
      <x:c r="H126" s="17" t="n">
        <x:f>G126*F126</x:f>
        <x:v>550.891</x:v>
      </x:c>
      <x:c r="I126" s="26" t="str">
        <x:f>HYPERLINK("https://etp-aktiv.ru/catalog/materialy/svarochnye-ehlektrody/2000546339-W112/","Открыть позицию")</x:f>
        <x:v>Открыть позицию</x:v>
      </x:c>
    </x:row>
    <x:row r="127" ht="28" customHeight="1">
      <x:c r="A127" s="16" t="str">
        <x:v>Барнаульская ТЭЦ-3</x:v>
      </x:c>
      <x:c r="B127" s="16" t="str">
        <x:v>2000546356-W112</x:v>
      </x:c>
      <x:c r="C127" s="16" t="str">
        <x:v>ПРОВОЛОКА СВ07Х25Н13 D2ММ ГОСТ2246-70</x:v>
      </x:c>
      <x:c r="D127" s="16" t="str">
        <x:v>Сварочные электроды</x:v>
      </x:c>
      <x:c r="E127" s="16" t="str">
        <x:v>КГ</x:v>
      </x:c>
      <x:c r="F127" s="24" t="n">
        <x:v>9.8</x:v>
      </x:c>
      <x:c r="G127" s="17" t="n">
        <x:v>1684.7346</x:v>
      </x:c>
      <x:c r="H127" s="17" t="n">
        <x:f>G127*F127</x:f>
        <x:v>16510.399080000003</x:v>
      </x:c>
      <x:c r="I127" s="26" t="str">
        <x:f>HYPERLINK("https://etp-aktiv.ru/catalog/materialy/svarochnye-ehlektrody/2000546356-W112/","Открыть позицию")</x:f>
        <x:v>Открыть позицию</x:v>
      </x:c>
    </x:row>
    <x:row r="128" ht="28" customHeight="1">
      <x:c r="A128" s="16" t="str">
        <x:v>Барнаульская ТЭЦ-3</x:v>
      </x:c>
      <x:c r="B128" s="16" t="str">
        <x:v>2000546349-W112</x:v>
      </x:c>
      <x:c r="C128" s="16" t="str">
        <x:v>ПРОВОЛОКА СВ08Г2С D1,6ММ ГОСТ2246-70</x:v>
      </x:c>
      <x:c r="D128" s="16" t="str">
        <x:v>Сварочные электроды</x:v>
      </x:c>
      <x:c r="E128" s="16" t="str">
        <x:v>КГ</x:v>
      </x:c>
      <x:c r="F128" s="24" t="n">
        <x:v>83.7</x:v>
      </x:c>
      <x:c r="G128" s="17" t="n">
        <x:v>59.17</x:v>
      </x:c>
      <x:c r="H128" s="17" t="n">
        <x:f>G128*F128</x:f>
        <x:v>4952.529</x:v>
      </x:c>
      <x:c r="I128" s="26" t="str">
        <x:f>HYPERLINK("https://etp-aktiv.ru/catalog/materialy/svarochnye-ehlektrody/2000546349-W112/","Открыть позицию")</x:f>
        <x:v>Открыть позицию</x:v>
      </x:c>
    </x:row>
    <x:row r="129" ht="28" customHeight="1">
      <x:c r="A129" s="16" t="str">
        <x:v>Барнаульская ТЭЦ-3</x:v>
      </x:c>
      <x:c r="B129" s="16" t="str">
        <x:v>2000546340-W112</x:v>
      </x:c>
      <x:c r="C129" s="16" t="str">
        <x:v>ПРОВОЛОКА СВ08Х18Н10Г2Б 1,6 ГОСТ2246-70</x:v>
      </x:c>
      <x:c r="D129" s="16" t="str">
        <x:v>Сварочные электроды</x:v>
      </x:c>
      <x:c r="E129" s="16" t="str">
        <x:v>КГ</x:v>
      </x:c>
      <x:c r="F129" s="24" t="n">
        <x:v>17.81</x:v>
      </x:c>
      <x:c r="G129" s="17" t="n">
        <x:v>366.2806</x:v>
      </x:c>
      <x:c r="H129" s="17" t="n">
        <x:f>G129*F129</x:f>
        <x:v>6523.457485999999</x:v>
      </x:c>
      <x:c r="I129" s="26" t="str">
        <x:f>HYPERLINK("https://etp-aktiv.ru/catalog/materialy/svarochnye-ehlektrody/2000546340-W112/","Открыть позицию")</x:f>
        <x:v>Открыть позицию</x:v>
      </x:c>
    </x:row>
    <x:row r="130" ht="28" customHeight="1">
      <x:c r="A130" s="16" t="str">
        <x:v>Барнаульская ТЭЦ-3</x:v>
      </x:c>
      <x:c r="B130" s="16" t="str">
        <x:v>2000546341-W112</x:v>
      </x:c>
      <x:c r="C130" s="16" t="str">
        <x:v>ПРОВОЛОКА СВ08Х19Н10Г2Б D1,6 ГОСТ2246-70</x:v>
      </x:c>
      <x:c r="D130" s="16" t="str">
        <x:v>Сварочные электроды</x:v>
      </x:c>
      <x:c r="E130" s="16" t="str">
        <x:v>КГ</x:v>
      </x:c>
      <x:c r="F130" s="24" t="n">
        <x:v>2.67</x:v>
      </x:c>
      <x:c r="G130" s="17" t="n">
        <x:v>571.7774000000001</x:v>
      </x:c>
      <x:c r="H130" s="17" t="n">
        <x:f>G130*F130</x:f>
        <x:v>1526.6456580000001</x:v>
      </x:c>
      <x:c r="I130" s="26" t="str">
        <x:f>HYPERLINK("https://etp-aktiv.ru/catalog/materialy/svarochnye-ehlektrody/2000546341-W112/","Открыть позицию")</x:f>
        <x:v>Открыть позицию</x:v>
      </x:c>
    </x:row>
    <x:row r="131" ht="28" customHeight="1">
      <x:c r="A131" s="16" t="str">
        <x:v>Барнаульская ТЭЦ-3</x:v>
      </x:c>
      <x:c r="B131" s="16" t="str">
        <x:v>2000546359-W112</x:v>
      </x:c>
      <x:c r="C131" s="16" t="str">
        <x:v>ПРОВОЛОКА СВ08Х19Н10Г2Б D2ММ ГОСТ2246-70</x:v>
      </x:c>
      <x:c r="D131" s="16" t="str">
        <x:v>Сварочные электроды</x:v>
      </x:c>
      <x:c r="E131" s="16" t="str">
        <x:v>КГ</x:v>
      </x:c>
      <x:c r="F131" s="24" t="n">
        <x:v>11.8</x:v>
      </x:c>
      <x:c r="G131" s="17" t="n">
        <x:v>1551.3154</x:v>
      </x:c>
      <x:c r="H131" s="17" t="n">
        <x:f>G131*F131</x:f>
        <x:v>18305.52172</x:v>
      </x:c>
      <x:c r="I131" s="26" t="str">
        <x:f>HYPERLINK("https://etp-aktiv.ru/catalog/materialy/svarochnye-ehlektrody/2000546359-W112/","Открыть позицию")</x:f>
        <x:v>Открыть позицию</x:v>
      </x:c>
    </x:row>
    <x:row r="132" ht="28" customHeight="1">
      <x:c r="A132" s="16" t="str">
        <x:v>Барнаульская ТЭЦ-3</x:v>
      </x:c>
      <x:c r="B132" s="16" t="str">
        <x:v>2000234247-W112</x:v>
      </x:c>
      <x:c r="C132" s="16" t="str">
        <x:v>ПРОВОЛОКА СВ08ХГСМА-О D1,2ММ ГОСТ2246</x:v>
      </x:c>
      <x:c r="D132" s="16" t="str">
        <x:v>Сварочные электроды</x:v>
      </x:c>
      <x:c r="E132" s="16" t="str">
        <x:v>КГ</x:v>
      </x:c>
      <x:c r="F132" s="24" t="n">
        <x:v>24.956</x:v>
      </x:c>
      <x:c r="G132" s="17" t="n">
        <x:v>314.86979999999994</x:v>
      </x:c>
      <x:c r="H132" s="17" t="n">
        <x:f>G132*F132</x:f>
        <x:v>7857.890728799998</x:v>
      </x:c>
      <x:c r="I132" s="26" t="str">
        <x:f>HYPERLINK("https://etp-aktiv.ru/catalog/materialy/svarochnye-ehlektrody/2000234247-W112/","Открыть позицию")</x:f>
        <x:v>Открыть позицию</x:v>
      </x:c>
    </x:row>
    <x:row r="133" ht="28" customHeight="1">
      <x:c r="A133" s="16" t="str">
        <x:v>Барнаульская ТЭЦ-3</x:v>
      </x:c>
      <x:c r="B133" s="16" t="str">
        <x:v>2000546346-W112</x:v>
      </x:c>
      <x:c r="C133" s="16" t="str">
        <x:v>ПРОВОЛОКА СВ08ХГСМФА-О D1,2 ГОСТ2246-70</x:v>
      </x:c>
      <x:c r="D133" s="16" t="str">
        <x:v>Сварочные электроды</x:v>
      </x:c>
      <x:c r="E133" s="16" t="str">
        <x:v>КГ</x:v>
      </x:c>
      <x:c r="F133" s="24" t="n">
        <x:v>35.51</x:v>
      </x:c>
      <x:c r="G133" s="17" t="n">
        <x:v>285.7728</x:v>
      </x:c>
      <x:c r="H133" s="17" t="n">
        <x:f>G133*F133</x:f>
        <x:v>10147.792128000001</x:v>
      </x:c>
      <x:c r="I133" s="26" t="str">
        <x:f>HYPERLINK("https://etp-aktiv.ru/catalog/materialy/svarochnye-ehlektrody/2000546346-W112/","Открыть позицию")</x:f>
        <x:v>Открыть позицию</x:v>
      </x:c>
    </x:row>
    <x:row r="134" ht="28" customHeight="1">
      <x:c r="A134" s="16" t="str">
        <x:v>Барнаульская ТЭЦ-3</x:v>
      </x:c>
      <x:c r="B134" s="16" t="str">
        <x:v>2000546360-W112</x:v>
      </x:c>
      <x:c r="C134" s="16" t="str">
        <x:v>ПРОВОЛОКА СВ08ХГСМФА-О D2ММ ГОСТ2246-70</x:v>
      </x:c>
      <x:c r="D134" s="16" t="str">
        <x:v>Сварочные электроды</x:v>
      </x:c>
      <x:c r="E134" s="16" t="str">
        <x:v>КГ</x:v>
      </x:c>
      <x:c r="F134" s="24" t="n">
        <x:v>28.835</x:v>
      </x:c>
      <x:c r="G134" s="17" t="n">
        <x:v>366.32939999999996</x:v>
      </x:c>
      <x:c r="H134" s="17" t="n">
        <x:f>G134*F134</x:f>
        <x:v>10563.108248999999</x:v>
      </x:c>
      <x:c r="I134" s="26" t="str">
        <x:f>HYPERLINK("https://etp-aktiv.ru/catalog/materialy/svarochnye-ehlektrody/2000546360-W112/","Открыть позицию")</x:f>
        <x:v>Открыть позицию</x:v>
      </x:c>
    </x:row>
    <x:row r="135" ht="28" customHeight="1">
      <x:c r="A135" s="16" t="str">
        <x:v>Барнаульская ТЭЦ-3</x:v>
      </x:c>
      <x:c r="B135" s="16" t="str">
        <x:v>2000556396-W112</x:v>
      </x:c>
      <x:c r="C135" s="16" t="str">
        <x:v>ПРУТОК М1 D12ММ ГОСТ1535-2006</x:v>
      </x:c>
      <x:c r="D135" s="16" t="str">
        <x:v>М/прокат цветной</x:v>
      </x:c>
      <x:c r="E135" s="16" t="str">
        <x:v>КГ</x:v>
      </x:c>
      <x:c r="F135" s="25" t="n">
        <x:v>3</x:v>
      </x:c>
      <x:c r="G135" s="17" t="n">
        <x:v>732</x:v>
      </x:c>
      <x:c r="H135" s="17" t="n">
        <x:f>G135*F135</x:f>
        <x:v>2196</x:v>
      </x:c>
      <x:c r="I135" s="26" t="str">
        <x:f>HYPERLINK("https://etp-aktiv.ru/catalog/materialy/metalloprodukciya/2000556396-W112/","Открыть позицию")</x:f>
        <x:v>Открыть позицию</x:v>
      </x:c>
    </x:row>
    <x:row r="136" ht="28" customHeight="1">
      <x:c r="A136" s="16" t="str">
        <x:v>Барнаульская ТЭЦ-3</x:v>
      </x:c>
      <x:c r="B136" s="16" t="str">
        <x:v>2000359915-W112</x:v>
      </x:c>
      <x:c r="C136" s="16" t="str">
        <x:v>ПРУТОК СВ07Х25Н13 2ММ ГОСТ2246-70</x:v>
      </x:c>
      <x:c r="D136" s="16" t="str">
        <x:v>Сварочные электроды</x:v>
      </x:c>
      <x:c r="E136" s="16" t="str">
        <x:v>КГ</x:v>
      </x:c>
      <x:c r="F136" s="25" t="n">
        <x:v>22</x:v>
      </x:c>
      <x:c r="G136" s="17" t="n">
        <x:v>1136.0518</x:v>
      </x:c>
      <x:c r="H136" s="17" t="n">
        <x:f>G136*F136</x:f>
        <x:v>24993.1396</x:v>
      </x:c>
      <x:c r="I136" s="26" t="str">
        <x:f>HYPERLINK("https://etp-aktiv.ru/catalog/materialy/svarochnye-ehlektrody/2000359915-W112/","Открыть позицию")</x:f>
        <x:v>Открыть позицию</x:v>
      </x:c>
    </x:row>
    <x:row r="137" ht="28" customHeight="1">
      <x:c r="A137" s="16" t="str">
        <x:v>Барнаульская ТЭЦ-3</x:v>
      </x:c>
      <x:c r="B137" s="16" t="str">
        <x:v>2000271950-W112</x:v>
      </x:c>
      <x:c r="C137" s="16" t="str">
        <x:v>ПУДРА ПАП-1 ГОСТ5494-95</x:v>
      </x:c>
      <x:c r="D137" s="16" t="str">
        <x:v>М/прокат цветной</x:v>
      </x:c>
      <x:c r="E137" s="16" t="str">
        <x:v>КГ</x:v>
      </x:c>
      <x:c r="F137" s="25" t="n">
        <x:v>18</x:v>
      </x:c>
      <x:c r="G137" s="17" t="n">
        <x:v>177.2782</x:v>
      </x:c>
      <x:c r="H137" s="17" t="n">
        <x:f>G137*F137</x:f>
        <x:v>3191.0076</x:v>
      </x:c>
      <x:c r="I137" s="26" t="str">
        <x:f>HYPERLINK("https://etp-aktiv.ru/catalog/materialy/metalloprodukciya/2000271950-W112/","Открыть позицию")</x:f>
        <x:v>Открыть позицию</x:v>
      </x:c>
    </x:row>
    <x:row r="138" ht="28" customHeight="1">
      <x:c r="A138" s="16" t="str">
        <x:v>Барнаульская ТЭЦ-3</x:v>
      </x:c>
      <x:c r="B138" s="16" t="str">
        <x:v>2000530218-W112</x:v>
      </x:c>
      <x:c r="C138" s="16" t="str">
        <x:v>СЕТКА 1 РОМБ 50*3 1,5М ГОСТ5336</x:v>
      </x:c>
      <x:c r="D138" s="16" t="str">
        <x:v>Метизы Спец</x:v>
      </x:c>
      <x:c r="E138" s="16" t="str">
        <x:v>М2</x:v>
      </x:c>
      <x:c r="F138" s="24" t="n">
        <x:v>12.85</x:v>
      </x:c>
      <x:c r="G138" s="17" t="n">
        <x:v>128.3318</x:v>
      </x:c>
      <x:c r="H138" s="17" t="n">
        <x:f>G138*F138</x:f>
        <x:v>1649.0636299999999</x:v>
      </x:c>
      <x:c r="I138" s="26" t="str">
        <x:f>HYPERLINK("https://etp-aktiv.ru/catalog/materialy/metizy/2000530218-W112/","Открыть позицию")</x:f>
        <x:v>Открыть позицию</x:v>
      </x:c>
    </x:row>
    <x:row r="139" ht="28" customHeight="1">
      <x:c r="A139" s="16" t="str">
        <x:v>Барнаульская ТЭЦ-3</x:v>
      </x:c>
      <x:c r="B139" s="16" t="str">
        <x:v>2000456793-W112</x:v>
      </x:c>
      <x:c r="C139" s="16" t="str">
        <x:v>УГОЛОК С255 160*160*10 ГОСТ8509-93</x:v>
      </x:c>
      <x:c r="D139" s="16" t="str">
        <x:v>М/прокат черный</x:v>
      </x:c>
      <x:c r="E139" s="16" t="str">
        <x:v>Т</x:v>
      </x:c>
      <x:c r="F139" s="30" t="n">
        <x:v>0.145</x:v>
      </x:c>
      <x:c r="G139" s="17" t="n">
        <x:v>60904.6936</x:v>
      </x:c>
      <x:c r="H139" s="17" t="n">
        <x:f>G139*F139</x:f>
        <x:v>8831.180572</x:v>
      </x:c>
      <x:c r="I139" s="26" t="str">
        <x:f>HYPERLINK("https://etp-aktiv.ru/catalog/materialy/metalloprodukciya/2000456793-W112/","Открыть позицию")</x:f>
        <x:v>Открыть позицию</x:v>
      </x:c>
    </x:row>
    <x:row r="140" ht="28" customHeight="1">
      <x:c r="A140" s="16" t="str">
        <x:v>Барнаульская ТЭЦ-3</x:v>
      </x:c>
      <x:c r="B140" s="16" t="str">
        <x:v>2000690992-W112</x:v>
      </x:c>
      <x:c r="C140" s="16" t="str">
        <x:v>УГОЛОК С255-5 75*75*6 ГОСТ8509-93</x:v>
      </x:c>
      <x:c r="D140" s="16" t="str">
        <x:v>М/прокат черный</x:v>
      </x:c>
      <x:c r="E140" s="16" t="str">
        <x:v>Т</x:v>
      </x:c>
      <x:c r="F140" s="30" t="n">
        <x:v>0.061</x:v>
      </x:c>
      <x:c r="G140" s="17" t="n">
        <x:v>50324.9634</x:v>
      </x:c>
      <x:c r="H140" s="17" t="n">
        <x:f>G140*F140</x:f>
        <x:v>3069.8227674</x:v>
      </x:c>
      <x:c r="I140" s="26" t="str">
        <x:f>HYPERLINK("https://etp-aktiv.ru/catalog/materialy/metalloprodukciya/2000690992-W112/","Открыть позицию")</x:f>
        <x:v>Открыть позицию</x:v>
      </x:c>
    </x:row>
    <x:row r="141" ht="28" customHeight="1">
      <x:c r="A141" s="16" t="str">
        <x:v>Барнаульская ТЭЦ-3</x:v>
      </x:c>
      <x:c r="B141" s="16" t="str">
        <x:v>2000148466-W112</x:v>
      </x:c>
      <x:c r="C141" s="16" t="str">
        <x:v>УГОЛОК СТ3 40*40*4 ГОСТ8509-93</x:v>
      </x:c>
      <x:c r="D141" s="16" t="str">
        <x:v>М/прокат черный</x:v>
      </x:c>
      <x:c r="E141" s="16" t="str">
        <x:v>Т</x:v>
      </x:c>
      <x:c r="F141" s="24" t="n">
        <x:v>1.73</x:v>
      </x:c>
      <x:c r="G141" s="17" t="n">
        <x:v>50797.091199999995</x:v>
      </x:c>
      <x:c r="H141" s="17" t="n">
        <x:f>G141*F141</x:f>
        <x:v>87878.96777599999</x:v>
      </x:c>
      <x:c r="I141" s="26" t="str">
        <x:f>HYPERLINK("https://etp-aktiv.ru/catalog/materialy/metalloprodukciya/2000148466-W112/","Открыть позицию")</x:f>
        <x:v>Открыть позицию</x:v>
      </x:c>
    </x:row>
    <x:row r="142" ht="28" customHeight="1">
      <x:c r="A142" s="16" t="str">
        <x:v>Барнаульская ТЭЦ-3</x:v>
      </x:c>
      <x:c r="B142" s="16" t="str">
        <x:v>2000015320-W112</x:v>
      </x:c>
      <x:c r="C142" s="16" t="str">
        <x:v>УГОЛОК СТ3 63*63 ГОСТ8509-93</x:v>
      </x:c>
      <x:c r="D142" s="16" t="str">
        <x:v>М/прокат черный</x:v>
      </x:c>
      <x:c r="E142" s="16" t="str">
        <x:v>Т</x:v>
      </x:c>
      <x:c r="F142" s="30" t="n">
        <x:v>0.2</x:v>
      </x:c>
      <x:c r="G142" s="17" t="n">
        <x:v>40475.23239999999</x:v>
      </x:c>
      <x:c r="H142" s="17" t="n">
        <x:f>G142*F142</x:f>
        <x:v>8095.046479999999</x:v>
      </x:c>
      <x:c r="I142" s="26" t="str">
        <x:f>HYPERLINK("https://etp-aktiv.ru/catalog/materialy/metalloprodukciya/2000015320-W112/","Открыть позицию")</x:f>
        <x:v>Открыть позицию</x:v>
      </x:c>
    </x:row>
    <x:row r="143" ht="28" customHeight="1">
      <x:c r="A143" s="16" t="str">
        <x:v>Барнаульская ТЭЦ-3</x:v>
      </x:c>
      <x:c r="B143" s="16" t="str">
        <x:v>2000068590-W112</x:v>
      </x:c>
      <x:c r="C143" s="16" t="str">
        <x:v>ШАЙБА М12 ГРОВЕР ОЦИНК ГОСТ6402-70</x:v>
      </x:c>
      <x:c r="D143" s="16" t="str">
        <x:v>Метизы Спец</x:v>
      </x:c>
      <x:c r="E143" s="16" t="str">
        <x:v>КГ</x:v>
      </x:c>
      <x:c r="F143" s="30" t="n">
        <x:v>0.85</x:v>
      </x:c>
      <x:c r="G143" s="17" t="n">
        <x:v>131.2598</x:v>
      </x:c>
      <x:c r="H143" s="17" t="n">
        <x:f>G143*F143</x:f>
        <x:v>111.57083</x:v>
      </x:c>
      <x:c r="I143" s="26" t="str">
        <x:f>HYPERLINK("https://etp-aktiv.ru/catalog/materialy/metizy/2000068590-W112/","Открыть позицию")</x:f>
        <x:v>Открыть позицию</x:v>
      </x:c>
    </x:row>
    <x:row r="144" ht="28" customHeight="1">
      <x:c r="A144" s="16" t="str">
        <x:v>Барнаульская ТЭЦ-3</x:v>
      </x:c>
      <x:c r="B144" s="16" t="str">
        <x:v>2000068572-W112</x:v>
      </x:c>
      <x:c r="C144" s="16" t="str">
        <x:v>ШАЙБА М16 ГРОВЕР ГОСТ6402-70</x:v>
      </x:c>
      <x:c r="D144" s="16" t="str">
        <x:v>Метизы</x:v>
      </x:c>
      <x:c r="E144" s="16" t="str">
        <x:v>КГ</x:v>
      </x:c>
      <x:c r="F144" s="24" t="n">
        <x:v>1.28</x:v>
      </x:c>
      <x:c r="G144" s="17" t="n">
        <x:v>133.5778</x:v>
      </x:c>
      <x:c r="H144" s="17" t="n">
        <x:f>G144*F144</x:f>
        <x:v>170.979584</x:v>
      </x:c>
      <x:c r="I144" s="26" t="str">
        <x:f>HYPERLINK("https://etp-aktiv.ru/catalog/materialy/metizy/2000068572-W112/","Открыть позицию")</x:f>
        <x:v>Открыть позицию</x:v>
      </x:c>
    </x:row>
    <x:row r="145" ht="28" customHeight="1">
      <x:c r="A145" s="16" t="str">
        <x:v>Барнаульская ТЭЦ-3</x:v>
      </x:c>
      <x:c r="B145" s="16" t="str">
        <x:v>2000148443-W112</x:v>
      </x:c>
      <x:c r="C145" s="16" t="str">
        <x:v>ШАЙБА М16 ГРОВЕР ГОСТ6402-78</x:v>
      </x:c>
      <x:c r="D145" s="16" t="str">
        <x:v>Метизы Спец</x:v>
      </x:c>
      <x:c r="E145" s="16" t="str">
        <x:v>КГ</x:v>
      </x:c>
      <x:c r="F145" s="24" t="n">
        <x:v>1.75</x:v>
      </x:c>
      <x:c r="G145" s="17" t="n">
        <x:v>141.337</x:v>
      </x:c>
      <x:c r="H145" s="17" t="n">
        <x:f>G145*F145</x:f>
        <x:v>247.33974999999998</x:v>
      </x:c>
      <x:c r="I145" s="26" t="str">
        <x:f>HYPERLINK("https://etp-aktiv.ru/catalog/materialy/metizy/2000148443-W112/","Открыть позицию")</x:f>
        <x:v>Открыть позицию</x:v>
      </x:c>
    </x:row>
    <x:row r="146" ht="28" customHeight="1">
      <x:c r="A146" s="16" t="str">
        <x:v>Барнаульская ТЭЦ-3</x:v>
      </x:c>
      <x:c r="B146" s="16" t="str">
        <x:v>2000530255-W112</x:v>
      </x:c>
      <x:c r="C146" s="16" t="str">
        <x:v>ШАЙБА ПЛОСКАЯ А.14 01.СТ35 ГОСТ11371</x:v>
      </x:c>
      <x:c r="D146" s="16" t="str">
        <x:v>Метизы</x:v>
      </x:c>
      <x:c r="E146" s="16" t="str">
        <x:v>КГ</x:v>
      </x:c>
      <x:c r="F146" s="24" t="n">
        <x:v>1.8</x:v>
      </x:c>
      <x:c r="G146" s="17" t="n">
        <x:v>112.545</x:v>
      </x:c>
      <x:c r="H146" s="17" t="n">
        <x:f>G146*F146</x:f>
        <x:v>202.58100000000002</x:v>
      </x:c>
      <x:c r="I146" s="26" t="str">
        <x:f>HYPERLINK("https://etp-aktiv.ru/catalog/materialy/metizy/2000530255-W112/","Открыть позицию")</x:f>
        <x:v>Открыть позицию</x:v>
      </x:c>
    </x:row>
    <x:row r="147" ht="28" customHeight="1">
      <x:c r="A147" s="16" t="str">
        <x:v>Барнаульская ТЭЦ-3</x:v>
      </x:c>
      <x:c r="B147" s="16" t="str">
        <x:v>2000045418-W112</x:v>
      </x:c>
      <x:c r="C147" s="16" t="str">
        <x:v>ШВЕЛЛЕР 09Г2С 18 ГОСТ8240-97</x:v>
      </x:c>
      <x:c r="D147" s="16" t="str">
        <x:v>М/прокат черный</x:v>
      </x:c>
      <x:c r="E147" s="16" t="str">
        <x:v>Т</x:v>
      </x:c>
      <x:c r="F147" s="30" t="n">
        <x:v>0.089</x:v>
      </x:c>
      <x:c r="G147" s="17" t="n">
        <x:v>69768.7256</x:v>
      </x:c>
      <x:c r="H147" s="17" t="n">
        <x:f>G147*F147</x:f>
        <x:v>6209.416578400001</x:v>
      </x:c>
      <x:c r="I147" s="26" t="str">
        <x:f>HYPERLINK("https://etp-aktiv.ru/catalog/materialy/metalloprodukciya/2000045418-W112/","Открыть позицию")</x:f>
        <x:v>Открыть позицию</x:v>
      </x:c>
    </x:row>
    <x:row r="148" ht="28" customHeight="1">
      <x:c r="A148" s="16" t="str">
        <x:v>Барнаульская ТЭЦ-3</x:v>
      </x:c>
      <x:c r="B148" s="16" t="str">
        <x:v>2000015504-W112</x:v>
      </x:c>
      <x:c r="C148" s="16" t="str">
        <x:v>ШВЕЛЛЕР СТ3 12 ГОСТ8240-89</x:v>
      </x:c>
      <x:c r="D148" s="16" t="str">
        <x:v>М/прокат черный</x:v>
      </x:c>
      <x:c r="E148" s="16" t="str">
        <x:v>Т</x:v>
      </x:c>
      <x:c r="F148" s="30" t="n">
        <x:v>0.3</x:v>
      </x:c>
      <x:c r="G148" s="17" t="n">
        <x:v>29872.883400000002</x:v>
      </x:c>
      <x:c r="H148" s="17" t="n">
        <x:f>G148*F148</x:f>
        <x:v>8961.865020000001</x:v>
      </x:c>
      <x:c r="I148" s="26" t="str">
        <x:f>HYPERLINK("https://etp-aktiv.ru/catalog/materialy/metalloprodukciya/2000015504-W112/","Открыть позицию")</x:f>
        <x:v>Открыть позицию</x:v>
      </x:c>
    </x:row>
    <x:row r="149" ht="28" customHeight="1">
      <x:c r="A149" s="16" t="str">
        <x:v>Барнаульская ТЭЦ-3</x:v>
      </x:c>
      <x:c r="B149" s="16" t="str">
        <x:v>2000015031-W112</x:v>
      </x:c>
      <x:c r="C149" s="16" t="str">
        <x:v>ШВЕЛЛЕР СТ3 8 ГОСТ8240-97</x:v>
      </x:c>
      <x:c r="D149" s="16" t="str">
        <x:v>М/прокат черный</x:v>
      </x:c>
      <x:c r="E149" s="16" t="str">
        <x:v>Т</x:v>
      </x:c>
      <x:c r="F149" s="30" t="n">
        <x:v>0.085</x:v>
      </x:c>
      <x:c r="G149" s="17" t="n">
        <x:v>26820.992399999996</x:v>
      </x:c>
      <x:c r="H149" s="17" t="n">
        <x:f>G149*F149</x:f>
        <x:v>2279.784354</x:v>
      </x:c>
      <x:c r="I149" s="26" t="str">
        <x:f>HYPERLINK("https://etp-aktiv.ru/catalog/materialy/metalloprodukciya/2000015031-W112/","Открыть позицию")</x:f>
        <x:v>Открыть позицию</x:v>
      </x:c>
    </x:row>
    <x:row r="150" ht="28" customHeight="1">
      <x:c r="A150" s="16" t="str">
        <x:v>Барнаульская ТЭЦ-3</x:v>
      </x:c>
      <x:c r="B150" s="16" t="str">
        <x:v>2000150983-W112</x:v>
      </x:c>
      <x:c r="C150" s="16" t="str">
        <x:v>ШВЕЛЛЕР СТ3ПС5 18У ГОСТ8240-97</x:v>
      </x:c>
      <x:c r="D150" s="16" t="str">
        <x:v>М/прокат черный</x:v>
      </x:c>
      <x:c r="E150" s="16" t="str">
        <x:v>Т</x:v>
      </x:c>
      <x:c r="F150" s="30" t="n">
        <x:v>0.38</x:v>
      </x:c>
      <x:c r="G150" s="17" t="n">
        <x:v>47703.5128</x:v>
      </x:c>
      <x:c r="H150" s="17" t="n">
        <x:f>G150*F150</x:f>
        <x:v>18127.334864</x:v>
      </x:c>
      <x:c r="I150" s="26" t="str">
        <x:f>HYPERLINK("https://etp-aktiv.ru/catalog/materialy/metalloprodukciya/2000150983-W112/","Открыть позицию")</x:f>
        <x:v>Открыть позицию</x:v>
      </x:c>
    </x:row>
    <x:row r="151" ht="28" customHeight="1">
      <x:c r="A151" s="16" t="str">
        <x:v>Барнаульская ТЭЦ-3</x:v>
      </x:c>
      <x:c r="B151" s="16" t="str">
        <x:v>2000015467-W112</x:v>
      </x:c>
      <x:c r="C151" s="16" t="str">
        <x:v>ШЕСТИГРАННИК СТ35 41ММ ГОСТ2879-88</x:v>
      </x:c>
      <x:c r="D151" s="16" t="str">
        <x:v>М/прокат прочий</x:v>
      </x:c>
      <x:c r="E151" s="16" t="str">
        <x:v>Т</x:v>
      </x:c>
      <x:c r="F151" s="30" t="n">
        <x:v>0.071</x:v>
      </x:c>
      <x:c r="G151" s="17" t="n">
        <x:v>57240.216199999995</x:v>
      </x:c>
      <x:c r="H151" s="17" t="n">
        <x:f>G151*F151</x:f>
        <x:v>4064.0553501999993</x:v>
      </x:c>
      <x:c r="I151" s="26" t="str">
        <x:f>HYPERLINK("https://etp-aktiv.ru/catalog/materialy/metalloprodukciya/2000015467-W112/","Открыть позицию")</x:f>
        <x:v>Открыть позицию</x:v>
      </x:c>
    </x:row>
    <x:row r="152" ht="28" customHeight="1">
      <x:c r="A152" s="16" t="str">
        <x:v>Барнаульская ТЭЦ-3</x:v>
      </x:c>
      <x:c r="B152" s="16" t="str">
        <x:v>2000530338-W112</x:v>
      </x:c>
      <x:c r="C152" s="16" t="str">
        <x:v>ШПИЛЬКА АМ20-6G*180.48 В-СТ3СП5 ГОСТ9066</x:v>
      </x:c>
      <x:c r="D152" s="16" t="str">
        <x:v>Метизы Спец</x:v>
      </x:c>
      <x:c r="E152" s="16" t="str">
        <x:v>КГ</x:v>
      </x:c>
      <x:c r="F152" s="25" t="n">
        <x:v>12</x:v>
      </x:c>
      <x:c r="G152" s="17" t="n">
        <x:v>559.98</x:v>
      </x:c>
      <x:c r="H152" s="17" t="n">
        <x:f>G152*F152</x:f>
        <x:v>6719.76</x:v>
      </x:c>
      <x:c r="I152" s="26" t="str">
        <x:f>HYPERLINK("https://etp-aktiv.ru/catalog/materialy/metizy/2000530338-W112/","Открыть позицию")</x:f>
        <x:v>Открыть позицию</x:v>
      </x:c>
    </x:row>
    <x:row r="153" ht="28" customHeight="1">
      <x:c r="A153" s="16" t="str">
        <x:v>Барнаульская ТЭЦ-3</x:v>
      </x:c>
      <x:c r="B153" s="16" t="str">
        <x:v>2000016862-W112</x:v>
      </x:c>
      <x:c r="C153" s="16" t="str">
        <x:v>ЭЛЕКТРОД Т-590 5ММ ГОСТ9466-75</x:v>
      </x:c>
      <x:c r="D153" s="16" t="str">
        <x:v>Сварочные электроды</x:v>
      </x:c>
      <x:c r="E153" s="16" t="str">
        <x:v>Т</x:v>
      </x:c>
      <x:c r="F153" s="30" t="n">
        <x:v>0.023</x:v>
      </x:c>
      <x:c r="G153" s="17" t="n">
        <x:v>85095.6832</x:v>
      </x:c>
      <x:c r="H153" s="17" t="n">
        <x:f>G153*F153</x:f>
        <x:v>1957.2007136</x:v>
      </x:c>
      <x:c r="I153" s="26" t="str">
        <x:f>HYPERLINK("https://etp-aktiv.ru/catalog/materialy/svarochnye-ehlektrody/2000016862-W112/","Открыть позицию")</x:f>
        <x:v>Открыть позицию</x:v>
      </x:c>
    </x:row>
    <x:row r="154" ht="28" customHeight="1">
      <x:c r="A154" s="16" t="str">
        <x:v>Барнаульская ТЭЦ-3</x:v>
      </x:c>
      <x:c r="B154" s="16" t="str">
        <x:v>2000546299-W112</x:v>
      </x:c>
      <x:c r="C154" s="16" t="str">
        <x:v>ЭЛЕКТРОД ТМЛ-1У 3ММ</x:v>
      </x:c>
      <x:c r="D154" s="16" t="str">
        <x:v>Сварочные электроды</x:v>
      </x:c>
      <x:c r="E154" s="16" t="str">
        <x:v>Т</x:v>
      </x:c>
      <x:c r="F154" s="30" t="n">
        <x:v>0.025</x:v>
      </x:c>
      <x:c r="G154" s="17" t="n">
        <x:v>145502.8486</x:v>
      </x:c>
      <x:c r="H154" s="17" t="n">
        <x:f>G154*F154</x:f>
        <x:v>3637.571215</x:v>
      </x:c>
      <x:c r="I154" s="26" t="str">
        <x:f>HYPERLINK("https://etp-aktiv.ru/catalog/materialy/svarochnye-ehlektrody/2000546299-W112/","Открыть позицию")</x:f>
        <x:v>Открыть позицию</x:v>
      </x:c>
    </x:row>
    <x:row r="155" ht="28" customHeight="1">
      <x:c r="A155" s="16" t="str">
        <x:v>Барнаульская ТЭЦ-3</x:v>
      </x:c>
      <x:c r="B155" s="16" t="str">
        <x:v>2000546311-W112</x:v>
      </x:c>
      <x:c r="C155" s="16" t="str">
        <x:v>ЭЛЕКТРОД УОНИ 13/55 4ММ ГОСТ9466-75 (КГ)</x:v>
      </x:c>
      <x:c r="D155" s="16" t="str">
        <x:v>Сварочные электроды</x:v>
      </x:c>
      <x:c r="E155" s="16" t="str">
        <x:v>КГ</x:v>
      </x:c>
      <x:c r="F155" s="24" t="n">
        <x:v>10.55</x:v>
      </x:c>
      <x:c r="G155" s="17" t="n">
        <x:v>105.11519999999999</x:v>
      </x:c>
      <x:c r="H155" s="17" t="n">
        <x:f>G155*F155</x:f>
        <x:v>1108.96536</x:v>
      </x:c>
      <x:c r="I155" s="26" t="str">
        <x:f>HYPERLINK("https://etp-aktiv.ru/catalog/materialy/svarochnye-ehlektrody/2000546311-W112/","Открыть позицию")</x:f>
        <x:v>Открыть позицию</x:v>
      </x:c>
    </x:row>
    <x:row r="156" ht="28" customHeight="1">
      <x:c r="A156" s="16" t="str">
        <x:v>Барнаульская ТЭЦ-3</x:v>
      </x:c>
      <x:c r="B156" s="16" t="str">
        <x:v>2000015612-W112</x:v>
      </x:c>
      <x:c r="C156" s="16" t="str">
        <x:v>ЭЛЕКТРОД УОНИ-13/55 4ММ ГОСТ9466-75</x:v>
      </x:c>
      <x:c r="D156" s="16" t="str">
        <x:v>Сварочные электроды</x:v>
      </x:c>
      <x:c r="E156" s="16" t="str">
        <x:v>Т</x:v>
      </x:c>
      <x:c r="F156" s="30" t="n">
        <x:v>0.19</x:v>
      </x:c>
      <x:c r="G156" s="17" t="n">
        <x:v>167352.585</x:v>
      </x:c>
      <x:c r="H156" s="17" t="n">
        <x:f>G156*F156</x:f>
        <x:v>31796.991149999998</x:v>
      </x:c>
      <x:c r="I156" s="26" t="str">
        <x:f>HYPERLINK("https://etp-aktiv.ru/catalog/materialy/svarochnye-ehlektrody/2000015612-W112/","Открыть позицию")</x:f>
        <x:v>Открыть позицию</x:v>
      </x:c>
    </x:row>
    <x:row r="157" ht="28" customHeight="1">
      <x:c r="A157" s="16" t="str">
        <x:v>Барнаульская ТЭЦ-3</x:v>
      </x:c>
      <x:c r="B157" s="16" t="str">
        <x:v>2000546319-W112</x:v>
      </x:c>
      <x:c r="C157" s="16" t="str">
        <x:v>ЭЛЕКТРОД ЦЛ-39 2,5ММ ГОСТ9466-75</x:v>
      </x:c>
      <x:c r="D157" s="16" t="str">
        <x:v>Сварочные электроды</x:v>
      </x:c>
      <x:c r="E157" s="16" t="str">
        <x:v>КГ</x:v>
      </x:c>
      <x:c r="F157" s="24" t="n">
        <x:v>6.5</x:v>
      </x:c>
      <x:c r="G157" s="17" t="n">
        <x:v>153.06119999999999</x:v>
      </x:c>
      <x:c r="H157" s="17" t="n">
        <x:f>G157*F157</x:f>
        <x:v>994.8978</x:v>
      </x:c>
      <x:c r="I157" s="26" t="str">
        <x:f>HYPERLINK("https://etp-aktiv.ru/catalog/materialy/svarochnye-ehlektrody/2000546319-W112/","Открыть позицию")</x:f>
        <x:v>Открыть позицию</x:v>
      </x:c>
    </x:row>
    <x:row r="158" ht="28" customHeight="1">
      <x:c r="A158" s="16" t="str">
        <x:v>Барнаульская ТЭЦ-3</x:v>
      </x:c>
      <x:c r="B158" s="16" t="str">
        <x:v>2000546323-W112</x:v>
      </x:c>
      <x:c r="C158" s="16" t="str">
        <x:v>ЭЛЕКТРОД ЦН-6Л 4ММ ГОСТ9466-75</x:v>
      </x:c>
      <x:c r="D158" s="16" t="str">
        <x:v>Сварочные электроды</x:v>
      </x:c>
      <x:c r="E158" s="16" t="str">
        <x:v>КГ</x:v>
      </x:c>
      <x:c r="F158" s="24" t="n">
        <x:v>21.8</x:v>
      </x:c>
      <x:c r="G158" s="17" t="n">
        <x:v>632.7896</x:v>
      </x:c>
      <x:c r="H158" s="17" t="n">
        <x:f>G158*F158</x:f>
        <x:v>13794.813279999998</x:v>
      </x:c>
      <x:c r="I158" s="26" t="str">
        <x:f>HYPERLINK("https://etp-aktiv.ru/catalog/materialy/svarochnye-ehlektrody/2000546323-W112/","Открыть позицию")</x:f>
        <x:v>Открыть позицию</x:v>
      </x:c>
    </x:row>
    <x:row r="159" ht="28" customHeight="1">
      <x:c r="A159" s="16" t="str">
        <x:v>Барнаульская ТЭЦ-3</x:v>
      </x:c>
      <x:c r="B159" s="16" t="str">
        <x:v>2000546331-W112</x:v>
      </x:c>
      <x:c r="C159" s="16" t="str">
        <x:v>ЭЛЕКТРОД ЦУ-5 3ММ ГОСТ9466-75</x:v>
      </x:c>
      <x:c r="D159" s="16" t="str">
        <x:v>Сварочные электроды</x:v>
      </x:c>
      <x:c r="E159" s="16" t="str">
        <x:v>КГ</x:v>
      </x:c>
      <x:c r="F159" s="24" t="n">
        <x:v>29.188</x:v>
      </x:c>
      <x:c r="G159" s="17" t="n">
        <x:v>125.7698</x:v>
      </x:c>
      <x:c r="H159" s="17" t="n">
        <x:f>G159*F159</x:f>
        <x:v>3670.9689224</x:v>
      </x:c>
      <x:c r="I159" s="26" t="str">
        <x:f>HYPERLINK("https://etp-aktiv.ru/catalog/materialy/svarochnye-ehlektrody/2000546331-W112/","Открыть позицию")</x:f>
        <x:v>Открыть позицию</x:v>
      </x:c>
    </x:row>
    <x:row r="160" ht="28" customHeight="1">
      <x:c r="A160" s="16" t="str">
        <x:v>Бийскэнерго</x:v>
      </x:c>
      <x:c r="B160" s="16" t="str">
        <x:v>2000068361-W113</x:v>
      </x:c>
      <x:c r="C160" s="16" t="str">
        <x:v>БОЛТ М10*40 ГОСТ7798-70</x:v>
      </x:c>
      <x:c r="D160" s="16" t="str">
        <x:v>Метизы</x:v>
      </x:c>
      <x:c r="E160" s="16" t="str">
        <x:v>КГ</x:v>
      </x:c>
      <x:c r="F160" s="24" t="n">
        <x:v>4.5</x:v>
      </x:c>
      <x:c r="G160" s="17" t="n">
        <x:v>119.7064</x:v>
      </x:c>
      <x:c r="H160" s="17" t="n">
        <x:f>G160*F160</x:f>
        <x:v>538.6788</x:v>
      </x:c>
      <x:c r="I160" s="26" t="str">
        <x:f>HYPERLINK("https://etp-aktiv.ru/catalog/materialy/metizy/2000068361-W113/","Открыть позицию")</x:f>
        <x:v>Открыть позицию</x:v>
      </x:c>
    </x:row>
    <x:row r="161" ht="28" customHeight="1">
      <x:c r="A161" s="16" t="str">
        <x:v>Бийскэнерго</x:v>
      </x:c>
      <x:c r="B161" s="16" t="str">
        <x:v>2000480076-W113</x:v>
      </x:c>
      <x:c r="C161" s="16" t="str">
        <x:v>БОЛТ М10-6G*25.58.019 ГОСТ7805-70</x:v>
      </x:c>
      <x:c r="D161" s="16" t="str">
        <x:v>Метизы Спец</x:v>
      </x:c>
      <x:c r="E161" s="16" t="str">
        <x:v>КГ</x:v>
      </x:c>
      <x:c r="F161" s="25" t="n">
        <x:v>8</x:v>
      </x:c>
      <x:c r="G161" s="17" t="n">
        <x:v>89.77980000000001</x:v>
      </x:c>
      <x:c r="H161" s="17" t="n">
        <x:f>G161*F161</x:f>
        <x:v>718.2384000000001</x:v>
      </x:c>
      <x:c r="I161" s="26" t="str">
        <x:f>HYPERLINK("https://etp-aktiv.ru/catalog/materialy/metizy/2000480076-W113/","Открыть позицию")</x:f>
        <x:v>Открыть позицию</x:v>
      </x:c>
    </x:row>
    <x:row r="162" ht="28" customHeight="1">
      <x:c r="A162" s="16" t="str">
        <x:v>Бийскэнерго</x:v>
      </x:c>
      <x:c r="B162" s="16" t="str">
        <x:v>2000068403-W113</x:v>
      </x:c>
      <x:c r="C162" s="16" t="str">
        <x:v>БОЛТ М12*30 ГОСТ7805-70</x:v>
      </x:c>
      <x:c r="D162" s="16" t="str">
        <x:v>Метизы</x:v>
      </x:c>
      <x:c r="E162" s="16" t="str">
        <x:v>КГ</x:v>
      </x:c>
      <x:c r="F162" s="24" t="n">
        <x:v>1.9</x:v>
      </x:c>
      <x:c r="G162" s="17" t="n">
        <x:v>116.63199999999999</x:v>
      </x:c>
      <x:c r="H162" s="17" t="n">
        <x:f>G162*F162</x:f>
        <x:v>221.60079999999996</x:v>
      </x:c>
      <x:c r="I162" s="26" t="str">
        <x:f>HYPERLINK("https://etp-aktiv.ru/catalog/materialy/metizy/2000068403-W113/","Открыть позицию")</x:f>
        <x:v>Открыть позицию</x:v>
      </x:c>
    </x:row>
    <x:row r="163" ht="28" customHeight="1">
      <x:c r="A163" s="16" t="str">
        <x:v>Бийскэнерго</x:v>
      </x:c>
      <x:c r="B163" s="16" t="str">
        <x:v>2000068404-W113</x:v>
      </x:c>
      <x:c r="C163" s="16" t="str">
        <x:v>БОЛТ М12*35 ГОСТ7805-70</x:v>
      </x:c>
      <x:c r="D163" s="16" t="str">
        <x:v>Метизы</x:v>
      </x:c>
      <x:c r="E163" s="16" t="str">
        <x:v>КГ</x:v>
      </x:c>
      <x:c r="F163" s="25" t="n">
        <x:v>10</x:v>
      </x:c>
      <x:c r="G163" s="17" t="n">
        <x:v>118.19359999999999</x:v>
      </x:c>
      <x:c r="H163" s="17" t="n">
        <x:f>G163*F163</x:f>
        <x:v>1181.936</x:v>
      </x:c>
      <x:c r="I163" s="26" t="str">
        <x:f>HYPERLINK("https://etp-aktiv.ru/catalog/materialy/metizy/2000068404-W113/","Открыть позицию")</x:f>
        <x:v>Открыть позицию</x:v>
      </x:c>
    </x:row>
    <x:row r="164" ht="28" customHeight="1">
      <x:c r="A164" s="16" t="str">
        <x:v>Бийскэнерго</x:v>
      </x:c>
      <x:c r="B164" s="16" t="str">
        <x:v>2000142904-W113</x:v>
      </x:c>
      <x:c r="C164" s="16" t="str">
        <x:v>БОЛТ М12*45 ГОСТ7798-70</x:v>
      </x:c>
      <x:c r="D164" s="16" t="str">
        <x:v>Метизы Спец</x:v>
      </x:c>
      <x:c r="E164" s="16" t="str">
        <x:v>КГ</x:v>
      </x:c>
      <x:c r="F164" s="24" t="n">
        <x:v>27.5</x:v>
      </x:c>
      <x:c r="G164" s="17" t="n">
        <x:v>111.325</x:v>
      </x:c>
      <x:c r="H164" s="17" t="n">
        <x:f>G164*F164</x:f>
        <x:v>3061.4375</x:v>
      </x:c>
      <x:c r="I164" s="26" t="str">
        <x:f>HYPERLINK("https://etp-aktiv.ru/catalog/materialy/metizy/2000142904-W113/","Открыть позицию")</x:f>
        <x:v>Открыть позицию</x:v>
      </x:c>
    </x:row>
    <x:row r="165" ht="28" customHeight="1">
      <x:c r="A165" s="16" t="str">
        <x:v>Бийскэнерго</x:v>
      </x:c>
      <x:c r="B165" s="16" t="str">
        <x:v>2000020338-W113</x:v>
      </x:c>
      <x:c r="C165" s="16" t="str">
        <x:v>БОЛТ М12*45 ОЦИНК ГОСТ7798-70</x:v>
      </x:c>
      <x:c r="D165" s="16" t="str">
        <x:v>Метизы</x:v>
      </x:c>
      <x:c r="E165" s="16" t="str">
        <x:v>КГ</x:v>
      </x:c>
      <x:c r="F165" s="24" t="n">
        <x:v>22.955</x:v>
      </x:c>
      <x:c r="G165" s="17" t="n">
        <x:v>127.3436</x:v>
      </x:c>
      <x:c r="H165" s="17" t="n">
        <x:f>G165*F165</x:f>
        <x:v>2923.172338</x:v>
      </x:c>
      <x:c r="I165" s="26" t="str">
        <x:f>HYPERLINK("https://etp-aktiv.ru/catalog/materialy/metizy/2000020338-W113/","Открыть позицию")</x:f>
        <x:v>Открыть позицию</x:v>
      </x:c>
    </x:row>
    <x:row r="166" ht="28" customHeight="1">
      <x:c r="A166" s="16" t="str">
        <x:v>Бийскэнерго</x:v>
      </x:c>
      <x:c r="B166" s="16" t="str">
        <x:v>2000333996-W113</x:v>
      </x:c>
      <x:c r="C166" s="16" t="str">
        <x:v>БОЛТ М12-6G*50.66 ГОСТ7796-70</x:v>
      </x:c>
      <x:c r="D166" s="16" t="str">
        <x:v>Метизы</x:v>
      </x:c>
      <x:c r="E166" s="16" t="str">
        <x:v>КГ</x:v>
      </x:c>
      <x:c r="F166" s="25" t="n">
        <x:v>6</x:v>
      </x:c>
      <x:c r="G166" s="17" t="n">
        <x:v>120.09679999999999</x:v>
      </x:c>
      <x:c r="H166" s="17" t="n">
        <x:f>G166*F166</x:f>
        <x:v>720.5808</x:v>
      </x:c>
      <x:c r="I166" s="26" t="str">
        <x:f>HYPERLINK("https://etp-aktiv.ru/catalog/materialy/metizy/2000333996-W113/","Открыть позицию")</x:f>
        <x:v>Открыть позицию</x:v>
      </x:c>
    </x:row>
    <x:row r="167" ht="28" customHeight="1">
      <x:c r="A167" s="16" t="str">
        <x:v>Бийскэнерго</x:v>
      </x:c>
      <x:c r="B167" s="16" t="str">
        <x:v>2000235348-W113</x:v>
      </x:c>
      <x:c r="C167" s="16" t="str">
        <x:v>БОЛТ М14*40 ГОСТ7798-70</x:v>
      </x:c>
      <x:c r="D167" s="16" t="str">
        <x:v>Метизы Спец</x:v>
      </x:c>
      <x:c r="E167" s="16" t="str">
        <x:v>КГ</x:v>
      </x:c>
      <x:c r="F167" s="25" t="n">
        <x:v>4</x:v>
      </x:c>
      <x:c r="G167" s="17" t="n">
        <x:v>120.475</x:v>
      </x:c>
      <x:c r="H167" s="17" t="n">
        <x:f>G167*F167</x:f>
        <x:v>481.9</x:v>
      </x:c>
      <x:c r="I167" s="26" t="str">
        <x:f>HYPERLINK("https://etp-aktiv.ru/catalog/materialy/metizy/2000235348-W113/","Открыть позицию")</x:f>
        <x:v>Открыть позицию</x:v>
      </x:c>
    </x:row>
    <x:row r="168" ht="28" customHeight="1">
      <x:c r="A168" s="16" t="str">
        <x:v>Бийскэнерго</x:v>
      </x:c>
      <x:c r="B168" s="16" t="str">
        <x:v>2000068292-W113</x:v>
      </x:c>
      <x:c r="C168" s="16" t="str">
        <x:v>БОЛТ М14*55 ГОСТ7805-70</x:v>
      </x:c>
      <x:c r="D168" s="16" t="str">
        <x:v>Метизы</x:v>
      </x:c>
      <x:c r="E168" s="16" t="str">
        <x:v>КГ</x:v>
      </x:c>
      <x:c r="F168" s="24" t="n">
        <x:v>5.5</x:v>
      </x:c>
      <x:c r="G168" s="17" t="n">
        <x:v>125.05</x:v>
      </x:c>
      <x:c r="H168" s="17" t="n">
        <x:f>G168*F168</x:f>
        <x:v>687.775</x:v>
      </x:c>
      <x:c r="I168" s="26" t="str">
        <x:f>HYPERLINK("https://etp-aktiv.ru/catalog/materialy/metizy/2000068292-W113/","Открыть позицию")</x:f>
        <x:v>Открыть позицию</x:v>
      </x:c>
    </x:row>
    <x:row r="169" ht="28" customHeight="1">
      <x:c r="A169" s="16" t="str">
        <x:v>Бийскэнерго</x:v>
      </x:c>
      <x:c r="B169" s="16" t="str">
        <x:v>2000068284-W113</x:v>
      </x:c>
      <x:c r="C169" s="16" t="str">
        <x:v>БОЛТ М16*90 ГОСТ7805-70</x:v>
      </x:c>
      <x:c r="D169" s="16" t="str">
        <x:v>Метизы</x:v>
      </x:c>
      <x:c r="E169" s="16" t="str">
        <x:v>КГ</x:v>
      </x:c>
      <x:c r="F169" s="24" t="n">
        <x:v>1.3</x:v>
      </x:c>
      <x:c r="G169" s="17" t="n">
        <x:v>97.1242</x:v>
      </x:c>
      <x:c r="H169" s="17" t="n">
        <x:f>G169*F169</x:f>
        <x:v>126.26146000000001</x:v>
      </x:c>
      <x:c r="I169" s="26" t="str">
        <x:f>HYPERLINK("https://etp-aktiv.ru/catalog/materialy/metizy/2000068284-W113/","Открыть позицию")</x:f>
        <x:v>Открыть позицию</x:v>
      </x:c>
    </x:row>
    <x:row r="170" ht="28" customHeight="1">
      <x:c r="A170" s="16" t="str">
        <x:v>Бийскэнерго</x:v>
      </x:c>
      <x:c r="B170" s="16" t="str">
        <x:v>2000142911-W113</x:v>
      </x:c>
      <x:c r="C170" s="16" t="str">
        <x:v>БОЛТ М18*110 ГОСТ7798-70</x:v>
      </x:c>
      <x:c r="D170" s="16" t="str">
        <x:v>Метизы</x:v>
      </x:c>
      <x:c r="E170" s="16" t="str">
        <x:v>КГ</x:v>
      </x:c>
      <x:c r="F170" s="25" t="n">
        <x:v>44</x:v>
      </x:c>
      <x:c r="G170" s="17" t="n">
        <x:v>106.3718</x:v>
      </x:c>
      <x:c r="H170" s="17" t="n">
        <x:f>G170*F170</x:f>
        <x:v>4680.3592</x:v>
      </x:c>
      <x:c r="I170" s="26" t="str">
        <x:f>HYPERLINK("https://etp-aktiv.ru/catalog/materialy/metizy/2000142911-W113/","Открыть позицию")</x:f>
        <x:v>Открыть позицию</x:v>
      </x:c>
    </x:row>
    <x:row r="171" ht="28" customHeight="1">
      <x:c r="A171" s="16" t="str">
        <x:v>Бийскэнерго</x:v>
      </x:c>
      <x:c r="B171" s="16" t="str">
        <x:v>2000068426-W113</x:v>
      </x:c>
      <x:c r="C171" s="16" t="str">
        <x:v>БОЛТ М18*70 ГОСТ7805-70</x:v>
      </x:c>
      <x:c r="D171" s="16" t="str">
        <x:v>Метизы</x:v>
      </x:c>
      <x:c r="E171" s="16" t="str">
        <x:v>КГ</x:v>
      </x:c>
      <x:c r="F171" s="25" t="n">
        <x:v>8</x:v>
      </x:c>
      <x:c r="G171" s="17" t="n">
        <x:v>141.825</x:v>
      </x:c>
      <x:c r="H171" s="17" t="n">
        <x:f>G171*F171</x:f>
        <x:v>1134.6</x:v>
      </x:c>
      <x:c r="I171" s="26" t="str">
        <x:f>HYPERLINK("https://etp-aktiv.ru/catalog/materialy/metizy/2000068426-W113/","Открыть позицию")</x:f>
        <x:v>Открыть позицию</x:v>
      </x:c>
    </x:row>
    <x:row r="172" ht="28" customHeight="1">
      <x:c r="A172" s="16" t="str">
        <x:v>Бийскэнерго</x:v>
      </x:c>
      <x:c r="B172" s="16" t="str">
        <x:v>2000068280-W113</x:v>
      </x:c>
      <x:c r="C172" s="16" t="str">
        <x:v>БОЛТ М20*80 ГОСТ7805-70</x:v>
      </x:c>
      <x:c r="D172" s="16" t="str">
        <x:v>Метизы</x:v>
      </x:c>
      <x:c r="E172" s="16" t="str">
        <x:v>КГ</x:v>
      </x:c>
      <x:c r="F172" s="30" t="n">
        <x:v>0.005</x:v>
      </x:c>
      <x:c r="G172" s="17" t="n">
        <x:v>127.246</x:v>
      </x:c>
      <x:c r="H172" s="17" t="n">
        <x:f>G172*F172</x:f>
        <x:v>0.63623</x:v>
      </x:c>
      <x:c r="I172" s="26" t="str">
        <x:f>HYPERLINK("https://etp-aktiv.ru/catalog/materialy/metizy/2000068280-W113/","Открыть позицию")</x:f>
        <x:v>Открыть позицию</x:v>
      </x:c>
    </x:row>
    <x:row r="173" ht="28" customHeight="1">
      <x:c r="A173" s="16" t="str">
        <x:v>Бийскэнерго</x:v>
      </x:c>
      <x:c r="B173" s="16" t="str">
        <x:v>2000359065-W113</x:v>
      </x:c>
      <x:c r="C173" s="16" t="str">
        <x:v>БОЛТ М22*50 10.9 ОЦИНК DIN933</x:v>
      </x:c>
      <x:c r="D173" s="16" t="str">
        <x:v>Метизы</x:v>
      </x:c>
      <x:c r="E173" s="16" t="str">
        <x:v>КГ</x:v>
      </x:c>
      <x:c r="F173" s="24" t="n">
        <x:v>8.2</x:v>
      </x:c>
      <x:c r="G173" s="17" t="n">
        <x:v>320.25</x:v>
      </x:c>
      <x:c r="H173" s="17" t="n">
        <x:f>G173*F173</x:f>
        <x:v>2626.0499999999997</x:v>
      </x:c>
      <x:c r="I173" s="26" t="str">
        <x:f>HYPERLINK("https://etp-aktiv.ru/catalog/materialy/metizy/2000359065-W113/","Открыть позицию")</x:f>
        <x:v>Открыть позицию</x:v>
      </x:c>
    </x:row>
    <x:row r="174" ht="28" customHeight="1">
      <x:c r="A174" s="16" t="str">
        <x:v>Бийскэнерго</x:v>
      </x:c>
      <x:c r="B174" s="16" t="str">
        <x:v>2000068454-W113</x:v>
      </x:c>
      <x:c r="C174" s="16" t="str">
        <x:v>БОЛТ М22*80 ГОСТ7805-70</x:v>
      </x:c>
      <x:c r="D174" s="16" t="str">
        <x:v>Метизы</x:v>
      </x:c>
      <x:c r="E174" s="16" t="str">
        <x:v>КГ</x:v>
      </x:c>
      <x:c r="F174" s="25" t="n">
        <x:v>30</x:v>
      </x:c>
      <x:c r="G174" s="17" t="n">
        <x:v>105.6886</x:v>
      </x:c>
      <x:c r="H174" s="17" t="n">
        <x:f>G174*F174</x:f>
        <x:v>3170.658</x:v>
      </x:c>
      <x:c r="I174" s="26" t="str">
        <x:f>HYPERLINK("https://etp-aktiv.ru/catalog/materialy/metizy/2000068454-W113/","Открыть позицию")</x:f>
        <x:v>Открыть позицию</x:v>
      </x:c>
    </x:row>
    <x:row r="175" ht="28" customHeight="1">
      <x:c r="A175" s="16" t="str">
        <x:v>Бийскэнерго</x:v>
      </x:c>
      <x:c r="B175" s="16" t="str">
        <x:v>2000142919-W113</x:v>
      </x:c>
      <x:c r="C175" s="16" t="str">
        <x:v>БОЛТ М24*70 ГОСТ7798-70</x:v>
      </x:c>
      <x:c r="D175" s="16" t="str">
        <x:v>Метизы</x:v>
      </x:c>
      <x:c r="E175" s="16" t="str">
        <x:v>КГ</x:v>
      </x:c>
      <x:c r="F175" s="25" t="n">
        <x:v>9</x:v>
      </x:c>
      <x:c r="G175" s="17" t="n">
        <x:v>150.975</x:v>
      </x:c>
      <x:c r="H175" s="17" t="n">
        <x:f>G175*F175</x:f>
        <x:v>1358.7749999999999</x:v>
      </x:c>
      <x:c r="I175" s="26" t="str">
        <x:f>HYPERLINK("https://etp-aktiv.ru/catalog/materialy/metizy/2000142919-W113/","Открыть позицию")</x:f>
        <x:v>Открыть позицию</x:v>
      </x:c>
    </x:row>
    <x:row r="176" ht="28" customHeight="1">
      <x:c r="A176" s="16" t="str">
        <x:v>Бийскэнерго</x:v>
      </x:c>
      <x:c r="B176" s="16" t="str">
        <x:v>2000191282-W113</x:v>
      </x:c>
      <x:c r="C176" s="16" t="str">
        <x:v>ВИНТ М8*25 ГОСТ17473-80</x:v>
      </x:c>
      <x:c r="D176" s="16" t="str">
        <x:v>Метизы</x:v>
      </x:c>
      <x:c r="E176" s="16" t="str">
        <x:v>КГ</x:v>
      </x:c>
      <x:c r="F176" s="25" t="n">
        <x:v>1</x:v>
      </x:c>
      <x:c r="G176" s="17" t="n">
        <x:v>51.508399999999995</x:v>
      </x:c>
      <x:c r="H176" s="17" t="n">
        <x:f>G176*F176</x:f>
        <x:v>51.508399999999995</x:v>
      </x:c>
      <x:c r="I176" s="26" t="str">
        <x:f>HYPERLINK("https://etp-aktiv.ru/catalog/materialy/metizy/2000191282-W113/","Открыть позицию")</x:f>
        <x:v>Открыть позицию</x:v>
      </x:c>
    </x:row>
    <x:row r="177" ht="28" customHeight="1">
      <x:c r="A177" s="16" t="str">
        <x:v>Бийскэнерго</x:v>
      </x:c>
      <x:c r="B177" s="16" t="str">
        <x:v>2000530479-W113</x:v>
      </x:c>
      <x:c r="C177" s="16" t="str">
        <x:v>ВИНТ САМОНАРЕЗАЮЩИЙ 4,2*16 ШСММ 01</x:v>
      </x:c>
      <x:c r="D177" s="16" t="str">
        <x:v>Метизы</x:v>
      </x:c>
      <x:c r="E177" s="16" t="str">
        <x:v>КГ</x:v>
      </x:c>
      <x:c r="F177" s="30" t="n">
        <x:v>0.5</x:v>
      </x:c>
      <x:c r="G177" s="17" t="n">
        <x:v>143.3378</x:v>
      </x:c>
      <x:c r="H177" s="17" t="n">
        <x:f>G177*F177</x:f>
        <x:v>71.6689</x:v>
      </x:c>
      <x:c r="I177" s="26" t="str">
        <x:f>HYPERLINK("https://etp-aktiv.ru/catalog/materialy/metizy/2000530479-W113/","Открыть позицию")</x:f>
        <x:v>Открыть позицию</x:v>
      </x:c>
    </x:row>
    <x:row r="178" ht="28" customHeight="1">
      <x:c r="A178" s="16" t="str">
        <x:v>Бийскэнерго</x:v>
      </x:c>
      <x:c r="B178" s="16" t="str">
        <x:v>2000150087-W113</x:v>
      </x:c>
      <x:c r="C178" s="16" t="str">
        <x:v>ГАЙКА М14 ГОСТ5927-70</x:v>
      </x:c>
      <x:c r="D178" s="16" t="str">
        <x:v>Метизы Спец</x:v>
      </x:c>
      <x:c r="E178" s="16" t="str">
        <x:v>КГ</x:v>
      </x:c>
      <x:c r="F178" s="24" t="n">
        <x:v>6.7</x:v>
      </x:c>
      <x:c r="G178" s="17" t="n">
        <x:v>100.0766</x:v>
      </x:c>
      <x:c r="H178" s="17" t="n">
        <x:f>G178*F178</x:f>
        <x:v>670.51322</x:v>
      </x:c>
      <x:c r="I178" s="26" t="str">
        <x:f>HYPERLINK("https://etp-aktiv.ru/catalog/materialy/metizy/2000150087-W113/","Открыть позицию")</x:f>
        <x:v>Открыть позицию</x:v>
      </x:c>
    </x:row>
    <x:row r="179" ht="28" customHeight="1">
      <x:c r="A179" s="16" t="str">
        <x:v>Бийскэнерго</x:v>
      </x:c>
      <x:c r="B179" s="16" t="str">
        <x:v>2000068476-W113</x:v>
      </x:c>
      <x:c r="C179" s="16" t="str">
        <x:v>ГАЙКА М18 ГОСТ5915-70</x:v>
      </x:c>
      <x:c r="D179" s="16" t="str">
        <x:v>Метизы</x:v>
      </x:c>
      <x:c r="E179" s="16" t="str">
        <x:v>КГ</x:v>
      </x:c>
      <x:c r="F179" s="24" t="n">
        <x:v>9.6</x:v>
      </x:c>
      <x:c r="G179" s="17" t="n">
        <x:v>106.3718</x:v>
      </x:c>
      <x:c r="H179" s="17" t="n">
        <x:f>G179*F179</x:f>
        <x:v>1021.1692799999998</x:v>
      </x:c>
      <x:c r="I179" s="26" t="str">
        <x:f>HYPERLINK("https://etp-aktiv.ru/catalog/materialy/metizy/2000068476-W113/","Открыть позицию")</x:f>
        <x:v>Открыть позицию</x:v>
      </x:c>
    </x:row>
    <x:row r="180" ht="28" customHeight="1">
      <x:c r="A180" s="16" t="str">
        <x:v>Бийскэнерго</x:v>
      </x:c>
      <x:c r="B180" s="16" t="str">
        <x:v>2000243939-W113</x:v>
      </x:c>
      <x:c r="C180" s="16" t="str">
        <x:v>ГАЙКА М22 10 ОЦИНК DIN985</x:v>
      </x:c>
      <x:c r="D180" s="16" t="str">
        <x:v>Метизы</x:v>
      </x:c>
      <x:c r="E180" s="16" t="str">
        <x:v>КГ</x:v>
      </x:c>
      <x:c r="F180" s="24" t="n">
        <x:v>2.4</x:v>
      </x:c>
      <x:c r="G180" s="17" t="n">
        <x:v>1372.5</x:v>
      </x:c>
      <x:c r="H180" s="17" t="n">
        <x:f>G180*F180</x:f>
        <x:v>3294</x:v>
      </x:c>
      <x:c r="I180" s="26" t="str">
        <x:f>HYPERLINK("https://etp-aktiv.ru/catalog/materialy/metizy/2000243939-W113/","Открыть позицию")</x:f>
        <x:v>Открыть позицию</x:v>
      </x:c>
    </x:row>
    <x:row r="181" ht="28" customHeight="1">
      <x:c r="A181" s="16" t="str">
        <x:v>Бийскэнерго</x:v>
      </x:c>
      <x:c r="B181" s="16" t="str">
        <x:v>2000555702-W113</x:v>
      </x:c>
      <x:c r="C181" s="16" t="str">
        <x:v>ДВУТАВР С245 45 ГОСТ8239-89</x:v>
      </x:c>
      <x:c r="D181" s="16" t="str">
        <x:v>М/прокат черный</x:v>
      </x:c>
      <x:c r="E181" s="16" t="str">
        <x:v>Т</x:v>
      </x:c>
      <x:c r="F181" s="30" t="n">
        <x:v>0.595</x:v>
      </x:c>
      <x:c r="G181" s="17" t="n">
        <x:v>51745.2386</x:v>
      </x:c>
      <x:c r="H181" s="17" t="n">
        <x:f>G181*F181</x:f>
        <x:v>30788.416966999997</x:v>
      </x:c>
      <x:c r="I181" s="26" t="str">
        <x:f>HYPERLINK("https://etp-aktiv.ru/catalog/materialy/metalloprodukciya/2000555702-W113/","Открыть позицию")</x:f>
        <x:v>Открыть позицию</x:v>
      </x:c>
    </x:row>
    <x:row r="182" ht="28" customHeight="1">
      <x:c r="A182" s="16" t="str">
        <x:v>Бийскэнерго</x:v>
      </x:c>
      <x:c r="B182" s="16" t="str">
        <x:v>2000174688-W113</x:v>
      </x:c>
      <x:c r="C182" s="16" t="str">
        <x:v>ДЮБЕЛЬ 10*80 ГОСТ28456-90</x:v>
      </x:c>
      <x:c r="D182" s="16" t="str">
        <x:v>Метизы Спец</x:v>
      </x:c>
      <x:c r="E182" s="16" t="str">
        <x:v>ШТ</x:v>
      </x:c>
      <x:c r="F182" s="25" t="n">
        <x:v>800</x:v>
      </x:c>
      <x:c r="G182" s="17" t="n">
        <x:v>4.0138</x:v>
      </x:c>
      <x:c r="H182" s="17" t="n">
        <x:f>G182*F182</x:f>
        <x:v>3211.04</x:v>
      </x:c>
      <x:c r="I182" s="26" t="str">
        <x:f>HYPERLINK("https://etp-aktiv.ru/catalog/materialy/metizy/2000174688-W113/","Открыть позицию")</x:f>
        <x:v>Открыть позицию</x:v>
      </x:c>
    </x:row>
    <x:row r="183" ht="28" customHeight="1">
      <x:c r="A183" s="16" t="str">
        <x:v>Бийскэнерго</x:v>
      </x:c>
      <x:c r="B183" s="16" t="str">
        <x:v>2000146570-W113</x:v>
      </x:c>
      <x:c r="C183" s="16" t="str">
        <x:v>КРУГ 12Х1МФ D30ММ ГОСТ20072-74</x:v>
      </x:c>
      <x:c r="D183" s="16" t="str">
        <x:v>М/прокат нерж сталь</x:v>
      </x:c>
      <x:c r="E183" s="16" t="str">
        <x:v>Т</x:v>
      </x:c>
      <x:c r="F183" s="30" t="n">
        <x:v>0.123</x:v>
      </x:c>
      <x:c r="G183" s="17" t="n">
        <x:v>73200</x:v>
      </x:c>
      <x:c r="H183" s="17" t="n">
        <x:f>G183*F183</x:f>
        <x:v>9003.6</x:v>
      </x:c>
      <x:c r="I183" s="26" t="str">
        <x:f>HYPERLINK("https://etp-aktiv.ru/catalog/materialy/metalloprodukciya/2000146570-W113/","Открыть позицию")</x:f>
        <x:v>Открыть позицию</x:v>
      </x:c>
    </x:row>
    <x:row r="184" ht="28" customHeight="1">
      <x:c r="A184" s="16" t="str">
        <x:v>Бийскэнерго</x:v>
      </x:c>
      <x:c r="B184" s="16" t="str">
        <x:v>2000574342-W113</x:v>
      </x:c>
      <x:c r="C184" s="16" t="str">
        <x:v>КРУГ 20Х1М1Ф1ТР D125ММ ГОСТ20072-74</x:v>
      </x:c>
      <x:c r="D184" s="16" t="str">
        <x:v>М/прокат нерж сталь</x:v>
      </x:c>
      <x:c r="E184" s="16" t="str">
        <x:v>Т</x:v>
      </x:c>
      <x:c r="F184" s="30" t="n">
        <x:v>0.05</x:v>
      </x:c>
      <x:c r="G184" s="17" t="n">
        <x:v>464214.45300000004</x:v>
      </x:c>
      <x:c r="H184" s="17" t="n">
        <x:f>G184*F184</x:f>
        <x:v>23210.722650000003</x:v>
      </x:c>
      <x:c r="I184" s="26" t="str">
        <x:f>HYPERLINK("https://etp-aktiv.ru/catalog/materialy/metalloprodukciya/2000574342-W113/","Открыть позицию")</x:f>
        <x:v>Открыть позицию</x:v>
      </x:c>
    </x:row>
    <x:row r="185" ht="28" customHeight="1">
      <x:c r="A185" s="16" t="str">
        <x:v>Бийскэнерго</x:v>
      </x:c>
      <x:c r="B185" s="16" t="str">
        <x:v>2000176076-W113</x:v>
      </x:c>
      <x:c r="C185" s="16" t="str">
        <x:v>КРУГ 20Х1М1Ф1ТР D90ММ ГОСТ20072-74</x:v>
      </x:c>
      <x:c r="D185" s="16" t="str">
        <x:v>М/прокат нерж сталь</x:v>
      </x:c>
      <x:c r="E185" s="16" t="str">
        <x:v>Т</x:v>
      </x:c>
      <x:c r="F185" s="30" t="n">
        <x:v>0.08</x:v>
      </x:c>
      <x:c r="G185" s="17" t="n">
        <x:v>240873.75</x:v>
      </x:c>
      <x:c r="H185" s="17" t="n">
        <x:f>G185*F185</x:f>
        <x:v>19269.9</x:v>
      </x:c>
      <x:c r="I185" s="26" t="str">
        <x:f>HYPERLINK("https://etp-aktiv.ru/catalog/materialy/metalloprodukciya/2000176076-W113/","Открыть позицию")</x:f>
        <x:v>Открыть позицию</x:v>
      </x:c>
    </x:row>
    <x:row r="186" ht="28" customHeight="1">
      <x:c r="A186" s="16" t="str">
        <x:v>Бийскэнерго</x:v>
      </x:c>
      <x:c r="B186" s="16" t="str">
        <x:v>2000949155-W113</x:v>
      </x:c>
      <x:c r="C186" s="16" t="str">
        <x:v>КРУГ БРАЖ9-4 D200ММ ТУ1733-116-00195430</x:v>
      </x:c>
      <x:c r="D186" s="16" t="str">
        <x:v>М/прокат цветной</x:v>
      </x:c>
      <x:c r="E186" s="16" t="str">
        <x:v>КГ</x:v>
      </x:c>
      <x:c r="F186" s="24" t="n">
        <x:v>213.4</x:v>
      </x:c>
      <x:c r="G186" s="17" t="n">
        <x:v>839.055</x:v>
      </x:c>
      <x:c r="H186" s="17" t="n">
        <x:f>G186*F186</x:f>
        <x:v>179054.337</x:v>
      </x:c>
      <x:c r="I186" s="26" t="str">
        <x:f>HYPERLINK("https://etp-aktiv.ru/catalog/materialy/metalloprodukciya/2000949155-W113/","Открыть позицию")</x:f>
        <x:v>Открыть позицию</x:v>
      </x:c>
    </x:row>
    <x:row r="187" ht="28" customHeight="1">
      <x:c r="A187" s="16" t="str">
        <x:v>Бийскэнерго</x:v>
      </x:c>
      <x:c r="B187" s="16" t="str">
        <x:v>2000014875-W113</x:v>
      </x:c>
      <x:c r="C187" s="16" t="str">
        <x:v>КРУГ СТ3 D130ММ ГОСТ2590-2006</x:v>
      </x:c>
      <x:c r="D187" s="16" t="str">
        <x:v>М/прокат черный</x:v>
      </x:c>
      <x:c r="E187" s="16" t="str">
        <x:v>Т</x:v>
      </x:c>
      <x:c r="F187" s="30" t="n">
        <x:v>0.275</x:v>
      </x:c>
      <x:c r="G187" s="17" t="n">
        <x:v>51177.109</x:v>
      </x:c>
      <x:c r="H187" s="17" t="n">
        <x:f>G187*F187</x:f>
        <x:v>14073.704975</x:v>
      </x:c>
      <x:c r="I187" s="26" t="str">
        <x:f>HYPERLINK("https://etp-aktiv.ru/catalog/materialy/metalloprodukciya/2000014875-W113/","Открыть позицию")</x:f>
        <x:v>Открыть позицию</x:v>
      </x:c>
    </x:row>
    <x:row r="188" ht="28" customHeight="1">
      <x:c r="A188" s="16" t="str">
        <x:v>Бийскэнерго</x:v>
      </x:c>
      <x:c r="B188" s="16" t="str">
        <x:v>2000014883-W113</x:v>
      </x:c>
      <x:c r="C188" s="16" t="str">
        <x:v>КРУГ СТ3 D180ММ ГОСТ2590-2006</x:v>
      </x:c>
      <x:c r="D188" s="16" t="str">
        <x:v>М/прокат черный</x:v>
      </x:c>
      <x:c r="E188" s="16" t="str">
        <x:v>Т</x:v>
      </x:c>
      <x:c r="F188" s="30" t="n">
        <x:v>0.202</x:v>
      </x:c>
      <x:c r="G188" s="17" t="n">
        <x:v>127082.5078</x:v>
      </x:c>
      <x:c r="H188" s="17" t="n">
        <x:f>G188*F188</x:f>
        <x:v>25670.666575600004</x:v>
      </x:c>
      <x:c r="I188" s="26" t="str">
        <x:f>HYPERLINK("https://etp-aktiv.ru/catalog/materialy/metalloprodukciya/2000014883-W113/","Открыть позицию")</x:f>
        <x:v>Открыть позицию</x:v>
      </x:c>
    </x:row>
    <x:row r="189" ht="28" customHeight="1">
      <x:c r="A189" s="16" t="str">
        <x:v>Бийскэнерго</x:v>
      </x:c>
      <x:c r="B189" s="16" t="str">
        <x:v>2000014886-W113</x:v>
      </x:c>
      <x:c r="C189" s="16" t="str">
        <x:v>КРУГ СТ3 D220ММ ГОСТ2590-2006</x:v>
      </x:c>
      <x:c r="D189" s="16" t="str">
        <x:v>М/прокат черный</x:v>
      </x:c>
      <x:c r="E189" s="16" t="str">
        <x:v>Т</x:v>
      </x:c>
      <x:c r="F189" s="30" t="n">
        <x:v>0.122</x:v>
      </x:c>
      <x:c r="G189" s="17" t="n">
        <x:v>105225</x:v>
      </x:c>
      <x:c r="H189" s="17" t="n">
        <x:f>G189*F189</x:f>
        <x:v>12837.449999999999</x:v>
      </x:c>
      <x:c r="I189" s="26" t="str">
        <x:f>HYPERLINK("https://etp-aktiv.ru/catalog/materialy/metalloprodukciya/2000014886-W113/","Открыть позицию")</x:f>
        <x:v>Открыть позицию</x:v>
      </x:c>
    </x:row>
    <x:row r="190" ht="28" customHeight="1">
      <x:c r="A190" s="16" t="str">
        <x:v>Бийскэнерго</x:v>
      </x:c>
      <x:c r="B190" s="16" t="str">
        <x:v>2000015138-W113</x:v>
      </x:c>
      <x:c r="C190" s="16" t="str">
        <x:v>КРУГ СТ3 D30ММ ГОСТ2590-2006</x:v>
      </x:c>
      <x:c r="D190" s="16" t="str">
        <x:v>М/прокат черный</x:v>
      </x:c>
      <x:c r="E190" s="16" t="str">
        <x:v>Т</x:v>
      </x:c>
      <x:c r="F190" s="30" t="n">
        <x:v>0.024</x:v>
      </x:c>
      <x:c r="G190" s="17" t="n">
        <x:v>107726</x:v>
      </x:c>
      <x:c r="H190" s="17" t="n">
        <x:f>G190*F190</x:f>
        <x:v>2585.424</x:v>
      </x:c>
      <x:c r="I190" s="26" t="str">
        <x:f>HYPERLINK("https://etp-aktiv.ru/catalog/materialy/metalloprodukciya/2000015138-W113/","Открыть позицию")</x:f>
        <x:v>Открыть позицию</x:v>
      </x:c>
    </x:row>
    <x:row r="191" ht="28" customHeight="1">
      <x:c r="A191" s="16" t="str">
        <x:v>Бийскэнерго</x:v>
      </x:c>
      <x:c r="B191" s="16" t="str">
        <x:v>2000693476-W113</x:v>
      </x:c>
      <x:c r="C191" s="16" t="str">
        <x:v>КРУГ СТ3 D320ММ ГОСТ2590-2006</x:v>
      </x:c>
      <x:c r="D191" s="16" t="str">
        <x:v>М/прокат черный</x:v>
      </x:c>
      <x:c r="E191" s="16" t="str">
        <x:v>Т</x:v>
      </x:c>
      <x:c r="F191" s="30" t="n">
        <x:v>0.254</x:v>
      </x:c>
      <x:c r="G191" s="17" t="n">
        <x:v>180712.5</x:v>
      </x:c>
      <x:c r="H191" s="17" t="n">
        <x:f>G191*F191</x:f>
        <x:v>45900.975</x:v>
      </x:c>
      <x:c r="I191" s="26" t="str">
        <x:f>HYPERLINK("https://etp-aktiv.ru/catalog/materialy/metalloprodukciya/2000693476-W113/","Открыть позицию")</x:f>
        <x:v>Открыть позицию</x:v>
      </x:c>
    </x:row>
    <x:row r="192" ht="28" customHeight="1">
      <x:c r="A192" s="16" t="str">
        <x:v>Бийскэнерго</x:v>
      </x:c>
      <x:c r="B192" s="16" t="str">
        <x:v>2000014890-W113</x:v>
      </x:c>
      <x:c r="C192" s="16" t="str">
        <x:v>КРУГ СТ3 D40ММ ГОСТ2590-2006</x:v>
      </x:c>
      <x:c r="D192" s="16" t="str">
        <x:v>М/прокат черный</x:v>
      </x:c>
      <x:c r="E192" s="16" t="str">
        <x:v>Т</x:v>
      </x:c>
      <x:c r="F192" s="30" t="n">
        <x:v>0.002</x:v>
      </x:c>
      <x:c r="G192" s="17" t="n">
        <x:v>51177.1822</x:v>
      </x:c>
      <x:c r="H192" s="17" t="n">
        <x:f>G192*F192</x:f>
        <x:v>102.35436440000001</x:v>
      </x:c>
      <x:c r="I192" s="26" t="str">
        <x:f>HYPERLINK("https://etp-aktiv.ru/catalog/materialy/metalloprodukciya/2000014890-W113/","Открыть позицию")</x:f>
        <x:v>Открыть позицию</x:v>
      </x:c>
    </x:row>
    <x:row r="193" ht="28" customHeight="1">
      <x:c r="A193" s="16" t="str">
        <x:v>Бийскэнерго</x:v>
      </x:c>
      <x:c r="B193" s="16" t="str">
        <x:v>2000478773-W113</x:v>
      </x:c>
      <x:c r="C193" s="16" t="str">
        <x:v>КРУГ СТ30 D24ММ ГОСТ2590-88</x:v>
      </x:c>
      <x:c r="D193" s="16" t="str">
        <x:v>М/прокат черный</x:v>
      </x:c>
      <x:c r="E193" s="16" t="str">
        <x:v>Т</x:v>
      </x:c>
      <x:c r="F193" s="30" t="n">
        <x:v>0.107</x:v>
      </x:c>
      <x:c r="G193" s="17" t="n">
        <x:v>286852.5</x:v>
      </x:c>
      <x:c r="H193" s="17" t="n">
        <x:f>G193*F193</x:f>
        <x:v>30693.2175</x:v>
      </x:c>
      <x:c r="I193" s="26" t="str">
        <x:f>HYPERLINK("https://etp-aktiv.ru/catalog/materialy/metalloprodukciya/2000478773-W113/","Открыть позицию")</x:f>
        <x:v>Открыть позицию</x:v>
      </x:c>
    </x:row>
    <x:row r="194" ht="28" customHeight="1">
      <x:c r="A194" s="16" t="str">
        <x:v>Бийскэнерго</x:v>
      </x:c>
      <x:c r="B194" s="16" t="str">
        <x:v>2000472395-W113</x:v>
      </x:c>
      <x:c r="C194" s="16" t="str">
        <x:v>КРУГ СТ40Х D130ММ ГОСТ1050-88</x:v>
      </x:c>
      <x:c r="D194" s="16" t="str">
        <x:v>М/прокат черный</x:v>
      </x:c>
      <x:c r="E194" s="16" t="str">
        <x:v>Т</x:v>
      </x:c>
      <x:c r="F194" s="24" t="n">
        <x:v>1.155</x:v>
      </x:c>
      <x:c r="G194" s="17" t="n">
        <x:v>53495.2676</x:v>
      </x:c>
      <x:c r="H194" s="17" t="n">
        <x:f>G194*F194</x:f>
        <x:v>61787.034078</x:v>
      </x:c>
      <x:c r="I194" s="26" t="str">
        <x:f>HYPERLINK("https://etp-aktiv.ru/catalog/materialy/metalloprodukciya/2000472395-W113/","Открыть позицию")</x:f>
        <x:v>Открыть позицию</x:v>
      </x:c>
    </x:row>
    <x:row r="195" ht="28" customHeight="1">
      <x:c r="A195" s="16" t="str">
        <x:v>Бийскэнерго</x:v>
      </x:c>
      <x:c r="B195" s="16" t="str">
        <x:v>2000015061-W113</x:v>
      </x:c>
      <x:c r="C195" s="16" t="str">
        <x:v>КРУГ СТ40Х D80ММ ГОСТ4543-71</x:v>
      </x:c>
      <x:c r="D195" s="16" t="str">
        <x:v>М/прокат черный</x:v>
      </x:c>
      <x:c r="E195" s="16" t="str">
        <x:v>Т</x:v>
      </x:c>
      <x:c r="F195" s="30" t="n">
        <x:v>0.708</x:v>
      </x:c>
      <x:c r="G195" s="17" t="n">
        <x:v>74725</x:v>
      </x:c>
      <x:c r="H195" s="17" t="n">
        <x:f>G195*F195</x:f>
        <x:v>52905.299999999996</x:v>
      </x:c>
      <x:c r="I195" s="26" t="str">
        <x:f>HYPERLINK("https://etp-aktiv.ru/catalog/materialy/metalloprodukciya/2000015061-W113/","Открыть позицию")</x:f>
        <x:v>Открыть позицию</x:v>
      </x:c>
    </x:row>
    <x:row r="196" ht="28" customHeight="1">
      <x:c r="A196" s="16" t="str">
        <x:v>Бийскэнерго</x:v>
      </x:c>
      <x:c r="B196" s="16" t="str">
        <x:v>2000724222-W113</x:v>
      </x:c>
      <x:c r="C196" s="16" t="str">
        <x:v>КРУГ СТ45 D140ММ ГОСТ2590-88</x:v>
      </x:c>
      <x:c r="D196" s="16" t="str">
        <x:v>М/прокат черный</x:v>
      </x:c>
      <x:c r="E196" s="16" t="str">
        <x:v>Т</x:v>
      </x:c>
      <x:c r="F196" s="30" t="n">
        <x:v>0.705</x:v>
      </x:c>
      <x:c r="G196" s="17" t="n">
        <x:v>66795</x:v>
      </x:c>
      <x:c r="H196" s="17" t="n">
        <x:f>G196*F196</x:f>
        <x:v>47090.475</x:v>
      </x:c>
      <x:c r="I196" s="26" t="str">
        <x:f>HYPERLINK("https://etp-aktiv.ru/catalog/materialy/metalloprodukciya/2000724222-W113/","Открыть позицию")</x:f>
        <x:v>Открыть позицию</x:v>
      </x:c>
    </x:row>
    <x:row r="197" ht="28" customHeight="1">
      <x:c r="A197" s="16" t="str">
        <x:v>Бийскэнерго</x:v>
      </x:c>
      <x:c r="B197" s="16" t="str">
        <x:v>2000067761-W113</x:v>
      </x:c>
      <x:c r="C197" s="16" t="str">
        <x:v>КРУГ СТ45 D280ММ ГОСТ1050-88</x:v>
      </x:c>
      <x:c r="D197" s="16" t="str">
        <x:v>М/прокат черный</x:v>
      </x:c>
      <x:c r="E197" s="16" t="str">
        <x:v>Т</x:v>
      </x:c>
      <x:c r="F197" s="30" t="n">
        <x:v>0.454</x:v>
      </x:c>
      <x:c r="G197" s="17" t="n">
        <x:v>86896.9644</x:v>
      </x:c>
      <x:c r="H197" s="17" t="n">
        <x:f>G197*F197</x:f>
        <x:v>39451.2218376</x:v>
      </x:c>
      <x:c r="I197" s="26" t="str">
        <x:f>HYPERLINK("https://etp-aktiv.ru/catalog/materialy/metalloprodukciya/2000067761-W113/","Открыть позицию")</x:f>
        <x:v>Открыть позицию</x:v>
      </x:c>
    </x:row>
    <x:row r="198" ht="28" customHeight="1">
      <x:c r="A198" s="16" t="str">
        <x:v>Бийскэнерго</x:v>
      </x:c>
      <x:c r="B198" s="16" t="str">
        <x:v>2000555505-W113</x:v>
      </x:c>
      <x:c r="C198" s="16" t="str">
        <x:v>ЛЕНТА 12Х18Н10Т 0,05*400 ГОСТ4986-79</x:v>
      </x:c>
      <x:c r="D198" s="16" t="str">
        <x:v>М/прокат нерж сталь</x:v>
      </x:c>
      <x:c r="E198" s="16" t="str">
        <x:v>КГ</x:v>
      </x:c>
      <x:c r="F198" s="24" t="n">
        <x:v>8.9</x:v>
      </x:c>
      <x:c r="G198" s="17" t="n">
        <x:v>4117.5</x:v>
      </x:c>
      <x:c r="H198" s="17" t="n">
        <x:f>G198*F198</x:f>
        <x:v>36645.75</x:v>
      </x:c>
      <x:c r="I198" s="26" t="str">
        <x:f>HYPERLINK("https://etp-aktiv.ru/catalog/materialy/metalloprodukciya/2000555505-W113/","Открыть позицию")</x:f>
        <x:v>Открыть позицию</x:v>
      </x:c>
    </x:row>
    <x:row r="199" ht="28" customHeight="1">
      <x:c r="A199" s="16" t="str">
        <x:v>Бийскэнерго</x:v>
      </x:c>
      <x:c r="B199" s="16" t="str">
        <x:v>2000555519-W113</x:v>
      </x:c>
      <x:c r="C199" s="16" t="str">
        <x:v>ЛЕНТА 12Х18Н10Т 0,3*410 ГОСТ4986-79</x:v>
      </x:c>
      <x:c r="D199" s="16" t="str">
        <x:v>М/прокат нерж сталь</x:v>
      </x:c>
      <x:c r="E199" s="16" t="str">
        <x:v>КГ</x:v>
      </x:c>
      <x:c r="F199" s="30" t="n">
        <x:v>0.8</x:v>
      </x:c>
      <x:c r="G199" s="17" t="n">
        <x:v>2182.275</x:v>
      </x:c>
      <x:c r="H199" s="17" t="n">
        <x:f>G199*F199</x:f>
        <x:v>1745.8200000000002</x:v>
      </x:c>
      <x:c r="I199" s="26" t="str">
        <x:f>HYPERLINK("https://etp-aktiv.ru/catalog/materialy/metalloprodukciya/2000555519-W113/","Открыть позицию")</x:f>
        <x:v>Открыть позицию</x:v>
      </x:c>
    </x:row>
    <x:row r="200" ht="28" customHeight="1">
      <x:c r="A200" s="16" t="str">
        <x:v>Бийскэнерго</x:v>
      </x:c>
      <x:c r="B200" s="16" t="str">
        <x:v>2000555526-W113</x:v>
      </x:c>
      <x:c r="C200" s="16" t="str">
        <x:v>ЛЕНТА 12Х18Н10Т 0,5*420 ГОСТ4986-79</x:v>
      </x:c>
      <x:c r="D200" s="16" t="str">
        <x:v>М/прокат нерж сталь</x:v>
      </x:c>
      <x:c r="E200" s="16" t="str">
        <x:v>КГ</x:v>
      </x:c>
      <x:c r="F200" s="24" t="n">
        <x:v>4.1</x:v>
      </x:c>
      <x:c r="G200" s="17" t="n">
        <x:v>2182.275</x:v>
      </x:c>
      <x:c r="H200" s="17" t="n">
        <x:f>G200*F200</x:f>
        <x:v>8947.3275</x:v>
      </x:c>
      <x:c r="I200" s="26" t="str">
        <x:f>HYPERLINK("https://etp-aktiv.ru/catalog/materialy/metalloprodukciya/2000555526-W113/","Открыть позицию")</x:f>
        <x:v>Открыть позицию</x:v>
      </x:c>
    </x:row>
    <x:row r="201" ht="28" customHeight="1">
      <x:c r="A201" s="16" t="str">
        <x:v>Бийскэнерго</x:v>
      </x:c>
      <x:c r="B201" s="16" t="str">
        <x:v>2000164310-W113</x:v>
      </x:c>
      <x:c r="C201" s="16" t="str">
        <x:v>ЛИСТ 08Х18Н10Т 8ММ ГОСТ7350-77</x:v>
      </x:c>
      <x:c r="D201" s="16" t="str">
        <x:v>М/прокат нерж сталь</x:v>
      </x:c>
      <x:c r="E201" s="16" t="str">
        <x:v>Т</x:v>
      </x:c>
      <x:c r="F201" s="30" t="n">
        <x:v>0.07</x:v>
      </x:c>
      <x:c r="G201" s="17" t="n">
        <x:v>330620</x:v>
      </x:c>
      <x:c r="H201" s="17" t="n">
        <x:f>G201*F201</x:f>
        <x:v>23143.4</x:v>
      </x:c>
      <x:c r="I201" s="26" t="str">
        <x:f>HYPERLINK("https://etp-aktiv.ru/catalog/materialy/metalloprodukciya/2000164310-W113/","Открыть позицию")</x:f>
        <x:v>Открыть позицию</x:v>
      </x:c>
    </x:row>
    <x:row r="202" ht="28" customHeight="1">
      <x:c r="A202" s="16" t="str">
        <x:v>Бийскэнерго</x:v>
      </x:c>
      <x:c r="B202" s="16" t="str">
        <x:v>2000221500-W113</x:v>
      </x:c>
      <x:c r="C202" s="16" t="str">
        <x:v>ЛИСТ 12Х1МФ 4ММ ГОСТ5520-79</x:v>
      </x:c>
      <x:c r="D202" s="16" t="str">
        <x:v>М/прокат нерж сталь</x:v>
      </x:c>
      <x:c r="E202" s="16" t="str">
        <x:v>Т</x:v>
      </x:c>
      <x:c r="F202" s="30" t="n">
        <x:v>0.083</x:v>
      </x:c>
      <x:c r="G202" s="17" t="n">
        <x:v>234240</x:v>
      </x:c>
      <x:c r="H202" s="17" t="n">
        <x:f>G202*F202</x:f>
        <x:v>19441.920000000002</x:v>
      </x:c>
      <x:c r="I202" s="26" t="str">
        <x:f>HYPERLINK("https://etp-aktiv.ru/catalog/materialy/metalloprodukciya/2000221500-W113/","Открыть позицию")</x:f>
        <x:v>Открыть позицию</x:v>
      </x:c>
    </x:row>
    <x:row r="203" ht="28" customHeight="1">
      <x:c r="A203" s="16" t="str">
        <x:v>Бийскэнерго</x:v>
      </x:c>
      <x:c r="B203" s="16" t="str">
        <x:v>2000185579-W113</x:v>
      </x:c>
      <x:c r="C203" s="16" t="str">
        <x:v>ЛИСТ 12Х1МФ 5ММ ГОСТ5520-79</x:v>
      </x:c>
      <x:c r="D203" s="16" t="str">
        <x:v>М/прокат нерж сталь</x:v>
      </x:c>
      <x:c r="E203" s="16" t="str">
        <x:v>Т</x:v>
      </x:c>
      <x:c r="F203" s="30" t="n">
        <x:v>0.096</x:v>
      </x:c>
      <x:c r="G203" s="17" t="n">
        <x:v>231467.07419999997</x:v>
      </x:c>
      <x:c r="H203" s="17" t="n">
        <x:f>G203*F203</x:f>
        <x:v>22220.8391232</x:v>
      </x:c>
      <x:c r="I203" s="26" t="str">
        <x:f>HYPERLINK("https://etp-aktiv.ru/catalog/materialy/metalloprodukciya/2000185579-W113/","Открыть позицию")</x:f>
        <x:v>Открыть позицию</x:v>
      </x:c>
    </x:row>
    <x:row r="204" ht="28" customHeight="1">
      <x:c r="A204" s="16" t="str">
        <x:v>Бийскэнерго</x:v>
      </x:c>
      <x:c r="B204" s="16" t="str">
        <x:v>2000015944-W113</x:v>
      </x:c>
      <x:c r="C204" s="16" t="str">
        <x:v>ЛИСТ Г/К 09Г2С 30ММ ГОСТ19903-74</x:v>
      </x:c>
      <x:c r="D204" s="16" t="str">
        <x:v>М/прокат черный</x:v>
      </x:c>
      <x:c r="E204" s="16" t="str">
        <x:v>Т</x:v>
      </x:c>
      <x:c r="F204" s="30" t="n">
        <x:v>0.145</x:v>
      </x:c>
      <x:c r="G204" s="17" t="n">
        <x:v>91500</x:v>
      </x:c>
      <x:c r="H204" s="17" t="n">
        <x:f>G204*F204</x:f>
        <x:v>13267.499999999998</x:v>
      </x:c>
      <x:c r="I204" s="26" t="str">
        <x:f>HYPERLINK("https://etp-aktiv.ru/catalog/materialy/metalloprodukciya/2000015944-W113/","Открыть позицию")</x:f>
        <x:v>Открыть позицию</x:v>
      </x:c>
    </x:row>
    <x:row r="205" ht="28" customHeight="1">
      <x:c r="A205" s="16" t="str">
        <x:v>Бийскэнерго</x:v>
      </x:c>
      <x:c r="B205" s="16" t="str">
        <x:v>2000015945-W113</x:v>
      </x:c>
      <x:c r="C205" s="16" t="str">
        <x:v>ЛИСТ Г/К 09Г2С 40ММ ГОСТ19903-74</x:v>
      </x:c>
      <x:c r="D205" s="16" t="str">
        <x:v>М/прокат черный</x:v>
      </x:c>
      <x:c r="E205" s="16" t="str">
        <x:v>Т</x:v>
      </x:c>
      <x:c r="F205" s="24" t="n">
        <x:v>2.734</x:v>
      </x:c>
      <x:c r="G205" s="17" t="n">
        <x:v>78758.625</x:v>
      </x:c>
      <x:c r="H205" s="17" t="n">
        <x:f>G205*F205</x:f>
        <x:v>215326.08075</x:v>
      </x:c>
      <x:c r="I205" s="26" t="str">
        <x:f>HYPERLINK("https://etp-aktiv.ru/catalog/materialy/metalloprodukciya/2000015945-W113/","Открыть позицию")</x:f>
        <x:v>Открыть позицию</x:v>
      </x:c>
    </x:row>
    <x:row r="206" ht="28" customHeight="1">
      <x:c r="A206" s="16" t="str">
        <x:v>Бийскэнерго</x:v>
      </x:c>
      <x:c r="B206" s="16" t="str">
        <x:v>2000137933-W113</x:v>
      </x:c>
      <x:c r="C206" s="16" t="str">
        <x:v>ЛИСТ Г/К СТ20 30ММ ГОСТ1577-93</x:v>
      </x:c>
      <x:c r="D206" s="16" t="str">
        <x:v>М/прокат черный</x:v>
      </x:c>
      <x:c r="E206" s="16" t="str">
        <x:v>Т</x:v>
      </x:c>
      <x:c r="F206" s="24" t="n">
        <x:v>1.642</x:v>
      </x:c>
      <x:c r="G206" s="17" t="n">
        <x:v>96456.2622</x:v>
      </x:c>
      <x:c r="H206" s="17" t="n">
        <x:f>G206*F206</x:f>
        <x:v>158381.18253239998</x:v>
      </x:c>
      <x:c r="I206" s="26" t="str">
        <x:f>HYPERLINK("https://etp-aktiv.ru/catalog/materialy/metalloprodukciya/2000137933-W113/","Открыть позицию")</x:f>
        <x:v>Открыть позицию</x:v>
      </x:c>
    </x:row>
    <x:row r="207" ht="28" customHeight="1">
      <x:c r="A207" s="16" t="str">
        <x:v>Бийскэнерго</x:v>
      </x:c>
      <x:c r="B207" s="16" t="str">
        <x:v>2000148557-W113</x:v>
      </x:c>
      <x:c r="C207" s="16" t="str">
        <x:v>ЛИСТ Г/К СТ20 4ММ ГОСТ19903-74</x:v>
      </x:c>
      <x:c r="D207" s="16" t="str">
        <x:v>М/прокат черный</x:v>
      </x:c>
      <x:c r="E207" s="16" t="str">
        <x:v>Т</x:v>
      </x:c>
      <x:c r="F207" s="30" t="n">
        <x:v>0.227</x:v>
      </x:c>
      <x:c r="G207" s="17" t="n">
        <x:v>113231.25</x:v>
      </x:c>
      <x:c r="H207" s="17" t="n">
        <x:f>G207*F207</x:f>
        <x:v>25703.49375</x:v>
      </x:c>
      <x:c r="I207" s="26" t="str">
        <x:f>HYPERLINK("https://etp-aktiv.ru/catalog/materialy/metalloprodukciya/2000148557-W113/","Открыть позицию")</x:f>
        <x:v>Открыть позицию</x:v>
      </x:c>
    </x:row>
    <x:row r="208" ht="28" customHeight="1">
      <x:c r="A208" s="16" t="str">
        <x:v>Бийскэнерго</x:v>
      </x:c>
      <x:c r="B208" s="16" t="str">
        <x:v>2000015830-W113</x:v>
      </x:c>
      <x:c r="C208" s="16" t="str">
        <x:v>ЛИСТ Г/К СТ20 5ММ ГОСТ1577-93</x:v>
      </x:c>
      <x:c r="D208" s="16" t="str">
        <x:v>М/прокат черный</x:v>
      </x:c>
      <x:c r="E208" s="16" t="str">
        <x:v>Т</x:v>
      </x:c>
      <x:c r="F208" s="30" t="n">
        <x:v>0.075</x:v>
      </x:c>
      <x:c r="G208" s="17" t="n">
        <x:v>47174.0084</x:v>
      </x:c>
      <x:c r="H208" s="17" t="n">
        <x:f>G208*F208</x:f>
        <x:v>3538.0506299999997</x:v>
      </x:c>
      <x:c r="I208" s="26" t="str">
        <x:f>HYPERLINK("https://etp-aktiv.ru/catalog/materialy/metalloprodukciya/2000015830-W113/","Открыть позицию")</x:f>
        <x:v>Открыть позицию</x:v>
      </x:c>
    </x:row>
    <x:row r="209" ht="28" customHeight="1">
      <x:c r="A209" s="16" t="str">
        <x:v>Бийскэнерго</x:v>
      </x:c>
      <x:c r="B209" s="16" t="str">
        <x:v>2000015406-W113</x:v>
      </x:c>
      <x:c r="C209" s="16" t="str">
        <x:v>ЛИСТ Г/К СТ3 25ММ ГОСТ14637-89</x:v>
      </x:c>
      <x:c r="D209" s="16" t="str">
        <x:v>М/прокат черный</x:v>
      </x:c>
      <x:c r="E209" s="16" t="str">
        <x:v>Т</x:v>
      </x:c>
      <x:c r="F209" s="30" t="n">
        <x:v>0.16</x:v>
      </x:c>
      <x:c r="G209" s="17" t="n">
        <x:v>60222.9576</x:v>
      </x:c>
      <x:c r="H209" s="17" t="n">
        <x:f>G209*F209</x:f>
        <x:v>9635.673216000001</x:v>
      </x:c>
      <x:c r="I209" s="26" t="str">
        <x:f>HYPERLINK("https://etp-aktiv.ru/catalog/materialy/metalloprodukciya/2000015406-W113/","Открыть позицию")</x:f>
        <x:v>Открыть позицию</x:v>
      </x:c>
    </x:row>
    <x:row r="210" ht="28" customHeight="1">
      <x:c r="A210" s="16" t="str">
        <x:v>Бийскэнерго</x:v>
      </x:c>
      <x:c r="B210" s="16" t="str">
        <x:v>2000164735-W113</x:v>
      </x:c>
      <x:c r="C210" s="16" t="str">
        <x:v>ЛИСТ Г/К СТ3 30ММ ГОСТ19903-74</x:v>
      </x:c>
      <x:c r="D210" s="16" t="str">
        <x:v>М/прокат черный</x:v>
      </x:c>
      <x:c r="E210" s="16" t="str">
        <x:v>Т</x:v>
      </x:c>
      <x:c r="F210" s="30" t="n">
        <x:v>0.761</x:v>
      </x:c>
      <x:c r="G210" s="17" t="n">
        <x:v>70455</x:v>
      </x:c>
      <x:c r="H210" s="17" t="n">
        <x:f>G210*F210</x:f>
        <x:v>53616.255</x:v>
      </x:c>
      <x:c r="I210" s="26" t="str">
        <x:f>HYPERLINK("https://etp-aktiv.ru/catalog/materialy/metalloprodukciya/2000164735-W113/","Открыть позицию")</x:f>
        <x:v>Открыть позицию</x:v>
      </x:c>
    </x:row>
    <x:row r="211" ht="28" customHeight="1">
      <x:c r="A211" s="16" t="str">
        <x:v>Бийскэнерго</x:v>
      </x:c>
      <x:c r="B211" s="16" t="str">
        <x:v>2000206917-W113</x:v>
      </x:c>
      <x:c r="C211" s="16" t="str">
        <x:v>ЛИСТ Г/К СТ3ПС 4 РИФЛЕНЫЙ ГОСТ19903-74</x:v>
      </x:c>
      <x:c r="D211" s="16" t="str">
        <x:v>М/прокат черный</x:v>
      </x:c>
      <x:c r="E211" s="16" t="str">
        <x:v>КГ</x:v>
      </x:c>
      <x:c r="F211" s="25" t="n">
        <x:v>290</x:v>
      </x:c>
      <x:c r="G211" s="17" t="n">
        <x:v>51.337599999999995</x:v>
      </x:c>
      <x:c r="H211" s="17" t="n">
        <x:f>G211*F211</x:f>
        <x:v>14887.903999999999</x:v>
      </x:c>
      <x:c r="I211" s="26" t="str">
        <x:f>HYPERLINK("https://etp-aktiv.ru/catalog/materialy/metalloprodukciya/2000206917-W113/","Открыть позицию")</x:f>
        <x:v>Открыть позицию</x:v>
      </x:c>
    </x:row>
    <x:row r="212" ht="28" customHeight="1">
      <x:c r="A212" s="16" t="str">
        <x:v>Бийскэнерго</x:v>
      </x:c>
      <x:c r="B212" s="16" t="str">
        <x:v>2000159762-W113</x:v>
      </x:c>
      <x:c r="C212" s="16" t="str">
        <x:v>ЛИСТ Г/К СТ3СП5 6*1500*6000 ГОСТ14637-89</x:v>
      </x:c>
      <x:c r="D212" s="16" t="str">
        <x:v>М/прокат черный</x:v>
      </x:c>
      <x:c r="E212" s="16" t="str">
        <x:v>Т</x:v>
      </x:c>
      <x:c r="F212" s="30" t="n">
        <x:v>0.11</x:v>
      </x:c>
      <x:c r="G212" s="17" t="n">
        <x:v>44606.25</x:v>
      </x:c>
      <x:c r="H212" s="17" t="n">
        <x:f>G212*F212</x:f>
        <x:v>4906.6875</x:v>
      </x:c>
      <x:c r="I212" s="26" t="str">
        <x:f>HYPERLINK("https://etp-aktiv.ru/catalog/materialy/metalloprodukciya/2000159762-W113/","Открыть позицию")</x:f>
        <x:v>Открыть позицию</x:v>
      </x:c>
    </x:row>
    <x:row r="213" ht="28" customHeight="1">
      <x:c r="A213" s="16" t="str">
        <x:v>Бийскэнерго</x:v>
      </x:c>
      <x:c r="B213" s="16" t="str">
        <x:v>2000566323-W113</x:v>
      </x:c>
      <x:c r="C213" s="16" t="str">
        <x:v>ЛИСТ ЛАТУН Х/К ДПРНП 4,0*600*1500ЛС59-1</x:v>
      </x:c>
      <x:c r="D213" s="16" t="str">
        <x:v>М/прокат цветной</x:v>
      </x:c>
      <x:c r="E213" s="16" t="str">
        <x:v>КГ</x:v>
      </x:c>
      <x:c r="F213" s="25" t="n">
        <x:v>110</x:v>
      </x:c>
      <x:c r="G213" s="17" t="n">
        <x:v>549</x:v>
      </x:c>
      <x:c r="H213" s="17" t="n">
        <x:f>G213*F213</x:f>
        <x:v>60390</x:v>
      </x:c>
      <x:c r="I213" s="26" t="str">
        <x:f>HYPERLINK("https://etp-aktiv.ru/catalog/materialy/metalloprodukciya/2000566323-W113/","Открыть позицию")</x:f>
        <x:v>Открыть позицию</x:v>
      </x:c>
    </x:row>
    <x:row r="214" ht="28" customHeight="1">
      <x:c r="A214" s="16" t="str">
        <x:v>Бийскэнерго</x:v>
      </x:c>
      <x:c r="B214" s="16" t="str">
        <x:v>2000555951-W113</x:v>
      </x:c>
      <x:c r="C214" s="16" t="str">
        <x:v>ЛИСТ РОМБ СТ3 4*720*2000 ГОСТ8568-77</x:v>
      </x:c>
      <x:c r="D214" s="16" t="str">
        <x:v>М/прокат черный</x:v>
      </x:c>
      <x:c r="E214" s="16" t="str">
        <x:v>Т</x:v>
      </x:c>
      <x:c r="F214" s="30" t="n">
        <x:v>0.239</x:v>
      </x:c>
      <x:c r="G214" s="17" t="n">
        <x:v>54900</x:v>
      </x:c>
      <x:c r="H214" s="17" t="n">
        <x:f>G214*F214</x:f>
        <x:v>13121.1</x:v>
      </x:c>
      <x:c r="I214" s="26" t="str">
        <x:f>HYPERLINK("https://etp-aktiv.ru/catalog/materialy/metalloprodukciya/2000555951-W113/","Открыть позицию")</x:f>
        <x:v>Открыть позицию</x:v>
      </x:c>
    </x:row>
    <x:row r="215" ht="28" customHeight="1">
      <x:c r="A215" s="16" t="str">
        <x:v>Бийскэнерго</x:v>
      </x:c>
      <x:c r="B215" s="16" t="str">
        <x:v>2000555995-W113</x:v>
      </x:c>
      <x:c r="C215" s="16" t="str">
        <x:v>ЛИСТ СТ08 ОЦ 0,55*1250*2500 ГОСТ14918</x:v>
      </x:c>
      <x:c r="D215" s="16" t="str">
        <x:v>М/прокат черный</x:v>
      </x:c>
      <x:c r="E215" s="16" t="str">
        <x:v>Т</x:v>
      </x:c>
      <x:c r="F215" s="30" t="n">
        <x:v>0.393</x:v>
      </x:c>
      <x:c r="G215" s="17" t="n">
        <x:v>55897.1914</x:v>
      </x:c>
      <x:c r="H215" s="17" t="n">
        <x:f>G215*F215</x:f>
        <x:v>21967.5962202</x:v>
      </x:c>
      <x:c r="I215" s="26" t="str">
        <x:f>HYPERLINK("https://etp-aktiv.ru/catalog/materialy/metalloprodukciya/2000555995-W113/","Открыть позицию")</x:f>
        <x:v>Открыть позицию</x:v>
      </x:c>
    </x:row>
    <x:row r="216" ht="28" customHeight="1">
      <x:c r="A216" s="16" t="str">
        <x:v>Бийскэнерго</x:v>
      </x:c>
      <x:c r="B216" s="16" t="str">
        <x:v>2000067704-W113</x:v>
      </x:c>
      <x:c r="C216" s="16" t="str">
        <x:v>ЛИСТ СТ20 25ММ ГОСТ1577-93</x:v>
      </x:c>
      <x:c r="D216" s="16" t="str">
        <x:v>М/прокат черный</x:v>
      </x:c>
      <x:c r="E216" s="16" t="str">
        <x:v>Т</x:v>
      </x:c>
      <x:c r="F216" s="24" t="n">
        <x:v>1.764</x:v>
      </x:c>
      <x:c r="G216" s="17" t="n">
        <x:v>130296</x:v>
      </x:c>
      <x:c r="H216" s="17" t="n">
        <x:f>G216*F216</x:f>
        <x:v>229842.144</x:v>
      </x:c>
      <x:c r="I216" s="26" t="str">
        <x:f>HYPERLINK("https://etp-aktiv.ru/catalog/materialy/metalloprodukciya/2000067704-W113/","Открыть позицию")</x:f>
        <x:v>Открыть позицию</x:v>
      </x:c>
    </x:row>
    <x:row r="217" ht="28" customHeight="1">
      <x:c r="A217" s="16" t="str">
        <x:v>Бийскэнерго</x:v>
      </x:c>
      <x:c r="B217" s="16" t="str">
        <x:v>2000871007-W113</x:v>
      </x:c>
      <x:c r="C217" s="16" t="str">
        <x:v>ЛИСТ СТ20 30ММ ГОСТ19903-2015</x:v>
      </x:c>
      <x:c r="D217" s="16" t="str">
        <x:v>М/прокат черный</x:v>
      </x:c>
      <x:c r="E217" s="16" t="str">
        <x:v>Т</x:v>
      </x:c>
      <x:c r="F217" s="24" t="n">
        <x:v>1.742</x:v>
      </x:c>
      <x:c r="G217" s="17" t="n">
        <x:v>132370</x:v>
      </x:c>
      <x:c r="H217" s="17" t="n">
        <x:f>G217*F217</x:f>
        <x:v>230588.54</x:v>
      </x:c>
      <x:c r="I217" s="26" t="str">
        <x:f>HYPERLINK("https://etp-aktiv.ru/catalog/materialy/metalloprodukciya/2000871007-W113/","Открыть позицию")</x:f>
        <x:v>Открыть позицию</x:v>
      </x:c>
    </x:row>
    <x:row r="218" ht="28" customHeight="1">
      <x:c r="A218" s="16" t="str">
        <x:v>Бийскэнерго</x:v>
      </x:c>
      <x:c r="B218" s="16" t="str">
        <x:v>2000765909-W113</x:v>
      </x:c>
      <x:c r="C218" s="16" t="str">
        <x:v>ЛИСТ СТ3 16ММ ГОСТ19903-74</x:v>
      </x:c>
      <x:c r="D218" s="16" t="str">
        <x:v>М/прокат черный</x:v>
      </x:c>
      <x:c r="E218" s="16" t="str">
        <x:v>Т</x:v>
      </x:c>
      <x:c r="F218" s="30" t="n">
        <x:v>0.03</x:v>
      </x:c>
      <x:c r="G218" s="17" t="n">
        <x:v>61754.875</x:v>
      </x:c>
      <x:c r="H218" s="17" t="n">
        <x:f>G218*F218</x:f>
        <x:v>1852.64625</x:v>
      </x:c>
      <x:c r="I218" s="26" t="str">
        <x:f>HYPERLINK("https://etp-aktiv.ru/catalog/materialy/metalloprodukciya/2000765909-W113/","Открыть позицию")</x:f>
        <x:v>Открыть позицию</x:v>
      </x:c>
    </x:row>
    <x:row r="219" ht="28" customHeight="1">
      <x:c r="A219" s="16" t="str">
        <x:v>Бийскэнерго</x:v>
      </x:c>
      <x:c r="B219" s="16" t="str">
        <x:v>2000185578-W113</x:v>
      </x:c>
      <x:c r="C219" s="16" t="str">
        <x:v>ЛИСТ СТ3 24ММ ГОСТ19903-74</x:v>
      </x:c>
      <x:c r="D219" s="16" t="str">
        <x:v>М/прокат черный</x:v>
      </x:c>
      <x:c r="E219" s="16" t="str">
        <x:v>Т</x:v>
      </x:c>
      <x:c r="F219" s="30" t="n">
        <x:v>0.148</x:v>
      </x:c>
      <x:c r="G219" s="17" t="n">
        <x:v>73141.4522</x:v>
      </x:c>
      <x:c r="H219" s="17" t="n">
        <x:f>G219*F219</x:f>
        <x:v>10824.934925599999</x:v>
      </x:c>
      <x:c r="I219" s="26" t="str">
        <x:f>HYPERLINK("https://etp-aktiv.ru/catalog/materialy/metalloprodukciya/2000185578-W113/","Открыть позицию")</x:f>
        <x:v>Открыть позицию</x:v>
      </x:c>
    </x:row>
    <x:row r="220" ht="28" customHeight="1">
      <x:c r="A220" s="16" t="str">
        <x:v>Бийскэнерго</x:v>
      </x:c>
      <x:c r="B220" s="16" t="str">
        <x:v>2000695815-W113</x:v>
      </x:c>
      <x:c r="C220" s="16" t="str">
        <x:v>ЛИСТ СТ3 ОЦ 0,8ММ ГОСТ14918-80</x:v>
      </x:c>
      <x:c r="D220" s="16" t="str">
        <x:v>М/прокат черный</x:v>
      </x:c>
      <x:c r="E220" s="16" t="str">
        <x:v>Т</x:v>
      </x:c>
      <x:c r="F220" s="30" t="n">
        <x:v>0.08</x:v>
      </x:c>
      <x:c r="G220" s="17" t="n">
        <x:v>81663.75</x:v>
      </x:c>
      <x:c r="H220" s="17" t="n">
        <x:f>G220*F220</x:f>
        <x:v>6533.1</x:v>
      </x:c>
      <x:c r="I220" s="26" t="str">
        <x:f>HYPERLINK("https://etp-aktiv.ru/catalog/materialy/metalloprodukciya/2000695815-W113/","Открыть позицию")</x:f>
        <x:v>Открыть позицию</x:v>
      </x:c>
    </x:row>
    <x:row r="221" ht="28" customHeight="1">
      <x:c r="A221" s="16" t="str">
        <x:v>Бийскэнерго</x:v>
      </x:c>
      <x:c r="B221" s="16" t="str">
        <x:v>2000641321-W113</x:v>
      </x:c>
      <x:c r="C221" s="16" t="str">
        <x:v>ЛИСТ СТ3СП Б-ПН-НО-5 Г19903/14637-89</x:v>
      </x:c>
      <x:c r="D221" s="16" t="str">
        <x:v>М/прокат черный</x:v>
      </x:c>
      <x:c r="E221" s="16" t="str">
        <x:v>Т</x:v>
      </x:c>
      <x:c r="F221" s="30" t="n">
        <x:v>0.12</x:v>
      </x:c>
      <x:c r="G221" s="17" t="n">
        <x:v>134505</x:v>
      </x:c>
      <x:c r="H221" s="17" t="n">
        <x:f>G221*F221</x:f>
        <x:v>16140.599999999999</x:v>
      </x:c>
      <x:c r="I221" s="26" t="str">
        <x:f>HYPERLINK("https://etp-aktiv.ru/catalog/materialy/metalloprodukciya/2000641321-W113/","Открыть позицию")</x:f>
        <x:v>Открыть позицию</x:v>
      </x:c>
    </x:row>
    <x:row r="222" ht="28" customHeight="1">
      <x:c r="A222" s="16" t="str">
        <x:v>Бийскэнерго</x:v>
      </x:c>
      <x:c r="B222" s="16" t="str">
        <x:v>2001052505-W113</x:v>
      </x:c>
      <x:c r="C222" s="16" t="str">
        <x:v>ЛИСТ СТ45 6000*1500*100 ГОСТ1577-2022</x:v>
      </x:c>
      <x:c r="D222" s="16" t="str">
        <x:v>М/прокат черный</x:v>
      </x:c>
      <x:c r="E222" s="16" t="str">
        <x:v>Т</x:v>
      </x:c>
      <x:c r="F222" s="30" t="n">
        <x:v>0.99</x:v>
      </x:c>
      <x:c r="G222" s="17" t="n">
        <x:v>155550</x:v>
      </x:c>
      <x:c r="H222" s="17" t="n">
        <x:f>G222*F222</x:f>
        <x:v>153994.5</x:v>
      </x:c>
      <x:c r="I222" s="26" t="str">
        <x:f>HYPERLINK("https://etp-aktiv.ru/catalog/materialy/metalloprodukciya/2001052505-W113/","Открыть позицию")</x:f>
        <x:v>Открыть позицию</x:v>
      </x:c>
    </x:row>
    <x:row r="223" ht="28" customHeight="1">
      <x:c r="A223" s="16" t="str">
        <x:v>Бийскэнерго</x:v>
      </x:c>
      <x:c r="B223" s="16" t="str">
        <x:v>2000210957-W113</x:v>
      </x:c>
      <x:c r="C223" s="16" t="str">
        <x:v>ЛИСТ Х/К 12Х18Н10Т 1,5ММ ГОСТ5582-75</x:v>
      </x:c>
      <x:c r="D223" s="16" t="str">
        <x:v>М/прокат нерж сталь</x:v>
      </x:c>
      <x:c r="E223" s="16" t="str">
        <x:v>Т</x:v>
      </x:c>
      <x:c r="F223" s="30" t="n">
        <x:v>0.069</x:v>
      </x:c>
      <x:c r="G223" s="17" t="n">
        <x:v>347700</x:v>
      </x:c>
      <x:c r="H223" s="17" t="n">
        <x:f>G223*F223</x:f>
        <x:v>23991.300000000003</x:v>
      </x:c>
      <x:c r="I223" s="26" t="str">
        <x:f>HYPERLINK("https://etp-aktiv.ru/catalog/materialy/metalloprodukciya/2000210957-W113/","Открыть позицию")</x:f>
        <x:v>Открыть позицию</x:v>
      </x:c>
    </x:row>
    <x:row r="224" ht="28" customHeight="1">
      <x:c r="A224" s="16" t="str">
        <x:v>Бийскэнерго</x:v>
      </x:c>
      <x:c r="B224" s="16" t="str">
        <x:v>2000169835-W113</x:v>
      </x:c>
      <x:c r="C224" s="16" t="str">
        <x:v>ОТЛИВКА СЧ15-32 500*500 ГОСТ1412-85</x:v>
      </x:c>
      <x:c r="D224" s="16" t="str">
        <x:v>Шихтовые материалы</x:v>
      </x:c>
      <x:c r="E224" s="16" t="str">
        <x:v>ШТ</x:v>
      </x:c>
      <x:c r="F224" s="25" t="n">
        <x:v>1</x:v>
      </x:c>
      <x:c r="G224" s="17" t="n">
        <x:v>88526.25</x:v>
      </x:c>
      <x:c r="H224" s="17" t="n">
        <x:f>G224*F224</x:f>
        <x:v>88526.25</x:v>
      </x:c>
      <x:c r="I224" s="26" t="str">
        <x:f>HYPERLINK("https://etp-aktiv.ru/catalog/materialy/metalloprodukciya/2000169835-W113/","Открыть позицию")</x:f>
        <x:v>Открыть позицию</x:v>
      </x:c>
    </x:row>
    <x:row r="225" ht="28" customHeight="1">
      <x:c r="A225" s="16" t="str">
        <x:v>Бийскэнерго</x:v>
      </x:c>
      <x:c r="B225" s="16" t="str">
        <x:v>2000290187-W113</x:v>
      </x:c>
      <x:c r="C225" s="16" t="str">
        <x:v>ПОЛОСА СТ3 50*4 ГОСТ535-88</x:v>
      </x:c>
      <x:c r="D225" s="16" t="str">
        <x:v>М/прокат прочий</x:v>
      </x:c>
      <x:c r="E225" s="16" t="str">
        <x:v>Т</x:v>
      </x:c>
      <x:c r="F225" s="30" t="n">
        <x:v>0.01</x:v>
      </x:c>
      <x:c r="G225" s="17" t="n">
        <x:v>82350</x:v>
      </x:c>
      <x:c r="H225" s="17" t="n">
        <x:f>G225*F225</x:f>
        <x:v>823.5</x:v>
      </x:c>
      <x:c r="I225" s="26" t="str">
        <x:f>HYPERLINK("https://etp-aktiv.ru/catalog/materialy/metalloprodukciya/2000290187-W113/","Открыть позицию")</x:f>
        <x:v>Открыть позицию</x:v>
      </x:c>
    </x:row>
    <x:row r="226" ht="28" customHeight="1">
      <x:c r="A226" s="16" t="str">
        <x:v>Бийскэнерго</x:v>
      </x:c>
      <x:c r="B226" s="16" t="str">
        <x:v>2000555612-W113</x:v>
      </x:c>
      <x:c r="C226" s="16" t="str">
        <x:v>ПРОВОЛОКА 12Х18Н10Т 3ММ ГОСТ18143-72</x:v>
      </x:c>
      <x:c r="D226" s="16" t="str">
        <x:v>М/прокат нерж сталь</x:v>
      </x:c>
      <x:c r="E226" s="16" t="str">
        <x:v>Т</x:v>
      </x:c>
      <x:c r="F226" s="30" t="n">
        <x:v>0.017</x:v>
      </x:c>
      <x:c r="G226" s="17" t="n">
        <x:v>302636.25</x:v>
      </x:c>
      <x:c r="H226" s="17" t="n">
        <x:f>G226*F226</x:f>
        <x:v>5144.816250000001</x:v>
      </x:c>
      <x:c r="I226" s="26" t="str">
        <x:f>HYPERLINK("https://etp-aktiv.ru/catalog/materialy/metalloprodukciya/2000555612-W113/","Открыть позицию")</x:f>
        <x:v>Открыть позицию</x:v>
      </x:c>
    </x:row>
    <x:row r="227" ht="28" customHeight="1">
      <x:c r="A227" s="16" t="str">
        <x:v>Бийскэнерго</x:v>
      </x:c>
      <x:c r="B227" s="16" t="str">
        <x:v>2000530170-W113</x:v>
      </x:c>
      <x:c r="C227" s="16" t="str">
        <x:v>ПРОВОЛОКА 6 О СВЕТЛАЯ ГОСТ3282-74</x:v>
      </x:c>
      <x:c r="D227" s="16" t="str">
        <x:v>Метизы Спец</x:v>
      </x:c>
      <x:c r="E227" s="16" t="str">
        <x:v>КГ</x:v>
      </x:c>
      <x:c r="F227" s="24" t="n">
        <x:v>209.3</x:v>
      </x:c>
      <x:c r="G227" s="17" t="n">
        <x:v>63.2326</x:v>
      </x:c>
      <x:c r="H227" s="17" t="n">
        <x:f>G227*F227</x:f>
        <x:v>13234.58318</x:v>
      </x:c>
      <x:c r="I227" s="26" t="str">
        <x:f>HYPERLINK("https://etp-aktiv.ru/catalog/materialy/metizy/2000530170-W113/","Открыть позицию")</x:f>
        <x:v>Открыть позицию</x:v>
      </x:c>
    </x:row>
    <x:row r="228" ht="28" customHeight="1">
      <x:c r="A228" s="16" t="str">
        <x:v>Бийскэнерго</x:v>
      </x:c>
      <x:c r="B228" s="16" t="str">
        <x:v>2000184323-W113</x:v>
      </x:c>
      <x:c r="C228" s="16" t="str">
        <x:v>ПРОВОЛОКА ВЯЗАЛЬНАЯ D6ММ ГОСТ3282-74</x:v>
      </x:c>
      <x:c r="D228" s="16" t="str">
        <x:v>Метизы Спец</x:v>
      </x:c>
      <x:c r="E228" s="16" t="str">
        <x:v>Т</x:v>
      </x:c>
      <x:c r="F228" s="30" t="n">
        <x:v>0.09</x:v>
      </x:c>
      <x:c r="G228" s="17" t="n">
        <x:v>73618.765</x:v>
      </x:c>
      <x:c r="H228" s="17" t="n">
        <x:f>G228*F228</x:f>
        <x:v>6625.68885</x:v>
      </x:c>
      <x:c r="I228" s="26" t="str">
        <x:f>HYPERLINK("https://etp-aktiv.ru/catalog/materialy/metizy/2000184323-W113/","Открыть позицию")</x:f>
        <x:v>Открыть позицию</x:v>
      </x:c>
    </x:row>
    <x:row r="229" ht="28" customHeight="1">
      <x:c r="A229" s="16" t="str">
        <x:v>Бийскэнерго</x:v>
      </x:c>
      <x:c r="B229" s="16" t="str">
        <x:v>2000546355-W113</x:v>
      </x:c>
      <x:c r="C229" s="16" t="str">
        <x:v>ПРОВОЛОКА СВ06Х19Н9Т D2ММ ГОСТ2246-70</x:v>
      </x:c>
      <x:c r="D229" s="16" t="str">
        <x:v>Сварочные электроды</x:v>
      </x:c>
      <x:c r="E229" s="16" t="str">
        <x:v>КГ</x:v>
      </x:c>
      <x:c r="F229" s="25" t="n">
        <x:v>12</x:v>
      </x:c>
      <x:c r="G229" s="17" t="n">
        <x:v>754.875</x:v>
      </x:c>
      <x:c r="H229" s="17" t="n">
        <x:f>G229*F229</x:f>
        <x:v>9058.5</x:v>
      </x:c>
      <x:c r="I229" s="26" t="str">
        <x:f>HYPERLINK("https://etp-aktiv.ru/catalog/materialy/svarochnye-ehlektrody/2000546355-W113/","Открыть позицию")</x:f>
        <x:v>Открыть позицию</x:v>
      </x:c>
    </x:row>
    <x:row r="230" ht="28" customHeight="1">
      <x:c r="A230" s="16" t="str">
        <x:v>Бийскэнерго</x:v>
      </x:c>
      <x:c r="B230" s="16" t="str">
        <x:v>2000188626-W113</x:v>
      </x:c>
      <x:c r="C230" s="16" t="str">
        <x:v>ПРОВОЛОКА Х20Н80 D2ММ ГОСТ5905-79</x:v>
      </x:c>
      <x:c r="D230" s="16" t="str">
        <x:v>М/прокат цветной</x:v>
      </x:c>
      <x:c r="E230" s="16" t="str">
        <x:v>КГ</x:v>
      </x:c>
      <x:c r="F230" s="25" t="n">
        <x:v>1</x:v>
      </x:c>
      <x:c r="G230" s="17" t="n">
        <x:v>1399.95</x:v>
      </x:c>
      <x:c r="H230" s="17" t="n">
        <x:f>G230*F230</x:f>
        <x:v>1399.95</x:v>
      </x:c>
      <x:c r="I230" s="26" t="str">
        <x:f>HYPERLINK("https://etp-aktiv.ru/catalog/materialy/metalloprodukciya/2000188626-W113/","Открыть позицию")</x:f>
        <x:v>Открыть позицию</x:v>
      </x:c>
    </x:row>
    <x:row r="231" ht="28" customHeight="1">
      <x:c r="A231" s="16" t="str">
        <x:v>Бийскэнерго</x:v>
      </x:c>
      <x:c r="B231" s="16" t="str">
        <x:v>2000165024-W113</x:v>
      </x:c>
      <x:c r="C231" s="16" t="str">
        <x:v>ПРУТОК БРОЦС 5-5-5 D60ММ ГОСТ1628-78</x:v>
      </x:c>
      <x:c r="D231" s="16" t="str">
        <x:v>М/прокат цветной</x:v>
      </x:c>
      <x:c r="E231" s="16" t="str">
        <x:v>КГ</x:v>
      </x:c>
      <x:c r="F231" s="24" t="n">
        <x:v>20.2</x:v>
      </x:c>
      <x:c r="G231" s="17" t="n">
        <x:v>761.0482</x:v>
      </x:c>
      <x:c r="H231" s="17" t="n">
        <x:f>G231*F231</x:f>
        <x:v>15373.173639999999</x:v>
      </x:c>
      <x:c r="I231" s="26" t="str">
        <x:f>HYPERLINK("https://etp-aktiv.ru/catalog/materialy/metalloprodukciya/2000165024-W113/","Открыть позицию")</x:f>
        <x:v>Открыть позицию</x:v>
      </x:c>
    </x:row>
    <x:row r="232" ht="28" customHeight="1">
      <x:c r="A232" s="16" t="str">
        <x:v>Бийскэнерго</x:v>
      </x:c>
      <x:c r="B232" s="16" t="str">
        <x:v>2000556376-W113</x:v>
      </x:c>
      <x:c r="C232" s="16" t="str">
        <x:v>ПРУТОК ЛС59-1 D36ММ ГОСТ2060-2006</x:v>
      </x:c>
      <x:c r="D232" s="16" t="str">
        <x:v>М/прокат цветной</x:v>
      </x:c>
      <x:c r="E232" s="16" t="str">
        <x:v>КГ</x:v>
      </x:c>
      <x:c r="F232" s="25" t="n">
        <x:v>2</x:v>
      </x:c>
      <x:c r="G232" s="17" t="n">
        <x:v>584.38</x:v>
      </x:c>
      <x:c r="H232" s="17" t="n">
        <x:f>G232*F232</x:f>
        <x:v>1168.76</x:v>
      </x:c>
      <x:c r="I232" s="26" t="str">
        <x:f>HYPERLINK("https://etp-aktiv.ru/catalog/materialy/metalloprodukciya/2000556376-W113/","Открыть позицию")</x:f>
        <x:v>Открыть позицию</x:v>
      </x:c>
    </x:row>
    <x:row r="233" ht="28" customHeight="1">
      <x:c r="A233" s="16" t="str">
        <x:v>Бийскэнерго</x:v>
      </x:c>
      <x:c r="B233" s="16" t="str">
        <x:v>2000304714-W113</x:v>
      </x:c>
      <x:c r="C233" s="16" t="str">
        <x:v>САМОРЕЗ 3,5*25 ПО ГИПСОКАРТОНУ И МЕТАЛЛУ</x:v>
      </x:c>
      <x:c r="D233" s="16" t="str">
        <x:v>Метизы Спец</x:v>
      </x:c>
      <x:c r="E233" s="16" t="str">
        <x:v>ШТ</x:v>
      </x:c>
      <x:c r="F233" s="25" t="n">
        <x:v>500</x:v>
      </x:c>
      <x:c r="G233" s="17" t="n">
        <x:v>0.1952</x:v>
      </x:c>
      <x:c r="H233" s="17" t="n">
        <x:f>G233*F233</x:f>
        <x:v>97.60000000000001</x:v>
      </x:c>
      <x:c r="I233" s="26" t="str">
        <x:f>HYPERLINK("https://etp-aktiv.ru/catalog/materialy/metizy/2000304714-W113/","Открыть позицию")</x:f>
        <x:v>Открыть позицию</x:v>
      </x:c>
    </x:row>
    <x:row r="234" ht="28" customHeight="1">
      <x:c r="A234" s="16" t="str">
        <x:v>Бийскэнерго</x:v>
      </x:c>
      <x:c r="B234" s="16" t="str">
        <x:v>2000778036-W113</x:v>
      </x:c>
      <x:c r="C234" s="16" t="str">
        <x:v>САМОРЕЗ 4,8*38 КРОВЕЛЬНЫЙ DIN7504К</x:v>
      </x:c>
      <x:c r="D234" s="16" t="str">
        <x:v>Метизы</x:v>
      </x:c>
      <x:c r="E234" s="16" t="str">
        <x:v>КГ</x:v>
      </x:c>
      <x:c r="F234" s="30" t="n">
        <x:v>0.3</x:v>
      </x:c>
      <x:c r="G234" s="17" t="n">
        <x:v>203.67899999999997</x:v>
      </x:c>
      <x:c r="H234" s="17" t="n">
        <x:f>G234*F234</x:f>
        <x:v>61.10369999999999</x:v>
      </x:c>
      <x:c r="I234" s="26" t="str">
        <x:f>HYPERLINK("https://etp-aktiv.ru/catalog/materialy/metizy/2000778036-W113/","Открыть позицию")</x:f>
        <x:v>Открыть позицию</x:v>
      </x:c>
    </x:row>
    <x:row r="235" ht="28" customHeight="1">
      <x:c r="A235" s="16" t="str">
        <x:v>Бийскэнерго</x:v>
      </x:c>
      <x:c r="B235" s="16" t="str">
        <x:v>2000530202-W113</x:v>
      </x:c>
      <x:c r="C235" s="16" t="str">
        <x:v>СЕТКА ПЛЕТЕНАЯ 1 КВАДР 40*1,6 ГОСТ5336</x:v>
      </x:c>
      <x:c r="D235" s="16" t="str">
        <x:v>Метизы Спец</x:v>
      </x:c>
      <x:c r="E235" s="16" t="str">
        <x:v>М2</x:v>
      </x:c>
      <x:c r="F235" s="24" t="n">
        <x:v>54.55</x:v>
      </x:c>
      <x:c r="G235" s="17" t="n">
        <x:v>446.47119999999995</x:v>
      </x:c>
      <x:c r="H235" s="17" t="n">
        <x:f>G235*F235</x:f>
        <x:v>24355.003959999995</x:v>
      </x:c>
      <x:c r="I235" s="26" t="str">
        <x:f>HYPERLINK("https://etp-aktiv.ru/catalog/materialy/metizy/2000530202-W113/","Открыть позицию")</x:f>
        <x:v>Открыть позицию</x:v>
      </x:c>
    </x:row>
    <x:row r="236" ht="28" customHeight="1">
      <x:c r="A236" s="16" t="str">
        <x:v>Бийскэнерго</x:v>
      </x:c>
      <x:c r="B236" s="16" t="str">
        <x:v>2000892550-W113</x:v>
      </x:c>
      <x:c r="C236" s="16" t="str">
        <x:v>УГОЛОК ВСТ3СП5 100*100*8 ГОСТ8509-93</x:v>
      </x:c>
      <x:c r="D236" s="16" t="str">
        <x:v>М/прокат черный</x:v>
      </x:c>
      <x:c r="E236" s="16" t="str">
        <x:v>Т</x:v>
      </x:c>
      <x:c r="F236" s="30" t="n">
        <x:v>0.015</x:v>
      </x:c>
      <x:c r="G236" s="17" t="n">
        <x:v>46815.975</x:v>
      </x:c>
      <x:c r="H236" s="17" t="n">
        <x:f>G236*F236</x:f>
        <x:v>702.2396249999999</x:v>
      </x:c>
      <x:c r="I236" s="26" t="str">
        <x:f>HYPERLINK("https://etp-aktiv.ru/catalog/materialy/metalloprodukciya/2000892550-W113/","Открыть позицию")</x:f>
        <x:v>Открыть позицию</x:v>
      </x:c>
    </x:row>
    <x:row r="237" ht="28" customHeight="1">
      <x:c r="A237" s="16" t="str">
        <x:v>Бийскэнерго</x:v>
      </x:c>
      <x:c r="B237" s="16" t="str">
        <x:v>2000456770-W113</x:v>
      </x:c>
      <x:c r="C237" s="16" t="str">
        <x:v>УГОЛОК С255 50*5 ГОСТ8509-93</x:v>
      </x:c>
      <x:c r="D237" s="16" t="str">
        <x:v>М/прокат черный</x:v>
      </x:c>
      <x:c r="E237" s="16" t="str">
        <x:v>Т</x:v>
      </x:c>
      <x:c r="F237" s="30" t="n">
        <x:v>0.05</x:v>
      </x:c>
      <x:c r="G237" s="17" t="n">
        <x:v>46256.678199999995</x:v>
      </x:c>
      <x:c r="H237" s="17" t="n">
        <x:f>G237*F237</x:f>
        <x:v>2312.83391</x:v>
      </x:c>
      <x:c r="I237" s="26" t="str">
        <x:f>HYPERLINK("https://etp-aktiv.ru/catalog/materialy/metalloprodukciya/2000456770-W113/","Открыть позицию")</x:f>
        <x:v>Открыть позицию</x:v>
      </x:c>
    </x:row>
    <x:row r="238" ht="28" customHeight="1">
      <x:c r="A238" s="16" t="str">
        <x:v>Бийскэнерго</x:v>
      </x:c>
      <x:c r="B238" s="16" t="str">
        <x:v>2000555883-W113</x:v>
      </x:c>
      <x:c r="C238" s="16" t="str">
        <x:v>УГОЛОК СТ3СП5 75*6 ГОСТ8509-93</x:v>
      </x:c>
      <x:c r="D238" s="16" t="str">
        <x:v>М/прокат черный</x:v>
      </x:c>
      <x:c r="E238" s="16" t="str">
        <x:v>Т</x:v>
      </x:c>
      <x:c r="F238" s="30" t="n">
        <x:v>0.006</x:v>
      </x:c>
      <x:c r="G238" s="17" t="n">
        <x:v>43432.768599999996</x:v>
      </x:c>
      <x:c r="H238" s="17" t="n">
        <x:f>G238*F238</x:f>
        <x:v>260.59661159999996</x:v>
      </x:c>
      <x:c r="I238" s="26" t="str">
        <x:f>HYPERLINK("https://etp-aktiv.ru/catalog/materialy/metalloprodukciya/2000555883-W113/","Открыть позицию")</x:f>
        <x:v>Открыть позицию</x:v>
      </x:c>
    </x:row>
    <x:row r="239" ht="28" customHeight="1">
      <x:c r="A239" s="16" t="str">
        <x:v>Бийскэнерго</x:v>
      </x:c>
      <x:c r="B239" s="16" t="str">
        <x:v>2000730088-W113</x:v>
      </x:c>
      <x:c r="C239" s="16" t="str">
        <x:v>ФОЛЬГА ДПРХМ НД А0 0,05*500 ГОСТ618-73</x:v>
      </x:c>
      <x:c r="D239" s="16" t="str">
        <x:v>М/прокат цветной</x:v>
      </x:c>
      <x:c r="E239" s="16" t="str">
        <x:v>КГ</x:v>
      </x:c>
      <x:c r="F239" s="24" t="n">
        <x:v>17.5</x:v>
      </x:c>
      <x:c r="G239" s="17" t="n">
        <x:v>454.98679999999996</x:v>
      </x:c>
      <x:c r="H239" s="17" t="n">
        <x:f>G239*F239</x:f>
        <x:v>7962.268999999999</x:v>
      </x:c>
      <x:c r="I239" s="26" t="str">
        <x:f>HYPERLINK("https://etp-aktiv.ru/catalog/materialy/metalloprodukciya/2000730088-W113/","Открыть позицию")</x:f>
        <x:v>Открыть позицию</x:v>
      </x:c>
    </x:row>
    <x:row r="240" ht="28" customHeight="1">
      <x:c r="A240" s="16" t="str">
        <x:v>Бийскэнерго</x:v>
      </x:c>
      <x:c r="B240" s="16" t="str">
        <x:v>2000521916-W113</x:v>
      </x:c>
      <x:c r="C240" s="16" t="str">
        <x:v>ХОМУТ СИЛОВОЙ 48-51ММ ГОСТ28191-89</x:v>
      </x:c>
      <x:c r="D240" s="16" t="str">
        <x:v>Метизы Спец</x:v>
      </x:c>
      <x:c r="E240" s="16" t="str">
        <x:v>ШТ</x:v>
      </x:c>
      <x:c r="F240" s="25" t="n">
        <x:v>10</x:v>
      </x:c>
      <x:c r="G240" s="17" t="n">
        <x:v>26.303199999999997</x:v>
      </x:c>
      <x:c r="H240" s="17" t="n">
        <x:f>G240*F240</x:f>
        <x:v>263.032</x:v>
      </x:c>
      <x:c r="I240" s="26" t="str">
        <x:f>HYPERLINK("https://etp-aktiv.ru/catalog/materialy/metizy/2000521916-W113/","Открыть позицию")</x:f>
        <x:v>Открыть позицию</x:v>
      </x:c>
    </x:row>
    <x:row r="241" ht="28" customHeight="1">
      <x:c r="A241" s="16" t="str">
        <x:v>Бийскэнерго</x:v>
      </x:c>
      <x:c r="B241" s="16" t="str">
        <x:v>2000330598-W113</x:v>
      </x:c>
      <x:c r="C241" s="16" t="str">
        <x:v>ШАЙБА А10.01.08.КП.16 ГОСТ11371-78</x:v>
      </x:c>
      <x:c r="D241" s="16" t="str">
        <x:v>Метизы</x:v>
      </x:c>
      <x:c r="E241" s="16" t="str">
        <x:v>КГ</x:v>
      </x:c>
      <x:c r="F241" s="25" t="n">
        <x:v>12</x:v>
      </x:c>
      <x:c r="G241" s="17" t="n">
        <x:v>97.2218</x:v>
      </x:c>
      <x:c r="H241" s="17" t="n">
        <x:f>G241*F241</x:f>
        <x:v>1166.6616</x:v>
      </x:c>
      <x:c r="I241" s="26" t="str">
        <x:f>HYPERLINK("https://etp-aktiv.ru/catalog/materialy/metizy/2000330598-W113/","Открыть позицию")</x:f>
        <x:v>Открыть позицию</x:v>
      </x:c>
    </x:row>
    <x:row r="242" ht="28" customHeight="1">
      <x:c r="A242" s="16" t="str">
        <x:v>Бийскэнерго</x:v>
      </x:c>
      <x:c r="B242" s="16" t="str">
        <x:v>2000385907-W113</x:v>
      </x:c>
      <x:c r="C242" s="16" t="str">
        <x:v>ШАЙБА М12 8,8 ОЦИНК DIN125</x:v>
      </x:c>
      <x:c r="D242" s="16" t="str">
        <x:v>Метизы Спец</x:v>
      </x:c>
      <x:c r="E242" s="16" t="str">
        <x:v>КГ</x:v>
      </x:c>
      <x:c r="F242" s="24" t="n">
        <x:v>1.3</x:v>
      </x:c>
      <x:c r="G242" s="17" t="n">
        <x:v>183</x:v>
      </x:c>
      <x:c r="H242" s="17" t="n">
        <x:f>G242*F242</x:f>
        <x:v>237.9</x:v>
      </x:c>
      <x:c r="I242" s="26" t="str">
        <x:f>HYPERLINK("https://etp-aktiv.ru/catalog/materialy/metizy/2000385907-W113/","Открыть позицию")</x:f>
        <x:v>Открыть позицию</x:v>
      </x:c>
    </x:row>
    <x:row r="243" ht="28" customHeight="1">
      <x:c r="A243" s="16" t="str">
        <x:v>Бийскэнерго</x:v>
      </x:c>
      <x:c r="B243" s="16" t="str">
        <x:v>2000166489-W113</x:v>
      </x:c>
      <x:c r="C243" s="16" t="str">
        <x:v>ШАЙБА М12 ГРОВЕР ГОСТ6402-80</x:v>
      </x:c>
      <x:c r="D243" s="16" t="str">
        <x:v>Метизы Спец</x:v>
      </x:c>
      <x:c r="E243" s="16" t="str">
        <x:v>КГ</x:v>
      </x:c>
      <x:c r="F243" s="30" t="n">
        <x:v>0.2</x:v>
      </x:c>
      <x:c r="G243" s="17" t="n">
        <x:v>154.0372</x:v>
      </x:c>
      <x:c r="H243" s="17" t="n">
        <x:f>G243*F243</x:f>
        <x:v>30.807440000000003</x:v>
      </x:c>
      <x:c r="I243" s="26" t="str">
        <x:f>HYPERLINK("https://etp-aktiv.ru/catalog/materialy/metizy/2000166489-W113/","Открыть позицию")</x:f>
        <x:v>Открыть позицию</x:v>
      </x:c>
    </x:row>
    <x:row r="244" ht="28" customHeight="1">
      <x:c r="A244" s="16" t="str">
        <x:v>Бийскэнерго</x:v>
      </x:c>
      <x:c r="B244" s="16" t="str">
        <x:v>2000068585-W113</x:v>
      </x:c>
      <x:c r="C244" s="16" t="str">
        <x:v>ШАЙБА М14 ГОСТ11371-78</x:v>
      </x:c>
      <x:c r="D244" s="16" t="str">
        <x:v>Метизы</x:v>
      </x:c>
      <x:c r="E244" s="16" t="str">
        <x:v>КГ</x:v>
      </x:c>
      <x:c r="F244" s="24" t="n">
        <x:v>1.2</x:v>
      </x:c>
      <x:c r="G244" s="17" t="n">
        <x:v>183</x:v>
      </x:c>
      <x:c r="H244" s="17" t="n">
        <x:f>G244*F244</x:f>
        <x:v>219.6</x:v>
      </x:c>
      <x:c r="I244" s="26" t="str">
        <x:f>HYPERLINK("https://etp-aktiv.ru/catalog/materialy/metizy/2000068585-W113/","Открыть позицию")</x:f>
        <x:v>Открыть позицию</x:v>
      </x:c>
    </x:row>
    <x:row r="245" ht="28" customHeight="1">
      <x:c r="A245" s="16" t="str">
        <x:v>Бийскэнерго</x:v>
      </x:c>
      <x:c r="B245" s="16" t="str">
        <x:v>2000068591-W113</x:v>
      </x:c>
      <x:c r="C245" s="16" t="str">
        <x:v>ШАЙБА М24 ГОСТ11371-78</x:v>
      </x:c>
      <x:c r="D245" s="16" t="str">
        <x:v>Метизы</x:v>
      </x:c>
      <x:c r="E245" s="16" t="str">
        <x:v>КГ</x:v>
      </x:c>
      <x:c r="F245" s="30" t="n">
        <x:v>0.19</x:v>
      </x:c>
      <x:c r="G245" s="17" t="n">
        <x:v>122.76859999999999</x:v>
      </x:c>
      <x:c r="H245" s="17" t="n">
        <x:f>G245*F245</x:f>
        <x:v>23.326034</x:v>
      </x:c>
      <x:c r="I245" s="26" t="str">
        <x:f>HYPERLINK("https://etp-aktiv.ru/catalog/materialy/metizy/2000068591-W113/","Открыть позицию")</x:f>
        <x:v>Открыть позицию</x:v>
      </x:c>
    </x:row>
    <x:row r="246" ht="28" customHeight="1">
      <x:c r="A246" s="16" t="str">
        <x:v>Бийскэнерго</x:v>
      </x:c>
      <x:c r="B246" s="16" t="str">
        <x:v>2000068567-W113</x:v>
      </x:c>
      <x:c r="C246" s="16" t="str">
        <x:v>ШАЙБА М24 ГРОВЕР ГОСТ6402-70</x:v>
      </x:c>
      <x:c r="D246" s="16" t="str">
        <x:v>Метизы Спец</x:v>
      </x:c>
      <x:c r="E246" s="16" t="str">
        <x:v>КГ</x:v>
      </x:c>
      <x:c r="F246" s="25" t="n">
        <x:v>1</x:v>
      </x:c>
      <x:c r="G246" s="17" t="n">
        <x:v>118.95</x:v>
      </x:c>
      <x:c r="H246" s="17" t="n">
        <x:f>G246*F246</x:f>
        <x:v>118.95</x:v>
      </x:c>
      <x:c r="I246" s="26" t="str">
        <x:f>HYPERLINK("https://etp-aktiv.ru/catalog/materialy/metizy/2000068567-W113/","Открыть позицию")</x:f>
        <x:v>Открыть позицию</x:v>
      </x:c>
    </x:row>
    <x:row r="247" ht="28" customHeight="1">
      <x:c r="A247" s="16" t="str">
        <x:v>Бийскэнерго</x:v>
      </x:c>
      <x:c r="B247" s="16" t="str">
        <x:v>2000068573-W113</x:v>
      </x:c>
      <x:c r="C247" s="16" t="str">
        <x:v>ШАЙБА М30 ГОСТ11371-78</x:v>
      </x:c>
      <x:c r="D247" s="16" t="str">
        <x:v>Метизы Спец</x:v>
      </x:c>
      <x:c r="E247" s="16" t="str">
        <x:v>КГ</x:v>
      </x:c>
      <x:c r="F247" s="30" t="n">
        <x:v>0.571</x:v>
      </x:c>
      <x:c r="G247" s="17" t="n">
        <x:v>131.76</x:v>
      </x:c>
      <x:c r="H247" s="17" t="n">
        <x:f>G247*F247</x:f>
        <x:v>75.23495999999999</x:v>
      </x:c>
      <x:c r="I247" s="26" t="str">
        <x:f>HYPERLINK("https://etp-aktiv.ru/catalog/materialy/metizy/2000068573-W113/","Открыть позицию")</x:f>
        <x:v>Открыть позицию</x:v>
      </x:c>
    </x:row>
    <x:row r="248" ht="28" customHeight="1">
      <x:c r="A248" s="16" t="str">
        <x:v>Бийскэнерго</x:v>
      </x:c>
      <x:c r="B248" s="16" t="str">
        <x:v>2000530274-W113</x:v>
      </x:c>
      <x:c r="C248" s="16" t="str">
        <x:v>ШАЙБА ПЛОСКАЯ А.8 01.СТ08КП ГОСТ11371</x:v>
      </x:c>
      <x:c r="D248" s="16" t="str">
        <x:v>Метизы</x:v>
      </x:c>
      <x:c r="E248" s="16" t="str">
        <x:v>КГ</x:v>
      </x:c>
      <x:c r="F248" s="25" t="n">
        <x:v>2</x:v>
      </x:c>
      <x:c r="G248" s="17" t="n">
        <x:v>23.2654</x:v>
      </x:c>
      <x:c r="H248" s="17" t="n">
        <x:f>G248*F248</x:f>
        <x:v>46.5308</x:v>
      </x:c>
      <x:c r="I248" s="26" t="str">
        <x:f>HYPERLINK("https://etp-aktiv.ru/catalog/materialy/metizy/2000530274-W113/","Открыть позицию")</x:f>
        <x:v>Открыть позицию</x:v>
      </x:c>
    </x:row>
    <x:row r="249" ht="28" customHeight="1">
      <x:c r="A249" s="16" t="str">
        <x:v>Бийскэнерго</x:v>
      </x:c>
      <x:c r="B249" s="16" t="str">
        <x:v>2000530280-W113</x:v>
      </x:c>
      <x:c r="C249" s="16" t="str">
        <x:v>ШАЙБА ПЛОСКАЯ С.20 01.СТ20 ГОСТ11371</x:v>
      </x:c>
      <x:c r="D249" s="16" t="str">
        <x:v>Метизы</x:v>
      </x:c>
      <x:c r="E249" s="16" t="str">
        <x:v>КГ</x:v>
      </x:c>
      <x:c r="F249" s="25" t="n">
        <x:v>1</x:v>
      </x:c>
      <x:c r="G249" s="17" t="n">
        <x:v>80.642</x:v>
      </x:c>
      <x:c r="H249" s="17" t="n">
        <x:f>G249*F249</x:f>
        <x:v>80.642</x:v>
      </x:c>
      <x:c r="I249" s="26" t="str">
        <x:f>HYPERLINK("https://etp-aktiv.ru/catalog/materialy/metizy/2000530280-W113/","Открыть позицию")</x:f>
        <x:v>Открыть позицию</x:v>
      </x:c>
    </x:row>
    <x:row r="250" ht="28" customHeight="1">
      <x:c r="A250" s="16" t="str">
        <x:v>Бийскэнерго</x:v>
      </x:c>
      <x:c r="B250" s="16" t="str">
        <x:v>2000868134-W113</x:v>
      </x:c>
      <x:c r="C250" s="16" t="str">
        <x:v>ШАЙБА ПРУЖИННАЯ М12 DIN6796</x:v>
      </x:c>
      <x:c r="D250" s="16" t="str">
        <x:v>Метизы</x:v>
      </x:c>
      <x:c r="E250" s="16" t="str">
        <x:v>КГ</x:v>
      </x:c>
      <x:c r="F250" s="25" t="n">
        <x:v>2</x:v>
      </x:c>
      <x:c r="G250" s="17" t="n">
        <x:v>1372.5</x:v>
      </x:c>
      <x:c r="H250" s="17" t="n">
        <x:f>G250*F250</x:f>
        <x:v>2745</x:v>
      </x:c>
      <x:c r="I250" s="26" t="str">
        <x:f>HYPERLINK("https://etp-aktiv.ru/catalog/materialy/metizy/2000868134-W113/","Открыть позицию")</x:f>
        <x:v>Открыть позицию</x:v>
      </x:c>
    </x:row>
    <x:row r="251" ht="28" customHeight="1">
      <x:c r="A251" s="16" t="str">
        <x:v>Бийскэнерго</x:v>
      </x:c>
      <x:c r="B251" s="16" t="str">
        <x:v>2000530305-W113</x:v>
      </x:c>
      <x:c r="C251" s="16" t="str">
        <x:v>ШАЙБА СТОПОРНАЯ 10 01 016 ГОСТ13463-77</x:v>
      </x:c>
      <x:c r="D251" s="16" t="str">
        <x:v>Метизы</x:v>
      </x:c>
      <x:c r="E251" s="16" t="str">
        <x:v>ШТ</x:v>
      </x:c>
      <x:c r="F251" s="25" t="n">
        <x:v>1</x:v>
      </x:c>
      <x:c r="G251" s="17" t="n">
        <x:v>1.769</x:v>
      </x:c>
      <x:c r="H251" s="17" t="n">
        <x:f>G251*F251</x:f>
        <x:v>1.769</x:v>
      </x:c>
      <x:c r="I251" s="26" t="str">
        <x:f>HYPERLINK("https://etp-aktiv.ru/catalog/materialy/metizy/2000530305-W113/","Открыть позицию")</x:f>
        <x:v>Открыть позицию</x:v>
      </x:c>
    </x:row>
    <x:row r="252" ht="28" customHeight="1">
      <x:c r="A252" s="16" t="str">
        <x:v>Бийскэнерго</x:v>
      </x:c>
      <x:c r="B252" s="16" t="str">
        <x:v>2000681639-W113</x:v>
      </x:c>
      <x:c r="C252" s="16" t="str">
        <x:v>ШВЕЛЛЕР С235 10 ГОСТ8240-97</x:v>
      </x:c>
      <x:c r="D252" s="16" t="str">
        <x:v>М/прокат черный</x:v>
      </x:c>
      <x:c r="E252" s="16" t="str">
        <x:v>Т</x:v>
      </x:c>
      <x:c r="F252" s="30" t="n">
        <x:v>0.52</x:v>
      </x:c>
      <x:c r="G252" s="17" t="n">
        <x:v>51039.8468</x:v>
      </x:c>
      <x:c r="H252" s="17" t="n">
        <x:f>G252*F252</x:f>
        <x:v>26540.720336000002</x:v>
      </x:c>
      <x:c r="I252" s="26" t="str">
        <x:f>HYPERLINK("https://etp-aktiv.ru/catalog/materialy/metalloprodukciya/2000681639-W113/","Открыть позицию")</x:f>
        <x:v>Открыть позицию</x:v>
      </x:c>
    </x:row>
    <x:row r="253" ht="28" customHeight="1">
      <x:c r="A253" s="16" t="str">
        <x:v>Бийскэнерго</x:v>
      </x:c>
      <x:c r="B253" s="16" t="str">
        <x:v>2000148212-W113</x:v>
      </x:c>
      <x:c r="C253" s="16" t="str">
        <x:v>ШВЕЛЛЕР СТ3 12П ГОСТ8240-97</x:v>
      </x:c>
      <x:c r="D253" s="16" t="str">
        <x:v>М/прокат черный</x:v>
      </x:c>
      <x:c r="E253" s="16" t="str">
        <x:v>Т</x:v>
      </x:c>
      <x:c r="F253" s="30" t="n">
        <x:v>0.02</x:v>
      </x:c>
      <x:c r="G253" s="17" t="n">
        <x:v>79368.4786</x:v>
      </x:c>
      <x:c r="H253" s="17" t="n">
        <x:f>G253*F253</x:f>
        <x:v>1587.369572</x:v>
      </x:c>
      <x:c r="I253" s="26" t="str">
        <x:f>HYPERLINK("https://etp-aktiv.ru/catalog/materialy/metalloprodukciya/2000148212-W113/","Открыть позицию")</x:f>
        <x:v>Открыть позицию</x:v>
      </x:c>
    </x:row>
    <x:row r="254" ht="28" customHeight="1">
      <x:c r="A254" s="16" t="str">
        <x:v>Бийскэнерго</x:v>
      </x:c>
      <x:c r="B254" s="16" t="str">
        <x:v>2000149951-W113</x:v>
      </x:c>
      <x:c r="C254" s="16" t="str">
        <x:v>ШВЕЛЛЕР СТ3 12У ГОСТ8240-97</x:v>
      </x:c>
      <x:c r="D254" s="16" t="str">
        <x:v>М/прокат черный</x:v>
      </x:c>
      <x:c r="E254" s="16" t="str">
        <x:v>Т</x:v>
      </x:c>
      <x:c r="F254" s="30" t="n">
        <x:v>0.086</x:v>
      </x:c>
      <x:c r="G254" s="17" t="n">
        <x:v>56615.625</x:v>
      </x:c>
      <x:c r="H254" s="17" t="n">
        <x:f>G254*F254</x:f>
        <x:v>4868.943749999999</x:v>
      </x:c>
      <x:c r="I254" s="26" t="str">
        <x:f>HYPERLINK("https://etp-aktiv.ru/catalog/materialy/metalloprodukciya/2000149951-W113/","Открыть позицию")</x:f>
        <x:v>Открыть позицию</x:v>
      </x:c>
    </x:row>
    <x:row r="255" ht="28" customHeight="1">
      <x:c r="A255" s="16" t="str">
        <x:v>Бийскэнерго</x:v>
      </x:c>
      <x:c r="B255" s="16" t="str">
        <x:v>2000015505-W113</x:v>
      </x:c>
      <x:c r="C255" s="16" t="str">
        <x:v>ШВЕЛЛЕР СТ3 14 ГОСТ8240-97</x:v>
      </x:c>
      <x:c r="D255" s="16" t="str">
        <x:v>М/прокат черный</x:v>
      </x:c>
      <x:c r="E255" s="16" t="str">
        <x:v>Т</x:v>
      </x:c>
      <x:c r="F255" s="24" t="n">
        <x:v>4.369</x:v>
      </x:c>
      <x:c r="G255" s="17" t="n">
        <x:v>59238.076</x:v>
      </x:c>
      <x:c r="H255" s="17" t="n">
        <x:f>G255*F255</x:f>
        <x:v>258811.154044</x:v>
      </x:c>
      <x:c r="I255" s="26" t="str">
        <x:f>HYPERLINK("https://etp-aktiv.ru/catalog/materialy/metalloprodukciya/2000015505-W113/","Открыть позицию")</x:f>
        <x:v>Открыть позицию</x:v>
      </x:c>
    </x:row>
    <x:row r="256" ht="28" customHeight="1">
      <x:c r="A256" s="16" t="str">
        <x:v>Бийскэнерго</x:v>
      </x:c>
      <x:c r="B256" s="16" t="str">
        <x:v>2000174196-W113</x:v>
      </x:c>
      <x:c r="C256" s="16" t="str">
        <x:v>ШВЕЛЛЕР СТ3 20 ГОСТ8240-73</x:v>
      </x:c>
      <x:c r="D256" s="16" t="str">
        <x:v>М/прокат черный</x:v>
      </x:c>
      <x:c r="E256" s="16" t="str">
        <x:v>Т</x:v>
      </x:c>
      <x:c r="F256" s="30" t="n">
        <x:v>0.335</x:v>
      </x:c>
      <x:c r="G256" s="17" t="n">
        <x:v>125710.02</x:v>
      </x:c>
      <x:c r="H256" s="17" t="n">
        <x:f>G256*F256</x:f>
        <x:v>42112.856700000004</x:v>
      </x:c>
      <x:c r="I256" s="26" t="str">
        <x:f>HYPERLINK("https://etp-aktiv.ru/catalog/materialy/metalloprodukciya/2000174196-W113/","Открыть позицию")</x:f>
        <x:v>Открыть позицию</x:v>
      </x:c>
    </x:row>
    <x:row r="257" ht="28" customHeight="1">
      <x:c r="A257" s="16" t="str">
        <x:v>Бийскэнерго</x:v>
      </x:c>
      <x:c r="B257" s="16" t="str">
        <x:v>2000150983-W113</x:v>
      </x:c>
      <x:c r="C257" s="16" t="str">
        <x:v>ШВЕЛЛЕР СТ3ПС5 18У ГОСТ8240-97</x:v>
      </x:c>
      <x:c r="D257" s="16" t="str">
        <x:v>М/прокат черный</x:v>
      </x:c>
      <x:c r="E257" s="16" t="str">
        <x:v>Т</x:v>
      </x:c>
      <x:c r="F257" s="30" t="n">
        <x:v>0.132</x:v>
      </x:c>
      <x:c r="G257" s="17" t="n">
        <x:v>58096.6806</x:v>
      </x:c>
      <x:c r="H257" s="17" t="n">
        <x:f>G257*F257</x:f>
        <x:v>7668.7618392</x:v>
      </x:c>
      <x:c r="I257" s="26" t="str">
        <x:f>HYPERLINK("https://etp-aktiv.ru/catalog/materialy/metalloprodukciya/2000150983-W113/","Открыть позицию")</x:f>
        <x:v>Открыть позицию</x:v>
      </x:c>
    </x:row>
    <x:row r="258" ht="28" customHeight="1">
      <x:c r="A258" s="16" t="str">
        <x:v>Бийскэнерго</x:v>
      </x:c>
      <x:c r="B258" s="16" t="str">
        <x:v>2000555719-W113</x:v>
      </x:c>
      <x:c r="C258" s="16" t="str">
        <x:v>ШВЕЛЛЕР СТ3СП5 12У ГОСТ8240-97</x:v>
      </x:c>
      <x:c r="D258" s="16" t="str">
        <x:v>М/прокат черный</x:v>
      </x:c>
      <x:c r="E258" s="16" t="str">
        <x:v>Т</x:v>
      </x:c>
      <x:c r="F258" s="30" t="n">
        <x:v>0.042</x:v>
      </x:c>
      <x:c r="G258" s="17" t="n">
        <x:v>59526.4718</x:v>
      </x:c>
      <x:c r="H258" s="17" t="n">
        <x:f>G258*F258</x:f>
        <x:v>2500.1118156</x:v>
      </x:c>
      <x:c r="I258" s="26" t="str">
        <x:f>HYPERLINK("https://etp-aktiv.ru/catalog/materialy/metalloprodukciya/2000555719-W113/","Открыть позицию")</x:f>
        <x:v>Открыть позицию</x:v>
      </x:c>
    </x:row>
    <x:row r="259" ht="28" customHeight="1">
      <x:c r="A259" s="16" t="str">
        <x:v>Бийскэнерго</x:v>
      </x:c>
      <x:c r="B259" s="16" t="str">
        <x:v>2000782740-W113</x:v>
      </x:c>
      <x:c r="C259" s="16" t="str">
        <x:v>ШЕСТИГРАННИК СТ20 20ММ ГОСТ2879-06</x:v>
      </x:c>
      <x:c r="D259" s="16" t="str">
        <x:v>М/прокат прочий</x:v>
      </x:c>
      <x:c r="E259" s="16" t="str">
        <x:v>Т</x:v>
      </x:c>
      <x:c r="F259" s="30" t="n">
        <x:v>0.063</x:v>
      </x:c>
      <x:c r="G259" s="17" t="n">
        <x:v>47174.0206</x:v>
      </x:c>
      <x:c r="H259" s="17" t="n">
        <x:f>G259*F259</x:f>
        <x:v>2971.9632978000004</x:v>
      </x:c>
      <x:c r="I259" s="26" t="str">
        <x:f>HYPERLINK("https://etp-aktiv.ru/catalog/materialy/metalloprodukciya/2000782740-W113/","Открыть позицию")</x:f>
        <x:v>Открыть позицию</x:v>
      </x:c>
    </x:row>
    <x:row r="260" ht="28" customHeight="1">
      <x:c r="A260" s="16" t="str">
        <x:v>Бийскэнерго</x:v>
      </x:c>
      <x:c r="B260" s="16" t="str">
        <x:v>2000045663-W113</x:v>
      </x:c>
      <x:c r="C260" s="16" t="str">
        <x:v>ШЕСТИГРАННИК СТ45 14ММ ГОСТ2879-88</x:v>
      </x:c>
      <x:c r="D260" s="16" t="str">
        <x:v>М/прокат прочий</x:v>
      </x:c>
      <x:c r="E260" s="16" t="str">
        <x:v>Т</x:v>
      </x:c>
      <x:c r="F260" s="30" t="n">
        <x:v>0.346</x:v>
      </x:c>
      <x:c r="G260" s="17" t="n">
        <x:v>14640</x:v>
      </x:c>
      <x:c r="H260" s="17" t="n">
        <x:f>G260*F260</x:f>
        <x:v>5065.44</x:v>
      </x:c>
      <x:c r="I260" s="26" t="str">
        <x:f>HYPERLINK("https://etp-aktiv.ru/catalog/materialy/metalloprodukciya/2000045663-W113/","Открыть позицию")</x:f>
        <x:v>Открыть позицию</x:v>
      </x:c>
    </x:row>
    <x:row r="261" ht="28" customHeight="1">
      <x:c r="A261" s="16" t="str">
        <x:v>Бийскэнерго</x:v>
      </x:c>
      <x:c r="B261" s="16" t="str">
        <x:v>2000625100-W113</x:v>
      </x:c>
      <x:c r="C261" s="16" t="str">
        <x:v>ШИНА АЛЮМИНИЕВАЯ АД31.Т 6*80 ГОСТ15176</x:v>
      </x:c>
      <x:c r="D261" s="16" t="str">
        <x:v>М/прокат цветной</x:v>
      </x:c>
      <x:c r="E261" s="16" t="str">
        <x:v>КГ</x:v>
      </x:c>
      <x:c r="F261" s="25" t="n">
        <x:v>1</x:v>
      </x:c>
      <x:c r="G261" s="17" t="n">
        <x:v>901.0432</x:v>
      </x:c>
      <x:c r="H261" s="17" t="n">
        <x:f>G261*F261</x:f>
        <x:v>901.0432</x:v>
      </x:c>
      <x:c r="I261" s="26" t="str">
        <x:f>HYPERLINK("https://etp-aktiv.ru/catalog/materialy/metalloprodukciya/2000625100-W113/","Открыть позицию")</x:f>
        <x:v>Открыть позицию</x:v>
      </x:c>
    </x:row>
    <x:row r="262" ht="28" customHeight="1">
      <x:c r="A262" s="16" t="str">
        <x:v>Бийскэнерго</x:v>
      </x:c>
      <x:c r="B262" s="16" t="str">
        <x:v>2000530423-W113</x:v>
      </x:c>
      <x:c r="C262" s="16" t="str">
        <x:v>ШПИЛЬКА М36-6G*220 ГОСТ22042-76</x:v>
      </x:c>
      <x:c r="D262" s="16" t="str">
        <x:v>Метизы</x:v>
      </x:c>
      <x:c r="E262" s="16" t="str">
        <x:v>ШТ</x:v>
      </x:c>
      <x:c r="F262" s="25" t="n">
        <x:v>36</x:v>
      </x:c>
      <x:c r="G262" s="17" t="n">
        <x:v>73.1878</x:v>
      </x:c>
      <x:c r="H262" s="17" t="n">
        <x:f>G262*F262</x:f>
        <x:v>2634.7608</x:v>
      </x:c>
      <x:c r="I262" s="26" t="str">
        <x:f>HYPERLINK("https://etp-aktiv.ru/catalog/materialy/metizy/2000530423-W113/","Открыть позицию")</x:f>
        <x:v>Открыть позицию</x:v>
      </x:c>
    </x:row>
    <x:row r="263" ht="28" customHeight="1">
      <x:c r="A263" s="16" t="str">
        <x:v>Бийскэнерго</x:v>
      </x:c>
      <x:c r="B263" s="16" t="str">
        <x:v>2000015613-W113</x:v>
      </x:c>
      <x:c r="C263" s="16" t="str">
        <x:v>ЭЛЕКТРОД УОНИ-13/55 5ММ ГОСТ9466-75</x:v>
      </x:c>
      <x:c r="D263" s="16" t="str">
        <x:v>Сварочные электроды</x:v>
      </x:c>
      <x:c r="E263" s="16" t="str">
        <x:v>Т</x:v>
      </x:c>
      <x:c r="F263" s="30" t="n">
        <x:v>0.042</x:v>
      </x:c>
      <x:c r="G263" s="17" t="n">
        <x:v>77484.0056</x:v>
      </x:c>
      <x:c r="H263" s="17" t="n">
        <x:f>G263*F263</x:f>
        <x:v>3254.3282352000006</x:v>
      </x:c>
      <x:c r="I263" s="26" t="str">
        <x:f>HYPERLINK("https://etp-aktiv.ru/catalog/materialy/svarochnye-ehlektrody/2000015613-W113/","Открыть позицию")</x:f>
        <x:v>Открыть позицию</x:v>
      </x:c>
    </x:row>
    <x:row r="264" ht="28" customHeight="1">
      <x:c r="A264" s="16" t="str">
        <x:v>Бийскэнерго</x:v>
      </x:c>
      <x:c r="B264" s="16" t="str">
        <x:v>2000546325-W113</x:v>
      </x:c>
      <x:c r="C264" s="16" t="str">
        <x:v>ЭЛЕКТРОД ЦТ-15 2,5ММ ГОСТ9466-75</x:v>
      </x:c>
      <x:c r="D264" s="16" t="str">
        <x:v>Сварочные электроды</x:v>
      </x:c>
      <x:c r="E264" s="16" t="str">
        <x:v>КГ</x:v>
      </x:c>
      <x:c r="F264" s="25" t="n">
        <x:v>21</x:v>
      </x:c>
      <x:c r="G264" s="17" t="n">
        <x:v>809.775</x:v>
      </x:c>
      <x:c r="H264" s="17" t="n">
        <x:f>G264*F264</x:f>
        <x:v>17005.274999999998</x:v>
      </x:c>
      <x:c r="I264" s="26" t="str">
        <x:f>HYPERLINK("https://etp-aktiv.ru/catalog/materialy/svarochnye-ehlektrody/2000546325-W113/","Открыть позицию")</x:f>
        <x:v>Открыть позицию</x:v>
      </x:c>
    </x:row>
    <x:row r="265" ht="28" customHeight="1">
      <x:c r="A265" s="16" t="str">
        <x:v>Бийскэнерго</x:v>
      </x:c>
      <x:c r="B265" s="16" t="str">
        <x:v>2000546330-W113</x:v>
      </x:c>
      <x:c r="C265" s="16" t="str">
        <x:v>ЭЛЕКТРОД ЦУ-5 2,5ММ ГОСТ9466-75</x:v>
      </x:c>
      <x:c r="D265" s="16" t="str">
        <x:v>Сварочные электроды</x:v>
      </x:c>
      <x:c r="E265" s="16" t="str">
        <x:v>КГ</x:v>
      </x:c>
      <x:c r="F265" s="24" t="n">
        <x:v>1.9</x:v>
      </x:c>
      <x:c r="G265" s="17" t="n">
        <x:v>122.2684</x:v>
      </x:c>
      <x:c r="H265" s="17" t="n">
        <x:f>G265*F265</x:f>
        <x:v>232.30996</x:v>
      </x:c>
      <x:c r="I265" s="26" t="str">
        <x:f>HYPERLINK("https://etp-aktiv.ru/catalog/materialy/svarochnye-ehlektrody/2000546330-W113/","Открыть позицию")</x:f>
        <x:v>Открыть позицию</x:v>
      </x:c>
    </x:row>
    <x:row r="266" ht="28" customHeight="1">
      <x:c r="A266" s="16" t="str">
        <x:v>Бийскэнерго</x:v>
      </x:c>
      <x:c r="B266" s="16" t="str">
        <x:v>2000829242-W113</x:v>
      </x:c>
      <x:c r="C266" s="16" t="str">
        <x:v>ЭЛЕКТРОД Э42 4ММ ГОСТ9467-75</x:v>
      </x:c>
      <x:c r="D266" s="16" t="str">
        <x:v>Сварочные электроды</x:v>
      </x:c>
      <x:c r="E266" s="16" t="str">
        <x:v>КГ</x:v>
      </x:c>
      <x:c r="F266" s="24" t="n">
        <x:v>5.495</x:v>
      </x:c>
      <x:c r="G266" s="17" t="n">
        <x:v>126.0016</x:v>
      </x:c>
      <x:c r="H266" s="17" t="n">
        <x:f>G266*F266</x:f>
        <x:v>692.378792</x:v>
      </x:c>
      <x:c r="I266" s="26" t="str">
        <x:f>HYPERLINK("https://etp-aktiv.ru/catalog/materialy/svarochnye-ehlektrody/2000829242-W113/","Открыть позицию")</x:f>
        <x:v>Открыть позицию</x:v>
      </x:c>
    </x:row>
    <x:row r="267" ht="28" customHeight="1">
      <x:c r="A267" s="16" t="str">
        <x:v>Бийскэнерго</x:v>
      </x:c>
      <x:c r="B267" s="16" t="str">
        <x:v>2000244197-W113</x:v>
      </x:c>
      <x:c r="C267" s="16" t="str">
        <x:v>ЭЛЕКТРОД Э42 5ММ ГОСТ9467-75</x:v>
      </x:c>
      <x:c r="D267" s="16" t="str">
        <x:v>Сварочные электроды</x:v>
      </x:c>
      <x:c r="E267" s="16" t="str">
        <x:v>Т</x:v>
      </x:c>
      <x:c r="F267" s="30" t="n">
        <x:v>0.019</x:v>
      </x:c>
      <x:c r="G267" s="17" t="n">
        <x:v>125995.5</x:v>
      </x:c>
      <x:c r="H267" s="17" t="n">
        <x:f>G267*F267</x:f>
        <x:v>2393.9145</x:v>
      </x:c>
      <x:c r="I267" s="26" t="str">
        <x:f>HYPERLINK("https://etp-aktiv.ru/catalog/materialy/svarochnye-ehlektrody/2000244197-W113/","Открыть позицию")</x:f>
        <x:v>Открыть позицию</x:v>
      </x:c>
    </x:row>
    <x:row r="268" ht="28" customHeight="1">
      <x:c r="A268" s="16" t="str">
        <x:v>Бийскэнерго</x:v>
      </x:c>
      <x:c r="B268" s="16" t="str">
        <x:v>2000881593-W113</x:v>
      </x:c>
      <x:c r="C268" s="16" t="str">
        <x:v>ЭЛЕКТРОД ЭА-395/9 4ММ ГОСТ9466-75(КГ)</x:v>
      </x:c>
      <x:c r="D268" s="16" t="str">
        <x:v>Сварочные электроды</x:v>
      </x:c>
      <x:c r="E268" s="16" t="str">
        <x:v>КГ</x:v>
      </x:c>
      <x:c r="F268" s="25" t="n">
        <x:v>18</x:v>
      </x:c>
      <x:c r="G268" s="17" t="n">
        <x:v>1546.35</x:v>
      </x:c>
      <x:c r="H268" s="17" t="n">
        <x:f>G268*F268</x:f>
        <x:v>27834.3</x:v>
      </x:c>
      <x:c r="I268" s="26" t="str">
        <x:f>HYPERLINK("https://etp-aktiv.ru/catalog/materialy/svarochnye-ehlektrody/2000881593-W113/","Открыть позицию")</x:f>
        <x:v>Открыть позицию</x:v>
      </x:c>
    </x:row>
    <x:row r="269" ht="28" customHeight="1">
      <x:c r="A269" s="16" t="str">
        <x:v>БийскэнергоТеплоТранзит</x:v>
      </x:c>
      <x:c r="B269" s="16" t="str">
        <x:v>2000544553-W123</x:v>
      </x:c>
      <x:c r="C269" s="16" t="str">
        <x:v>БАЛКА СТАЛЬНАЯ БС1 3.8.141-16-КЖ.И-БС1</x:v>
      </x:c>
      <x:c r="D269" s="16" t="str">
        <x:v>Металлоконструкции</x:v>
      </x:c>
      <x:c r="E269" s="16" t="str">
        <x:v>ШТ</x:v>
      </x:c>
      <x:c r="F269" s="25" t="n">
        <x:v>1</x:v>
      </x:c>
      <x:c r="G269" s="17" t="n">
        <x:v>929.64</x:v>
      </x:c>
      <x:c r="H269" s="17" t="n">
        <x:f>G269*F269</x:f>
        <x:v>929.64</x:v>
      </x:c>
      <x:c r="I269" s="26" t="str">
        <x:f>HYPERLINK("https://etp-aktiv.ru/catalog/materialy/metallokonstrukcii/2000544553-W123/","Открыть позицию")</x:f>
        <x:v>Открыть позицию</x:v>
      </x:c>
    </x:row>
    <x:row r="270" ht="28" customHeight="1">
      <x:c r="A270" s="16" t="str">
        <x:v>БийскэнергоТеплоТранзит</x:v>
      </x:c>
      <x:c r="B270" s="16" t="str">
        <x:v>2000068476-W123</x:v>
      </x:c>
      <x:c r="C270" s="16" t="str">
        <x:v>ГАЙКА М18 ГОСТ5915-70</x:v>
      </x:c>
      <x:c r="D270" s="16" t="str">
        <x:v>Метизы</x:v>
      </x:c>
      <x:c r="E270" s="16" t="str">
        <x:v>КГ</x:v>
      </x:c>
      <x:c r="F270" s="24" t="n">
        <x:v>2.1</x:v>
      </x:c>
      <x:c r="G270" s="17" t="n">
        <x:v>189.1</x:v>
      </x:c>
      <x:c r="H270" s="17" t="n">
        <x:f>G270*F270</x:f>
        <x:v>397.11</x:v>
      </x:c>
      <x:c r="I270" s="26" t="str">
        <x:f>HYPERLINK("https://etp-aktiv.ru/catalog/materialy/metizy/2000068476-W123/","Открыть позицию")</x:f>
        <x:v>Открыть позицию</x:v>
      </x:c>
    </x:row>
    <x:row r="271" ht="28" customHeight="1">
      <x:c r="A271" s="16" t="str">
        <x:v>БийскэнергоТеплоТранзит</x:v>
      </x:c>
      <x:c r="B271" s="16" t="str">
        <x:v>2000530097-W123</x:v>
      </x:c>
      <x:c r="C271" s="16" t="str">
        <x:v>ГВОЗДЬ П 2*40 ГОСТ4028-63</x:v>
      </x:c>
      <x:c r="D271" s="16" t="str">
        <x:v>Метизы</x:v>
      </x:c>
      <x:c r="E271" s="16" t="str">
        <x:v>КГ</x:v>
      </x:c>
      <x:c r="F271" s="24" t="n">
        <x:v>3.6</x:v>
      </x:c>
      <x:c r="G271" s="17" t="n">
        <x:v>17.7754</x:v>
      </x:c>
      <x:c r="H271" s="17" t="n">
        <x:f>G271*F271</x:f>
        <x:v>63.991440000000004</x:v>
      </x:c>
      <x:c r="I271" s="26" t="str">
        <x:f>HYPERLINK("https://etp-aktiv.ru/catalog/materialy/metizy/2000530097-W123/","Открыть позицию")</x:f>
        <x:v>Открыть позицию</x:v>
      </x:c>
    </x:row>
    <x:row r="272" ht="28" customHeight="1">
      <x:c r="A272" s="16" t="str">
        <x:v>БийскэнергоТеплоТранзит</x:v>
      </x:c>
      <x:c r="B272" s="16" t="str">
        <x:v>2000544554-W123</x:v>
      </x:c>
      <x:c r="C272" s="16" t="str">
        <x:v>ГИЛЬЗА ЗАЩИТНАЯ Г1 3.8.121-16-1-КЖ.И-Г1</x:v>
      </x:c>
      <x:c r="D272" s="16" t="str">
        <x:v>Металлоконструкции</x:v>
      </x:c>
      <x:c r="E272" s="16" t="str">
        <x:v>ШТ</x:v>
      </x:c>
      <x:c r="F272" s="25" t="n">
        <x:v>2</x:v>
      </x:c>
      <x:c r="G272" s="17" t="n">
        <x:v>837.225</x:v>
      </x:c>
      <x:c r="H272" s="17" t="n">
        <x:f>G272*F272</x:f>
        <x:v>1674.45</x:v>
      </x:c>
      <x:c r="I272" s="26" t="str">
        <x:f>HYPERLINK("https://etp-aktiv.ru/catalog/materialy/metallokonstrukcii/2000544554-W123/","Открыть позицию")</x:f>
        <x:v>Открыть позицию</x:v>
      </x:c>
    </x:row>
    <x:row r="273" ht="28" customHeight="1">
      <x:c r="A273" s="16" t="str">
        <x:v>БийскэнергоТеплоТранзит</x:v>
      </x:c>
      <x:c r="B273" s="16" t="str">
        <x:v>2000544555-W123</x:v>
      </x:c>
      <x:c r="C273" s="16" t="str">
        <x:v>ГИЛЬЗА ЗАЩИТНАЯ Г2 3.8.121-16-1-КЖ.И-Г1</x:v>
      </x:c>
      <x:c r="D273" s="16" t="str">
        <x:v>Металлоконструкции</x:v>
      </x:c>
      <x:c r="E273" s="16" t="str">
        <x:v>ШТ</x:v>
      </x:c>
      <x:c r="F273" s="25" t="n">
        <x:v>6</x:v>
      </x:c>
      <x:c r="G273" s="17" t="n">
        <x:v>1148.325</x:v>
      </x:c>
      <x:c r="H273" s="17" t="n">
        <x:f>G273*F273</x:f>
        <x:v>6889.950000000001</x:v>
      </x:c>
      <x:c r="I273" s="26" t="str">
        <x:f>HYPERLINK("https://etp-aktiv.ru/catalog/materialy/metallokonstrukcii/2000544555-W123/","Открыть позицию")</x:f>
        <x:v>Открыть позицию</x:v>
      </x:c>
    </x:row>
    <x:row r="274" ht="28" customHeight="1">
      <x:c r="A274" s="16" t="str">
        <x:v>БийскэнергоТеплоТранзит</x:v>
      </x:c>
      <x:c r="B274" s="16" t="str">
        <x:v>2000544556-W123</x:v>
      </x:c>
      <x:c r="C274" s="16" t="str">
        <x:v>ГИЛЬЗА ЗАЩИТНАЯ Г3 3.8.121-16-1-КЖ.И-Г1</x:v>
      </x:c>
      <x:c r="D274" s="16" t="str">
        <x:v>Металлоконструкции</x:v>
      </x:c>
      <x:c r="E274" s="16" t="str">
        <x:v>ШТ</x:v>
      </x:c>
      <x:c r="F274" s="25" t="n">
        <x:v>10</x:v>
      </x:c>
      <x:c r="G274" s="17" t="n">
        <x:v>308.8186</x:v>
      </x:c>
      <x:c r="H274" s="17" t="n">
        <x:f>G274*F274</x:f>
        <x:v>3088.186</x:v>
      </x:c>
      <x:c r="I274" s="26" t="str">
        <x:f>HYPERLINK("https://etp-aktiv.ru/catalog/materialy/metallokonstrukcii/2000544556-W123/","Открыть позицию")</x:f>
        <x:v>Открыть позицию</x:v>
      </x:c>
    </x:row>
    <x:row r="275" ht="28" customHeight="1">
      <x:c r="A275" s="16" t="str">
        <x:v>БийскэнергоТеплоТранзит</x:v>
      </x:c>
      <x:c r="B275" s="16" t="str">
        <x:v>2000544557-W123</x:v>
      </x:c>
      <x:c r="C275" s="16" t="str">
        <x:v>ГИЛЬЗА ЗАЩИТНАЯ Г3 3.8.14-17-КЖ.И-Г1</x:v>
      </x:c>
      <x:c r="D275" s="16" t="str">
        <x:v>Металлоконструкции</x:v>
      </x:c>
      <x:c r="E275" s="16" t="str">
        <x:v>ШТ</x:v>
      </x:c>
      <x:c r="F275" s="25" t="n">
        <x:v>2</x:v>
      </x:c>
      <x:c r="G275" s="17" t="n">
        <x:v>5558.625</x:v>
      </x:c>
      <x:c r="H275" s="17" t="n">
        <x:f>G275*F275</x:f>
        <x:v>11117.25</x:v>
      </x:c>
      <x:c r="I275" s="26" t="str">
        <x:f>HYPERLINK("https://etp-aktiv.ru/catalog/materialy/metallokonstrukcii/2000544557-W123/","Открыть позицию")</x:f>
        <x:v>Открыть позицию</x:v>
      </x:c>
    </x:row>
    <x:row r="276" ht="28" customHeight="1">
      <x:c r="A276" s="16" t="str">
        <x:v>БийскэнергоТеплоТранзит</x:v>
      </x:c>
      <x:c r="B276" s="16" t="str">
        <x:v>2000544558-W123</x:v>
      </x:c>
      <x:c r="C276" s="16" t="str">
        <x:v>ДЕТАЛЬ МОНТАЖ МД1 3.8.121-16-1-КЖ.И-МД1</x:v>
      </x:c>
      <x:c r="D276" s="16" t="str">
        <x:v>Металлоконструкции</x:v>
      </x:c>
      <x:c r="E276" s="16" t="str">
        <x:v>ШТ</x:v>
      </x:c>
      <x:c r="F276" s="25" t="n">
        <x:v>10</x:v>
      </x:c>
      <x:c r="G276" s="17" t="n">
        <x:v>2196</x:v>
      </x:c>
      <x:c r="H276" s="17" t="n">
        <x:f>G276*F276</x:f>
        <x:v>21960</x:v>
      </x:c>
      <x:c r="I276" s="26" t="str">
        <x:f>HYPERLINK("https://etp-aktiv.ru/catalog/materialy/metallokonstrukcii/2000544558-W123/","Открыть позицию")</x:f>
        <x:v>Открыть позицию</x:v>
      </x:c>
    </x:row>
    <x:row r="277" ht="28" customHeight="1">
      <x:c r="A277" s="16" t="str">
        <x:v>БийскэнергоТеплоТранзит</x:v>
      </x:c>
      <x:c r="B277" s="16" t="str">
        <x:v>2000120273-W123</x:v>
      </x:c>
      <x:c r="C277" s="16" t="str">
        <x:v>ЛИСТ ПРОСЕЧНОЙ ПВ 408 1,25*2,5 3СП.5</x:v>
      </x:c>
      <x:c r="D277" s="16" t="str">
        <x:v>М/прокат черный</x:v>
      </x:c>
      <x:c r="E277" s="16" t="str">
        <x:v>Т</x:v>
      </x:c>
      <x:c r="F277" s="30" t="n">
        <x:v>0.717</x:v>
      </x:c>
      <x:c r="G277" s="17" t="n">
        <x:v>89146.5712</x:v>
      </x:c>
      <x:c r="H277" s="17" t="n">
        <x:f>G277*F277</x:f>
        <x:v>63918.0915504</x:v>
      </x:c>
      <x:c r="I277" s="26" t="str">
        <x:f>HYPERLINK("https://etp-aktiv.ru/catalog/materialy/metalloprodukciya/2000120273-W123/","Открыть позицию")</x:f>
        <x:v>Открыть позицию</x:v>
      </x:c>
    </x:row>
    <x:row r="278" ht="28" customHeight="1">
      <x:c r="A278" s="16" t="str">
        <x:v>БийскэнергоТеплоТранзит</x:v>
      </x:c>
      <x:c r="B278" s="16" t="str">
        <x:v>2000544559-W123</x:v>
      </x:c>
      <x:c r="C278" s="16" t="str">
        <x:v>РЕШЕТКА Р1 3.8.121-16-1-КЖ.И-Р1</x:v>
      </x:c>
      <x:c r="D278" s="16" t="str">
        <x:v>Металлоконструкции</x:v>
      </x:c>
      <x:c r="E278" s="16" t="str">
        <x:v>ШТ</x:v>
      </x:c>
      <x:c r="F278" s="25" t="n">
        <x:v>1</x:v>
      </x:c>
      <x:c r="G278" s="17" t="n">
        <x:v>308.8186</x:v>
      </x:c>
      <x:c r="H278" s="17" t="n">
        <x:f>G278*F278</x:f>
        <x:v>308.8186</x:v>
      </x:c>
      <x:c r="I278" s="26" t="str">
        <x:f>HYPERLINK("https://etp-aktiv.ru/catalog/materialy/metallokonstrukcii/2000544559-W123/","Открыть позицию")</x:f>
        <x:v>Открыть позицию</x:v>
      </x:c>
    </x:row>
    <x:row r="279" ht="28" customHeight="1">
      <x:c r="A279" s="16" t="str">
        <x:v>БийскэнергоТеплоТранзит</x:v>
      </x:c>
      <x:c r="B279" s="16" t="str">
        <x:v>2000544560-W123</x:v>
      </x:c>
      <x:c r="C279" s="16" t="str">
        <x:v>РЕШЕТКА Р1 6.8.07-17-10-КЖ.И-Р1</x:v>
      </x:c>
      <x:c r="D279" s="16" t="str">
        <x:v>Металлоконструкции</x:v>
      </x:c>
      <x:c r="E279" s="16" t="str">
        <x:v>ШТ</x:v>
      </x:c>
      <x:c r="F279" s="25" t="n">
        <x:v>1</x:v>
      </x:c>
      <x:c r="G279" s="17" t="n">
        <x:v>366</x:v>
      </x:c>
      <x:c r="H279" s="17" t="n">
        <x:f>G279*F279</x:f>
        <x:v>366</x:v>
      </x:c>
      <x:c r="I279" s="26" t="str">
        <x:f>HYPERLINK("https://etp-aktiv.ru/catalog/materialy/metallokonstrukcii/2000544560-W123/","Открыть позицию")</x:f>
        <x:v>Открыть позицию</x:v>
      </x:c>
    </x:row>
    <x:row r="280" ht="28" customHeight="1">
      <x:c r="A280" s="16" t="str">
        <x:v>БийскэнергоТеплоТранзит</x:v>
      </x:c>
      <x:c r="B280" s="16" t="str">
        <x:v>2000291423-W123</x:v>
      </x:c>
      <x:c r="C280" s="16" t="str">
        <x:v>САМОРЕЗ 3,5*19 ШСГД ГОСТ11473-75</x:v>
      </x:c>
      <x:c r="D280" s="16" t="str">
        <x:v>Метизы</x:v>
      </x:c>
      <x:c r="E280" s="16" t="str">
        <x:v>ШТ</x:v>
      </x:c>
      <x:c r="F280" s="25" t="n">
        <x:v>17180</x:v>
      </x:c>
      <x:c r="G280" s="17" t="n">
        <x:v>0.0244</x:v>
      </x:c>
      <x:c r="H280" s="17" t="n">
        <x:f>G280*F280</x:f>
        <x:v>419.192</x:v>
      </x:c>
      <x:c r="I280" s="26" t="str">
        <x:f>HYPERLINK("https://etp-aktiv.ru/catalog/materialy/metizy/2000291423-W123/","Открыть позицию")</x:f>
        <x:v>Открыть позицию</x:v>
      </x:c>
    </x:row>
    <x:row r="281" ht="28" customHeight="1">
      <x:c r="A281" s="16" t="str">
        <x:v>БийскэнергоТеплоТранзит</x:v>
      </x:c>
      <x:c r="B281" s="16" t="str">
        <x:v>2000119354-W123</x:v>
      </x:c>
      <x:c r="C281" s="16" t="str">
        <x:v>УГОЛОК СТ3 МД 25*25*4 ГОСТ8509-93</x:v>
      </x:c>
      <x:c r="D281" s="16" t="str">
        <x:v>М/прокат черный</x:v>
      </x:c>
      <x:c r="E281" s="16" t="str">
        <x:v>Т</x:v>
      </x:c>
      <x:c r="F281" s="30" t="n">
        <x:v>0.039</x:v>
      </x:c>
      <x:c r="G281" s="17" t="n">
        <x:v>18386.4004</x:v>
      </x:c>
      <x:c r="H281" s="17" t="n">
        <x:f>G281*F281</x:f>
        <x:v>717.0696155999999</x:v>
      </x:c>
      <x:c r="I281" s="26" t="str">
        <x:f>HYPERLINK("https://etp-aktiv.ru/catalog/materialy/metalloprodukciya/2000119354-W123/","Открыть позицию")</x:f>
        <x:v>Открыть позицию</x:v>
      </x:c>
    </x:row>
    <x:row r="282" ht="28" customHeight="1">
      <x:c r="A282" s="16" t="str">
        <x:v>БийскэнергоТеплоТранзит</x:v>
      </x:c>
      <x:c r="B282" s="16" t="str">
        <x:v>2000555743-W123</x:v>
      </x:c>
      <x:c r="C282" s="16" t="str">
        <x:v>ШВЕЛЛЕР СТ3СП5 6,5У ГОСТ8240-97</x:v>
      </x:c>
      <x:c r="D282" s="16" t="str">
        <x:v>М/прокат черный</x:v>
      </x:c>
      <x:c r="E282" s="16" t="str">
        <x:v>Т</x:v>
      </x:c>
      <x:c r="F282" s="30" t="n">
        <x:v>0.241</x:v>
      </x:c>
      <x:c r="G282" s="17" t="n">
        <x:v>18347.226199999997</x:v>
      </x:c>
      <x:c r="H282" s="17" t="n">
        <x:f>G282*F282</x:f>
        <x:v>4421.6815142</x:v>
      </x:c>
      <x:c r="I282" s="26" t="str">
        <x:f>HYPERLINK("https://etp-aktiv.ru/catalog/materialy/metalloprodukciya/2000555743-W123/","Открыть позицию")</x:f>
        <x:v>Открыть позицию</x:v>
      </x:c>
    </x:row>
    <x:row r="283" ht="28" customHeight="1">
      <x:c r="A283" s="16" t="str">
        <x:v>Рубцовский ТЭК</x:v>
      </x:c>
      <x:c r="B283" s="16" t="str">
        <x:v>2000006600-W122</x:v>
      </x:c>
      <x:c r="C283" s="16" t="str">
        <x:v>БАББИТ Б-83 ГОСТ1320-74</x:v>
      </x:c>
      <x:c r="D283" s="16" t="str">
        <x:v>М/прокат цветной</x:v>
      </x:c>
      <x:c r="E283" s="16" t="str">
        <x:v>КГ</x:v>
      </x:c>
      <x:c r="F283" s="24" t="n">
        <x:v>1.03</x:v>
      </x:c>
      <x:c r="G283" s="17" t="n">
        <x:v>1211.277</x:v>
      </x:c>
      <x:c r="H283" s="17" t="n">
        <x:f>G283*F283</x:f>
        <x:v>1247.6153100000001</x:v>
      </x:c>
      <x:c r="I283" s="26" t="str">
        <x:f>HYPERLINK("https://etp-aktiv.ru/catalog/materialy/metalloprodukciya/2000006600-W122/","Открыть позицию")</x:f>
        <x:v>Открыть позицию</x:v>
      </x:c>
    </x:row>
    <x:row r="284" ht="28" customHeight="1">
      <x:c r="A284" s="16" t="str">
        <x:v>Рубцовский ТЭК</x:v>
      </x:c>
      <x:c r="B284" s="16" t="str">
        <x:v>2000488875-W122</x:v>
      </x:c>
      <x:c r="C284" s="16" t="str">
        <x:v>БОЛТ АНКЕРНЫЙ С ГАЙКОЙ 16*160 ГОСТ24379.</x:v>
      </x:c>
      <x:c r="D284" s="16" t="str">
        <x:v>Метизы Спец</x:v>
      </x:c>
      <x:c r="E284" s="16" t="str">
        <x:v>ШТ</x:v>
      </x:c>
      <x:c r="F284" s="25" t="n">
        <x:v>72</x:v>
      </x:c>
      <x:c r="G284" s="17" t="n">
        <x:v>66.7218</x:v>
      </x:c>
      <x:c r="H284" s="17" t="n">
        <x:f>G284*F284</x:f>
        <x:v>4803.9696</x:v>
      </x:c>
      <x:c r="I284" s="26" t="str">
        <x:f>HYPERLINK("https://etp-aktiv.ru/catalog/materialy/metizy/2000488875-W122/","Открыть позицию")</x:f>
        <x:v>Открыть позицию</x:v>
      </x:c>
    </x:row>
    <x:row r="285" ht="28" customHeight="1">
      <x:c r="A285" s="16" t="str">
        <x:v>Рубцовский ТЭК</x:v>
      </x:c>
      <x:c r="B285" s="16" t="str">
        <x:v>2000068358-W122</x:v>
      </x:c>
      <x:c r="C285" s="16" t="str">
        <x:v>БОЛТ М10*20 ГОСТ7798-70</x:v>
      </x:c>
      <x:c r="D285" s="16" t="str">
        <x:v>Метизы Спец</x:v>
      </x:c>
      <x:c r="E285" s="16" t="str">
        <x:v>КГ</x:v>
      </x:c>
      <x:c r="F285" s="30" t="n">
        <x:v>0.78</x:v>
      </x:c>
      <x:c r="G285" s="17" t="n">
        <x:v>106.0058</x:v>
      </x:c>
      <x:c r="H285" s="17" t="n">
        <x:f>G285*F285</x:f>
        <x:v>82.684524</x:v>
      </x:c>
      <x:c r="I285" s="26" t="str">
        <x:f>HYPERLINK("https://etp-aktiv.ru/catalog/materialy/metizy/2000068358-W122/","Открыть позицию")</x:f>
        <x:v>Открыть позицию</x:v>
      </x:c>
    </x:row>
    <x:row r="286" ht="28" customHeight="1">
      <x:c r="A286" s="16" t="str">
        <x:v>Рубцовский ТЭК</x:v>
      </x:c>
      <x:c r="B286" s="16" t="str">
        <x:v>2000182276-W122</x:v>
      </x:c>
      <x:c r="C286" s="16" t="str">
        <x:v>БОЛТ М10*40 8.8 ОЦИНК DIN933 ШТ</x:v>
      </x:c>
      <x:c r="D286" s="16" t="str">
        <x:v>Метизы</x:v>
      </x:c>
      <x:c r="E286" s="16" t="str">
        <x:v>ШТ</x:v>
      </x:c>
      <x:c r="F286" s="25" t="n">
        <x:v>80</x:v>
      </x:c>
      <x:c r="G286" s="17" t="n">
        <x:v>6.5392</x:v>
      </x:c>
      <x:c r="H286" s="17" t="n">
        <x:f>G286*F286</x:f>
        <x:v>523.136</x:v>
      </x:c>
      <x:c r="I286" s="26" t="str">
        <x:f>HYPERLINK("https://etp-aktiv.ru/catalog/materialy/metizy/2000182276-W122/","Открыть позицию")</x:f>
        <x:v>Открыть позицию</x:v>
      </x:c>
    </x:row>
    <x:row r="287" ht="28" customHeight="1">
      <x:c r="A287" s="16" t="str">
        <x:v>Рубцовский ТЭК</x:v>
      </x:c>
      <x:c r="B287" s="16" t="str">
        <x:v>2000130116-W122</x:v>
      </x:c>
      <x:c r="C287" s="16" t="str">
        <x:v>БОЛТ М10*70 ГОСТ7798-70</x:v>
      </x:c>
      <x:c r="D287" s="16" t="str">
        <x:v>Метизы</x:v>
      </x:c>
      <x:c r="E287" s="16" t="str">
        <x:v>КГ</x:v>
      </x:c>
      <x:c r="F287" s="24" t="n">
        <x:v>10.85</x:v>
      </x:c>
      <x:c r="G287" s="17" t="n">
        <x:v>92.72</x:v>
      </x:c>
      <x:c r="H287" s="17" t="n">
        <x:f>G287*F287</x:f>
        <x:v>1006.012</x:v>
      </x:c>
      <x:c r="I287" s="26" t="str">
        <x:f>HYPERLINK("https://etp-aktiv.ru/catalog/materialy/metizy/2000130116-W122/","Открыть позицию")</x:f>
        <x:v>Открыть позицию</x:v>
      </x:c>
    </x:row>
    <x:row r="288" ht="28" customHeight="1">
      <x:c r="A288" s="16" t="str">
        <x:v>Рубцовский ТЭК</x:v>
      </x:c>
      <x:c r="B288" s="16" t="str">
        <x:v>2000529952-W122</x:v>
      </x:c>
      <x:c r="C288" s="16" t="str">
        <x:v>БОЛТ М10*80 ГОСТ7796-70</x:v>
      </x:c>
      <x:c r="D288" s="16" t="str">
        <x:v>Метизы</x:v>
      </x:c>
      <x:c r="E288" s="16" t="str">
        <x:v>КГ</x:v>
      </x:c>
      <x:c r="F288" s="30" t="n">
        <x:v>0.4</x:v>
      </x:c>
      <x:c r="G288" s="17" t="n">
        <x:v>112.484</x:v>
      </x:c>
      <x:c r="H288" s="17" t="n">
        <x:f>G288*F288</x:f>
        <x:v>44.9936</x:v>
      </x:c>
      <x:c r="I288" s="26" t="str">
        <x:f>HYPERLINK("https://etp-aktiv.ru/catalog/materialy/metizy/2000529952-W122/","Открыть позицию")</x:f>
        <x:v>Открыть позицию</x:v>
      </x:c>
    </x:row>
    <x:row r="289" ht="28" customHeight="1">
      <x:c r="A289" s="16" t="str">
        <x:v>Рубцовский ТЭК</x:v>
      </x:c>
      <x:c r="B289" s="16" t="str">
        <x:v>2000068403-W122</x:v>
      </x:c>
      <x:c r="C289" s="16" t="str">
        <x:v>БОЛТ М12*30 ГОСТ7805-70</x:v>
      </x:c>
      <x:c r="D289" s="16" t="str">
        <x:v>Метизы</x:v>
      </x:c>
      <x:c r="E289" s="16" t="str">
        <x:v>КГ</x:v>
      </x:c>
      <x:c r="F289" s="24" t="n">
        <x:v>28.2</x:v>
      </x:c>
      <x:c r="G289" s="17" t="n">
        <x:v>136.4936</x:v>
      </x:c>
      <x:c r="H289" s="17" t="n">
        <x:f>G289*F289</x:f>
        <x:v>3849.1195199999997</x:v>
      </x:c>
      <x:c r="I289" s="26" t="str">
        <x:f>HYPERLINK("https://etp-aktiv.ru/catalog/materialy/metizy/2000068403-W122/","Открыть позицию")</x:f>
        <x:v>Открыть позицию</x:v>
      </x:c>
    </x:row>
    <x:row r="290" ht="28" customHeight="1">
      <x:c r="A290" s="16" t="str">
        <x:v>Рубцовский ТЭК</x:v>
      </x:c>
      <x:c r="B290" s="16" t="str">
        <x:v>2000859254-W122</x:v>
      </x:c>
      <x:c r="C290" s="16" t="str">
        <x:v>БОЛТ М12*35 36.016 ГОСТ7786-81</x:v>
      </x:c>
      <x:c r="D290" s="16" t="str">
        <x:v>Метизы</x:v>
      </x:c>
      <x:c r="E290" s="16" t="str">
        <x:v>КГ</x:v>
      </x:c>
      <x:c r="F290" s="24" t="n">
        <x:v>6.36</x:v>
      </x:c>
      <x:c r="G290" s="17" t="n">
        <x:v>441.88399999999996</x:v>
      </x:c>
      <x:c r="H290" s="17" t="n">
        <x:f>G290*F290</x:f>
        <x:v>2810.38224</x:v>
      </x:c>
      <x:c r="I290" s="26" t="str">
        <x:f>HYPERLINK("https://etp-aktiv.ru/catalog/materialy/metizy/2000859254-W122/","Открыть позицию")</x:f>
        <x:v>Открыть позицию</x:v>
      </x:c>
    </x:row>
    <x:row r="291" ht="28" customHeight="1">
      <x:c r="A291" s="16" t="str">
        <x:v>Рубцовский ТЭК</x:v>
      </x:c>
      <x:c r="B291" s="16" t="str">
        <x:v>2000068409-W122</x:v>
      </x:c>
      <x:c r="C291" s="16" t="str">
        <x:v>БОЛТ М12*70 ГОСТ7805-70</x:v>
      </x:c>
      <x:c r="D291" s="16" t="str">
        <x:v>Метизы</x:v>
      </x:c>
      <x:c r="E291" s="16" t="str">
        <x:v>КГ</x:v>
      </x:c>
      <x:c r="F291" s="24" t="n">
        <x:v>46.659</x:v>
      </x:c>
      <x:c r="G291" s="17" t="n">
        <x:v>95.37960000000001</x:v>
      </x:c>
      <x:c r="H291" s="17" t="n">
        <x:f>G291*F291</x:f>
        <x:v>4450.3167564000005</x:v>
      </x:c>
      <x:c r="I291" s="26" t="str">
        <x:f>HYPERLINK("https://etp-aktiv.ru/catalog/materialy/metizy/2000068409-W122/","Открыть позицию")</x:f>
        <x:v>Открыть позицию</x:v>
      </x:c>
    </x:row>
    <x:row r="292" ht="28" customHeight="1">
      <x:c r="A292" s="16" t="str">
        <x:v>Рубцовский ТЭК</x:v>
      </x:c>
      <x:c r="B292" s="16" t="str">
        <x:v>2000068411-W122</x:v>
      </x:c>
      <x:c r="C292" s="16" t="str">
        <x:v>БОЛТ М12*80 ГОСТ7805-70</x:v>
      </x:c>
      <x:c r="D292" s="16" t="str">
        <x:v>Метизы Спец</x:v>
      </x:c>
      <x:c r="E292" s="16" t="str">
        <x:v>КГ</x:v>
      </x:c>
      <x:c r="F292" s="24" t="n">
        <x:v>9.36</x:v>
      </x:c>
      <x:c r="G292" s="17" t="n">
        <x:v>83.71640000000001</x:v>
      </x:c>
      <x:c r="H292" s="17" t="n">
        <x:f>G292*F292</x:f>
        <x:v>783.585504</x:v>
      </x:c>
      <x:c r="I292" s="26" t="str">
        <x:f>HYPERLINK("https://etp-aktiv.ru/catalog/materialy/metizy/2000068411-W122/","Открыть позицию")</x:f>
        <x:v>Открыть позицию</x:v>
      </x:c>
    </x:row>
    <x:row r="293" ht="28" customHeight="1">
      <x:c r="A293" s="16" t="str">
        <x:v>Рубцовский ТЭК</x:v>
      </x:c>
      <x:c r="B293" s="16" t="str">
        <x:v>2000152003-W122</x:v>
      </x:c>
      <x:c r="C293" s="16" t="str">
        <x:v>БОЛТ М12*90 ГОСТ7798-70</x:v>
      </x:c>
      <x:c r="D293" s="16" t="str">
        <x:v>Метизы Спец</x:v>
      </x:c>
      <x:c r="E293" s="16" t="str">
        <x:v>КГ</x:v>
      </x:c>
      <x:c r="F293" s="24" t="n">
        <x:v>63.931</x:v>
      </x:c>
      <x:c r="G293" s="17" t="n">
        <x:v>105.4934</x:v>
      </x:c>
      <x:c r="H293" s="17" t="n">
        <x:f>G293*F293</x:f>
        <x:v>6744.2985554</x:v>
      </x:c>
      <x:c r="I293" s="26" t="str">
        <x:f>HYPERLINK("https://etp-aktiv.ru/catalog/materialy/metizy/2000152003-W122/","Открыть позицию")</x:f>
        <x:v>Открыть позицию</x:v>
      </x:c>
    </x:row>
    <x:row r="294" ht="28" customHeight="1">
      <x:c r="A294" s="16" t="str">
        <x:v>Рубцовский ТЭК</x:v>
      </x:c>
      <x:c r="B294" s="16" t="str">
        <x:v>2000068294-W122</x:v>
      </x:c>
      <x:c r="C294" s="16" t="str">
        <x:v>БОЛТ М14*70 ГОСТ7805-70</x:v>
      </x:c>
      <x:c r="D294" s="16" t="str">
        <x:v>Метизы Спец</x:v>
      </x:c>
      <x:c r="E294" s="16" t="str">
        <x:v>КГ</x:v>
      </x:c>
      <x:c r="F294" s="24" t="n">
        <x:v>15.11</x:v>
      </x:c>
      <x:c r="G294" s="17" t="n">
        <x:v>84.363</x:v>
      </x:c>
      <x:c r="H294" s="17" t="n">
        <x:f>G294*F294</x:f>
        <x:v>1274.7249299999999</x:v>
      </x:c>
      <x:c r="I294" s="26" t="str">
        <x:f>HYPERLINK("https://etp-aktiv.ru/catalog/materialy/metizy/2000068294-W122/","Открыть позицию")</x:f>
        <x:v>Открыть позицию</x:v>
      </x:c>
    </x:row>
    <x:row r="295" ht="28" customHeight="1">
      <x:c r="A295" s="16" t="str">
        <x:v>Рубцовский ТЭК</x:v>
      </x:c>
      <x:c r="B295" s="16" t="str">
        <x:v>2000068297-W122</x:v>
      </x:c>
      <x:c r="C295" s="16" t="str">
        <x:v>БОЛТ М14*90 ГОСТ7805-70</x:v>
      </x:c>
      <x:c r="D295" s="16" t="str">
        <x:v>Метизы</x:v>
      </x:c>
      <x:c r="E295" s="16" t="str">
        <x:v>КГ</x:v>
      </x:c>
      <x:c r="F295" s="24" t="n">
        <x:v>15.693</x:v>
      </x:c>
      <x:c r="G295" s="17" t="n">
        <x:v>83.55779999999999</x:v>
      </x:c>
      <x:c r="H295" s="17" t="n">
        <x:f>G295*F295</x:f>
        <x:v>1311.2725553999996</x:v>
      </x:c>
      <x:c r="I295" s="26" t="str">
        <x:f>HYPERLINK("https://etp-aktiv.ru/catalog/materialy/metizy/2000068297-W122/","Открыть позицию")</x:f>
        <x:v>Открыть позицию</x:v>
      </x:c>
    </x:row>
    <x:row r="296" ht="28" customHeight="1">
      <x:c r="A296" s="16" t="str">
        <x:v>Рубцовский ТЭК</x:v>
      </x:c>
      <x:c r="B296" s="16" t="str">
        <x:v>2000068418-W122</x:v>
      </x:c>
      <x:c r="C296" s="16" t="str">
        <x:v>БОЛТ М16*35 ГОСТ7805-70</x:v>
      </x:c>
      <x:c r="D296" s="16" t="str">
        <x:v>Метизы Спец</x:v>
      </x:c>
      <x:c r="E296" s="16" t="str">
        <x:v>КГ</x:v>
      </x:c>
      <x:c r="F296" s="24" t="n">
        <x:v>1.785</x:v>
      </x:c>
      <x:c r="G296" s="17" t="n">
        <x:v>110.0806</x:v>
      </x:c>
      <x:c r="H296" s="17" t="n">
        <x:f>G296*F296</x:f>
        <x:v>196.49387099999998</x:v>
      </x:c>
      <x:c r="I296" s="26" t="str">
        <x:f>HYPERLINK("https://etp-aktiv.ru/catalog/materialy/metizy/2000068418-W122/","Открыть позицию")</x:f>
        <x:v>Открыть позицию</x:v>
      </x:c>
    </x:row>
    <x:row r="297" ht="28" customHeight="1">
      <x:c r="A297" s="16" t="str">
        <x:v>Рубцовский ТЭК</x:v>
      </x:c>
      <x:c r="B297" s="16" t="str">
        <x:v>2000068347-W122</x:v>
      </x:c>
      <x:c r="C297" s="16" t="str">
        <x:v>БОЛТ М16*90 ГОСТ7798-70</x:v>
      </x:c>
      <x:c r="D297" s="16" t="str">
        <x:v>Метизы</x:v>
      </x:c>
      <x:c r="E297" s="16" t="str">
        <x:v>КГ</x:v>
      </x:c>
      <x:c r="F297" s="24" t="n">
        <x:v>2.042</x:v>
      </x:c>
      <x:c r="G297" s="17" t="n">
        <x:v>99.9058</x:v>
      </x:c>
      <x:c r="H297" s="17" t="n">
        <x:f>G297*F297</x:f>
        <x:v>204.00764359999997</x:v>
      </x:c>
      <x:c r="I297" s="26" t="str">
        <x:f>HYPERLINK("https://etp-aktiv.ru/catalog/materialy/metizy/2000068347-W122/","Открыть позицию")</x:f>
        <x:v>Открыть позицию</x:v>
      </x:c>
    </x:row>
    <x:row r="298" ht="28" customHeight="1">
      <x:c r="A298" s="16" t="str">
        <x:v>Рубцовский ТЭК</x:v>
      </x:c>
      <x:c r="B298" s="16" t="str">
        <x:v>2000142910-W122</x:v>
      </x:c>
      <x:c r="C298" s="16" t="str">
        <x:v>БОЛТ М18*100 ГОСТ7798-70</x:v>
      </x:c>
      <x:c r="D298" s="16" t="str">
        <x:v>Метизы</x:v>
      </x:c>
      <x:c r="E298" s="16" t="str">
        <x:v>КГ</x:v>
      </x:c>
      <x:c r="F298" s="24" t="n">
        <x:v>58.18899999999999</x:v>
      </x:c>
      <x:c r="G298" s="17" t="n">
        <x:v>116.76619999999998</x:v>
      </x:c>
      <x:c r="H298" s="17" t="n">
        <x:f>G298*F298</x:f>
        <x:v>6794.508411799999</x:v>
      </x:c>
      <x:c r="I298" s="26" t="str">
        <x:f>HYPERLINK("https://etp-aktiv.ru/catalog/materialy/metizy/2000142910-W122/","Открыть позицию")</x:f>
        <x:v>Открыть позицию</x:v>
      </x:c>
    </x:row>
    <x:row r="299" ht="28" customHeight="1">
      <x:c r="A299" s="16" t="str">
        <x:v>Рубцовский ТЭК</x:v>
      </x:c>
      <x:c r="B299" s="16" t="str">
        <x:v>2000068426-W122</x:v>
      </x:c>
      <x:c r="C299" s="16" t="str">
        <x:v>БОЛТ М18*70 ГОСТ7805-70</x:v>
      </x:c>
      <x:c r="D299" s="16" t="str">
        <x:v>Метизы</x:v>
      </x:c>
      <x:c r="E299" s="16" t="str">
        <x:v>КГ</x:v>
      </x:c>
      <x:c r="F299" s="24" t="n">
        <x:v>3.7</x:v>
      </x:c>
      <x:c r="G299" s="17" t="n">
        <x:v>108.763</x:v>
      </x:c>
      <x:c r="H299" s="17" t="n">
        <x:f>G299*F299</x:f>
        <x:v>402.42310000000003</x:v>
      </x:c>
      <x:c r="I299" s="26" t="str">
        <x:f>HYPERLINK("https://etp-aktiv.ru/catalog/materialy/metizy/2000068426-W122/","Открыть позицию")</x:f>
        <x:v>Открыть позицию</x:v>
      </x:c>
    </x:row>
    <x:row r="300" ht="28" customHeight="1">
      <x:c r="A300" s="16" t="str">
        <x:v>Рубцовский ТЭК</x:v>
      </x:c>
      <x:c r="B300" s="16" t="str">
        <x:v>2000131424-W122</x:v>
      </x:c>
      <x:c r="C300" s="16" t="str">
        <x:v>БОЛТ М18*80 ГОСТ7798-70</x:v>
      </x:c>
      <x:c r="D300" s="16" t="str">
        <x:v>Метизы Спец</x:v>
      </x:c>
      <x:c r="E300" s="16" t="str">
        <x:v>КГ</x:v>
      </x:c>
      <x:c r="F300" s="30" t="n">
        <x:v>0.5</x:v>
      </x:c>
      <x:c r="G300" s="17" t="n">
        <x:v>95.3552</x:v>
      </x:c>
      <x:c r="H300" s="17" t="n">
        <x:f>G300*F300</x:f>
        <x:v>47.6776</x:v>
      </x:c>
      <x:c r="I300" s="26" t="str">
        <x:f>HYPERLINK("https://etp-aktiv.ru/catalog/materialy/metizy/2000131424-W122/","Открыть позицию")</x:f>
        <x:v>Открыть позицию</x:v>
      </x:c>
    </x:row>
    <x:row r="301" ht="28" customHeight="1">
      <x:c r="A301" s="16" t="str">
        <x:v>Рубцовский ТЭК</x:v>
      </x:c>
      <x:c r="B301" s="16" t="str">
        <x:v>2000529973-W122</x:v>
      </x:c>
      <x:c r="C301" s="16" t="str">
        <x:v>БОЛТ М20*110 ГОСТ7795-70</x:v>
      </x:c>
      <x:c r="D301" s="16" t="str">
        <x:v>Метизы</x:v>
      </x:c>
      <x:c r="E301" s="16" t="str">
        <x:v>КГ</x:v>
      </x:c>
      <x:c r="F301" s="30" t="n">
        <x:v>0.709</x:v>
      </x:c>
      <x:c r="G301" s="17" t="n">
        <x:v>94.9892</x:v>
      </x:c>
      <x:c r="H301" s="17" t="n">
        <x:f>G301*F301</x:f>
        <x:v>67.34734279999999</x:v>
      </x:c>
      <x:c r="I301" s="26" t="str">
        <x:f>HYPERLINK("https://etp-aktiv.ru/catalog/materialy/metizy/2000529973-W122/","Открыть позицию")</x:f>
        <x:v>Открыть позицию</x:v>
      </x:c>
    </x:row>
    <x:row r="302" ht="28" customHeight="1">
      <x:c r="A302" s="16" t="str">
        <x:v>Рубцовский ТЭК</x:v>
      </x:c>
      <x:c r="B302" s="16" t="str">
        <x:v>2000068309-W122</x:v>
      </x:c>
      <x:c r="C302" s="16" t="str">
        <x:v>БОЛТ М20*110 ГОСТ7798-70</x:v>
      </x:c>
      <x:c r="D302" s="16" t="str">
        <x:v>Метизы</x:v>
      </x:c>
      <x:c r="E302" s="16" t="str">
        <x:v>КГ</x:v>
      </x:c>
      <x:c r="F302" s="24" t="n">
        <x:v>4.347</x:v>
      </x:c>
      <x:c r="G302" s="17" t="n">
        <x:v>124.04960000000001</x:v>
      </x:c>
      <x:c r="H302" s="17" t="n">
        <x:f>G302*F302</x:f>
        <x:v>539.2436112000001</x:v>
      </x:c>
      <x:c r="I302" s="26" t="str">
        <x:f>HYPERLINK("https://etp-aktiv.ru/catalog/materialy/metizy/2000068309-W122/","Открыть позицию")</x:f>
        <x:v>Открыть позицию</x:v>
      </x:c>
    </x:row>
    <x:row r="303" ht="28" customHeight="1">
      <x:c r="A303" s="16" t="str">
        <x:v>Рубцовский ТЭК</x:v>
      </x:c>
      <x:c r="B303" s="16" t="str">
        <x:v>2000142915-W122</x:v>
      </x:c>
      <x:c r="C303" s="16" t="str">
        <x:v>БОЛТ М22*120 ГОСТ7798-70</x:v>
      </x:c>
      <x:c r="D303" s="16" t="str">
        <x:v>Метизы</x:v>
      </x:c>
      <x:c r="E303" s="16" t="str">
        <x:v>КГ</x:v>
      </x:c>
      <x:c r="F303" s="24" t="n">
        <x:v>40.504000000000005</x:v>
      </x:c>
      <x:c r="G303" s="17" t="n">
        <x:v>104.5174</x:v>
      </x:c>
      <x:c r="H303" s="17" t="n">
        <x:f>G303*F303</x:f>
        <x:v>4233.3727696000005</x:v>
      </x:c>
      <x:c r="I303" s="26" t="str">
        <x:f>HYPERLINK("https://etp-aktiv.ru/catalog/materialy/metizy/2000142915-W122/","Открыть позицию")</x:f>
        <x:v>Открыть позицию</x:v>
      </x:c>
    </x:row>
    <x:row r="304" ht="28" customHeight="1">
      <x:c r="A304" s="16" t="str">
        <x:v>Рубцовский ТЭК</x:v>
      </x:c>
      <x:c r="B304" s="16" t="str">
        <x:v>2000818672-W122</x:v>
      </x:c>
      <x:c r="C304" s="16" t="str">
        <x:v>БОЛТ ОТКИДНОЙ М12*100 4.6 ЦИНК DIN444</x:v>
      </x:c>
      <x:c r="D304" s="16" t="str">
        <x:v>Метизы</x:v>
      </x:c>
      <x:c r="E304" s="16" t="str">
        <x:v>КГ</x:v>
      </x:c>
      <x:c r="F304" s="24" t="n">
        <x:v>1.2</x:v>
      </x:c>
      <x:c r="G304" s="17" t="n">
        <x:v>2560.7434</x:v>
      </x:c>
      <x:c r="H304" s="17" t="n">
        <x:f>G304*F304</x:f>
        <x:v>3072.8920799999996</x:v>
      </x:c>
      <x:c r="I304" s="26" t="str">
        <x:f>HYPERLINK("https://etp-aktiv.ru/catalog/materialy/metizy/2000818672-W122/","Открыть позицию")</x:f>
        <x:v>Открыть позицию</x:v>
      </x:c>
    </x:row>
    <x:row r="305" ht="28" customHeight="1">
      <x:c r="A305" s="16" t="str">
        <x:v>Рубцовский ТЭК</x:v>
      </x:c>
      <x:c r="B305" s="16" t="str">
        <x:v>2000068474-W122</x:v>
      </x:c>
      <x:c r="C305" s="16" t="str">
        <x:v>ГАЙКА М12 ГОСТ5915-70</x:v>
      </x:c>
      <x:c r="D305" s="16" t="str">
        <x:v>Метизы</x:v>
      </x:c>
      <x:c r="E305" s="16" t="str">
        <x:v>КГ</x:v>
      </x:c>
      <x:c r="F305" s="24" t="n">
        <x:v>8.338000000000001</x:v>
      </x:c>
      <x:c r="G305" s="17" t="n">
        <x:v>126.9044</x:v>
      </x:c>
      <x:c r="H305" s="17" t="n">
        <x:f>G305*F305</x:f>
        <x:v>1058.1288872</x:v>
      </x:c>
      <x:c r="I305" s="26" t="str">
        <x:f>HYPERLINK("https://etp-aktiv.ru/catalog/materialy/metizy/2000068474-W122/","Открыть позицию")</x:f>
        <x:v>Открыть позицию</x:v>
      </x:c>
    </x:row>
    <x:row r="306" ht="28" customHeight="1">
      <x:c r="A306" s="16" t="str">
        <x:v>Рубцовский ТЭК</x:v>
      </x:c>
      <x:c r="B306" s="16" t="str">
        <x:v>2000530048-W122</x:v>
      </x:c>
      <x:c r="C306" s="16" t="str">
        <x:v>ГАЙКА М12-6H.10 S18 СТ40Х ГОСТ5915-70</x:v>
      </x:c>
      <x:c r="D306" s="16" t="str">
        <x:v>Метизы Спец</x:v>
      </x:c>
      <x:c r="E306" s="16" t="str">
        <x:v>КГ</x:v>
      </x:c>
      <x:c r="F306" s="30" t="n">
        <x:v>0.12</x:v>
      </x:c>
      <x:c r="G306" s="17" t="n">
        <x:v>232.41</x:v>
      </x:c>
      <x:c r="H306" s="17" t="n">
        <x:f>G306*F306</x:f>
        <x:v>27.8892</x:v>
      </x:c>
      <x:c r="I306" s="26" t="str">
        <x:f>HYPERLINK("https://etp-aktiv.ru/catalog/materialy/metizy/2000530048-W122/","Открыть позицию")</x:f>
        <x:v>Открыть позицию</x:v>
      </x:c>
    </x:row>
    <x:row r="307" ht="28" customHeight="1">
      <x:c r="A307" s="16" t="str">
        <x:v>Рубцовский ТЭК</x:v>
      </x:c>
      <x:c r="B307" s="16" t="str">
        <x:v>2000068476-W122</x:v>
      </x:c>
      <x:c r="C307" s="16" t="str">
        <x:v>ГАЙКА М18 ГОСТ5915-70</x:v>
      </x:c>
      <x:c r="D307" s="16" t="str">
        <x:v>Метизы</x:v>
      </x:c>
      <x:c r="E307" s="16" t="str">
        <x:v>КГ</x:v>
      </x:c>
      <x:c r="F307" s="24" t="n">
        <x:v>16.195</x:v>
      </x:c>
      <x:c r="G307" s="17" t="n">
        <x:v>189.1</x:v>
      </x:c>
      <x:c r="H307" s="17" t="n">
        <x:f>G307*F307</x:f>
        <x:v>3062.4745</x:v>
      </x:c>
      <x:c r="I307" s="26" t="str">
        <x:f>HYPERLINK("https://etp-aktiv.ru/catalog/materialy/metizy/2000068476-W122/","Открыть позицию")</x:f>
        <x:v>Открыть позицию</x:v>
      </x:c>
    </x:row>
    <x:row r="308" ht="28" customHeight="1">
      <x:c r="A308" s="16" t="str">
        <x:v>Рубцовский ТЭК</x:v>
      </x:c>
      <x:c r="B308" s="16" t="str">
        <x:v>2000150088-W122</x:v>
      </x:c>
      <x:c r="C308" s="16" t="str">
        <x:v>ГАЙКА М18 ГОСТ5927-70</x:v>
      </x:c>
      <x:c r="D308" s="16" t="str">
        <x:v>Метизы</x:v>
      </x:c>
      <x:c r="E308" s="16" t="str">
        <x:v>КГ</x:v>
      </x:c>
      <x:c r="F308" s="24" t="n">
        <x:v>4.264</x:v>
      </x:c>
      <x:c r="G308" s="17" t="n">
        <x:v>153.6346</x:v>
      </x:c>
      <x:c r="H308" s="17" t="n">
        <x:f>G308*F308</x:f>
        <x:v>655.0979344000001</x:v>
      </x:c>
      <x:c r="I308" s="26" t="str">
        <x:f>HYPERLINK("https://etp-aktiv.ru/catalog/materialy/metizy/2000150088-W122/","Открыть позицию")</x:f>
        <x:v>Открыть позицию</x:v>
      </x:c>
    </x:row>
    <x:row r="309" ht="28" customHeight="1">
      <x:c r="A309" s="16" t="str">
        <x:v>Рубцовский ТЭК</x:v>
      </x:c>
      <x:c r="B309" s="16" t="str">
        <x:v>2000570215-W122</x:v>
      </x:c>
      <x:c r="C309" s="16" t="str">
        <x:v>ГАЙКА М20*1,5-6H 1,5 ГОСТ5927-70 5</x:v>
      </x:c>
      <x:c r="D309" s="16" t="str">
        <x:v>Метизы</x:v>
      </x:c>
      <x:c r="E309" s="16" t="str">
        <x:v>КГ</x:v>
      </x:c>
      <x:c r="F309" s="24" t="n">
        <x:v>1.1</x:v>
      </x:c>
      <x:c r="G309" s="17" t="n">
        <x:v>2112.674</x:v>
      </x:c>
      <x:c r="H309" s="17" t="n">
        <x:f>G309*F309</x:f>
        <x:v>2323.9414</x:v>
      </x:c>
      <x:c r="I309" s="26" t="str">
        <x:f>HYPERLINK("https://etp-aktiv.ru/catalog/materialy/metizy/2000570215-W122/","Открыть позицию")</x:f>
        <x:v>Открыть позицию</x:v>
      </x:c>
    </x:row>
    <x:row r="310" ht="28" customHeight="1">
      <x:c r="A310" s="16" t="str">
        <x:v>Рубцовский ТЭК</x:v>
      </x:c>
      <x:c r="B310" s="16" t="str">
        <x:v>2000530064-W122</x:v>
      </x:c>
      <x:c r="C310" s="16" t="str">
        <x:v>ГАЙКА М20-6H.06 СТ20 ГОСТ5915-70</x:v>
      </x:c>
      <x:c r="D310" s="16" t="str">
        <x:v>Метизы</x:v>
      </x:c>
      <x:c r="E310" s="16" t="str">
        <x:v>КГ</x:v>
      </x:c>
      <x:c r="F310" s="24" t="n">
        <x:v>3.6</x:v>
      </x:c>
      <x:c r="G310" s="17" t="n">
        <x:v>121.3168</x:v>
      </x:c>
      <x:c r="H310" s="17" t="n">
        <x:f>G310*F310</x:f>
        <x:v>436.74048</x:v>
      </x:c>
      <x:c r="I310" s="26" t="str">
        <x:f>HYPERLINK("https://etp-aktiv.ru/catalog/materialy/metizy/2000530064-W122/","Открыть позицию")</x:f>
        <x:v>Открыть позицию</x:v>
      </x:c>
    </x:row>
    <x:row r="311" ht="28" customHeight="1">
      <x:c r="A311" s="16" t="str">
        <x:v>Рубцовский ТЭК</x:v>
      </x:c>
      <x:c r="B311" s="16" t="str">
        <x:v>2000177882-W122</x:v>
      </x:c>
      <x:c r="C311" s="16" t="str">
        <x:v>ГАЙКА М20.8 ГОСТ5915-70</x:v>
      </x:c>
      <x:c r="D311" s="16" t="str">
        <x:v>Метизы</x:v>
      </x:c>
      <x:c r="E311" s="16" t="str">
        <x:v>КГ</x:v>
      </x:c>
      <x:c r="F311" s="24" t="n">
        <x:v>2.236</x:v>
      </x:c>
      <x:c r="G311" s="17" t="n">
        <x:v>154.6716</x:v>
      </x:c>
      <x:c r="H311" s="17" t="n">
        <x:f>G311*F311</x:f>
        <x:v>345.84569760000005</x:v>
      </x:c>
      <x:c r="I311" s="26" t="str">
        <x:f>HYPERLINK("https://etp-aktiv.ru/catalog/materialy/metizy/2000177882-W122/","Открыть позицию")</x:f>
        <x:v>Открыть позицию</x:v>
      </x:c>
    </x:row>
    <x:row r="312" ht="28" customHeight="1">
      <x:c r="A312" s="16" t="str">
        <x:v>Рубцовский ТЭК</x:v>
      </x:c>
      <x:c r="B312" s="16" t="str">
        <x:v>2000148442-W122</x:v>
      </x:c>
      <x:c r="C312" s="16" t="str">
        <x:v>ГАЙКА М5 ГОСТ15526-70</x:v>
      </x:c>
      <x:c r="D312" s="16" t="str">
        <x:v>Метизы Спец</x:v>
      </x:c>
      <x:c r="E312" s="16" t="str">
        <x:v>ШТ</x:v>
      </x:c>
      <x:c r="F312" s="25" t="n">
        <x:v>500</x:v>
      </x:c>
      <x:c r="G312" s="17" t="n">
        <x:v>0.8662</x:v>
      </x:c>
      <x:c r="H312" s="17" t="n">
        <x:f>G312*F312</x:f>
        <x:v>433.09999999999997</x:v>
      </x:c>
      <x:c r="I312" s="26" t="str">
        <x:f>HYPERLINK("https://etp-aktiv.ru/catalog/materialy/metizy/2000148442-W122/","Открыть позицию")</x:f>
        <x:v>Открыть позицию</x:v>
      </x:c>
    </x:row>
    <x:row r="313" ht="28" customHeight="1">
      <x:c r="A313" s="16" t="str">
        <x:v>Рубцовский ТЭК</x:v>
      </x:c>
      <x:c r="B313" s="16" t="str">
        <x:v>2000530102-W122</x:v>
      </x:c>
      <x:c r="C313" s="16" t="str">
        <x:v>ГВОЗДЬ П 3*80 ГОСТ4028-63</x:v>
      </x:c>
      <x:c r="D313" s="16" t="str">
        <x:v>Метизы</x:v>
      </x:c>
      <x:c r="E313" s="16" t="str">
        <x:v>КГ</x:v>
      </x:c>
      <x:c r="F313" s="25" t="n">
        <x:v>10</x:v>
      </x:c>
      <x:c r="G313" s="17" t="n">
        <x:v>59.4628</x:v>
      </x:c>
      <x:c r="H313" s="17" t="n">
        <x:f>G313*F313</x:f>
        <x:v>594.628</x:v>
      </x:c>
      <x:c r="I313" s="26" t="str">
        <x:f>HYPERLINK("https://etp-aktiv.ru/catalog/materialy/metizy/2000530102-W122/","Открыть позицию")</x:f>
        <x:v>Открыть позицию</x:v>
      </x:c>
    </x:row>
    <x:row r="314" ht="28" customHeight="1">
      <x:c r="A314" s="16" t="str">
        <x:v>Рубцовский ТЭК</x:v>
      </x:c>
      <x:c r="B314" s="16" t="str">
        <x:v>2000114200-W122</x:v>
      </x:c>
      <x:c r="C314" s="16" t="str">
        <x:v>ДЮБЕЛЬ 6*40 ГОСТ28456-90</x:v>
      </x:c>
      <x:c r="D314" s="16" t="str">
        <x:v>Метизы Спец</x:v>
      </x:c>
      <x:c r="E314" s="16" t="str">
        <x:v>ШТ</x:v>
      </x:c>
      <x:c r="F314" s="25" t="n">
        <x:v>400</x:v>
      </x:c>
      <x:c r="G314" s="17" t="n">
        <x:v>0.7075999999999999</x:v>
      </x:c>
      <x:c r="H314" s="17" t="n">
        <x:f>G314*F314</x:f>
        <x:v>283.03999999999996</x:v>
      </x:c>
      <x:c r="I314" s="26" t="str">
        <x:f>HYPERLINK("https://etp-aktiv.ru/catalog/materialy/metizy/2000114200-W122/","Открыть позицию")</x:f>
        <x:v>Открыть позицию</x:v>
      </x:c>
    </x:row>
    <x:row r="315" ht="28" customHeight="1">
      <x:c r="A315" s="16" t="str">
        <x:v>Рубцовский ТЭК</x:v>
      </x:c>
      <x:c r="B315" s="16" t="str">
        <x:v>2000131540-W122</x:v>
      </x:c>
      <x:c r="C315" s="16" t="str">
        <x:v>КВАДРАТ СТ3 50*50ММ ГОСТ2591-2006</x:v>
      </x:c>
      <x:c r="D315" s="16" t="str">
        <x:v>М/прокат прочий</x:v>
      </x:c>
      <x:c r="E315" s="16" t="str">
        <x:v>Т</x:v>
      </x:c>
      <x:c r="F315" s="30" t="n">
        <x:v>0.234</x:v>
      </x:c>
      <x:c r="G315" s="17" t="n">
        <x:v>110030.58</x:v>
      </x:c>
      <x:c r="H315" s="17" t="n">
        <x:f>G315*F315</x:f>
        <x:v>25747.155720000002</x:v>
      </x:c>
      <x:c r="I315" s="26" t="str">
        <x:f>HYPERLINK("https://etp-aktiv.ru/catalog/materialy/metalloprodukciya/2000131540-W122/","Открыть позицию")</x:f>
        <x:v>Открыть позицию</x:v>
      </x:c>
    </x:row>
    <x:row r="316" ht="28" customHeight="1">
      <x:c r="A316" s="16" t="str">
        <x:v>Рубцовский ТЭК</x:v>
      </x:c>
      <x:c r="B316" s="16" t="str">
        <x:v>2000555749-W122</x:v>
      </x:c>
      <x:c r="C316" s="16" t="str">
        <x:v>КВАДРАТ СТ45 50ММ ГОСТ2591-2006</x:v>
      </x:c>
      <x:c r="D316" s="16" t="str">
        <x:v>М/прокат прочий</x:v>
      </x:c>
      <x:c r="E316" s="16" t="str">
        <x:v>Т</x:v>
      </x:c>
      <x:c r="F316" s="24" t="n">
        <x:v>5.613</x:v>
      </x:c>
      <x:c r="G316" s="17" t="n">
        <x:v>93195.8</x:v>
      </x:c>
      <x:c r="H316" s="17" t="n">
        <x:f>G316*F316</x:f>
        <x:v>523108.02540000004</x:v>
      </x:c>
      <x:c r="I316" s="26" t="str">
        <x:f>HYPERLINK("https://etp-aktiv.ru/catalog/materialy/metalloprodukciya/2000555749-W122/","Открыть позицию")</x:f>
        <x:v>Открыть позицию</x:v>
      </x:c>
    </x:row>
    <x:row r="317" ht="28" customHeight="1">
      <x:c r="A317" s="16" t="str">
        <x:v>Рубцовский ТЭК</x:v>
      </x:c>
      <x:c r="B317" s="16" t="str">
        <x:v>2000555545-W122</x:v>
      </x:c>
      <x:c r="C317" s="16" t="str">
        <x:v>КРУГ 12Х1МФ D180ММ ГОСТ20072-74</x:v>
      </x:c>
      <x:c r="D317" s="16" t="str">
        <x:v>М/прокат нерж сталь</x:v>
      </x:c>
      <x:c r="E317" s="16" t="str">
        <x:v>Т</x:v>
      </x:c>
      <x:c r="F317" s="30" t="n">
        <x:v>0.07</x:v>
      </x:c>
      <x:c r="G317" s="17" t="n">
        <x:v>135058.8068</x:v>
      </x:c>
      <x:c r="H317" s="17" t="n">
        <x:f>G317*F317</x:f>
        <x:v>9454.116476000001</x:v>
      </x:c>
      <x:c r="I317" s="26" t="str">
        <x:f>HYPERLINK("https://etp-aktiv.ru/catalog/materialy/metalloprodukciya/2000555545-W122/","Открыть позицию")</x:f>
        <x:v>Открыть позицию</x:v>
      </x:c>
    </x:row>
    <x:row r="318" ht="28" customHeight="1">
      <x:c r="A318" s="16" t="str">
        <x:v>Рубцовский ТЭК</x:v>
      </x:c>
      <x:c r="B318" s="16" t="str">
        <x:v>2000555765-W122</x:v>
      </x:c>
      <x:c r="C318" s="16" t="str">
        <x:v>КРУГ СТ20 D140ММ ГОСТ2590-2006</x:v>
      </x:c>
      <x:c r="D318" s="16" t="str">
        <x:v>М/прокат черный</x:v>
      </x:c>
      <x:c r="E318" s="16" t="str">
        <x:v>Т</x:v>
      </x:c>
      <x:c r="F318" s="30" t="n">
        <x:v>0.365</x:v>
      </x:c>
      <x:c r="G318" s="17" t="n">
        <x:v>67710</x:v>
      </x:c>
      <x:c r="H318" s="17" t="n">
        <x:f>G318*F318</x:f>
        <x:v>24714.149999999998</x:v>
      </x:c>
      <x:c r="I318" s="26" t="str">
        <x:f>HYPERLINK("https://etp-aktiv.ru/catalog/materialy/metalloprodukciya/2000555765-W122/","Открыть позицию")</x:f>
        <x:v>Открыть позицию</x:v>
      </x:c>
    </x:row>
    <x:row r="319" ht="28" customHeight="1">
      <x:c r="A319" s="16" t="str">
        <x:v>Рубцовский ТЭК</x:v>
      </x:c>
      <x:c r="B319" s="16" t="str">
        <x:v>2000028683-W122</x:v>
      </x:c>
      <x:c r="C319" s="16" t="str">
        <x:v>КРУГ СТ20 D20ММ ГОСТ1050-88</x:v>
      </x:c>
      <x:c r="D319" s="16" t="str">
        <x:v>М/прокат черный</x:v>
      </x:c>
      <x:c r="E319" s="16" t="str">
        <x:v>Т</x:v>
      </x:c>
      <x:c r="F319" s="30" t="n">
        <x:v>0.083</x:v>
      </x:c>
      <x:c r="G319" s="17" t="n">
        <x:v>67710</x:v>
      </x:c>
      <x:c r="H319" s="17" t="n">
        <x:f>G319*F319</x:f>
        <x:v>5619.93</x:v>
      </x:c>
      <x:c r="I319" s="26" t="str">
        <x:f>HYPERLINK("https://etp-aktiv.ru/catalog/materialy/metalloprodukciya/2000028683-W122/","Открыть позицию")</x:f>
        <x:v>Открыть позицию</x:v>
      </x:c>
    </x:row>
    <x:row r="320" ht="28" customHeight="1">
      <x:c r="A320" s="16" t="str">
        <x:v>Рубцовский ТЭК</x:v>
      </x:c>
      <x:c r="B320" s="16" t="str">
        <x:v>2000148524-W122</x:v>
      </x:c>
      <x:c r="C320" s="16" t="str">
        <x:v>КРУГ СТ20 D24ММ ГОСТ2590-88</x:v>
      </x:c>
      <x:c r="D320" s="16" t="str">
        <x:v>М/прокат черный</x:v>
      </x:c>
      <x:c r="E320" s="16" t="str">
        <x:v>Т</x:v>
      </x:c>
      <x:c r="F320" s="30" t="n">
        <x:v>0.07</x:v>
      </x:c>
      <x:c r="G320" s="17" t="n">
        <x:v>39167.7584</x:v>
      </x:c>
      <x:c r="H320" s="17" t="n">
        <x:f>G320*F320</x:f>
        <x:v>2741.743088</x:v>
      </x:c>
      <x:c r="I320" s="26" t="str">
        <x:f>HYPERLINK("https://etp-aktiv.ru/catalog/materialy/metalloprodukciya/2000148524-W122/","Открыть позицию")</x:f>
        <x:v>Открыть позицию</x:v>
      </x:c>
    </x:row>
    <x:row r="321" ht="28" customHeight="1">
      <x:c r="A321" s="16" t="str">
        <x:v>Рубцовский ТЭК</x:v>
      </x:c>
      <x:c r="B321" s="16" t="str">
        <x:v>2000555805-W122</x:v>
      </x:c>
      <x:c r="C321" s="16" t="str">
        <x:v>КРУГ СТ20 D330ММ ГОСТ2590-2006</x:v>
      </x:c>
      <x:c r="D321" s="16" t="str">
        <x:v>М/прокат черный</x:v>
      </x:c>
      <x:c r="E321" s="16" t="str">
        <x:v>Т</x:v>
      </x:c>
      <x:c r="F321" s="30" t="n">
        <x:v>0.289</x:v>
      </x:c>
      <x:c r="G321" s="17" t="n">
        <x:v>156160</x:v>
      </x:c>
      <x:c r="H321" s="17" t="n">
        <x:f>G321*F321</x:f>
        <x:v>45130.24</x:v>
      </x:c>
      <x:c r="I321" s="26" t="str">
        <x:f>HYPERLINK("https://etp-aktiv.ru/catalog/materialy/metalloprodukciya/2000555805-W122/","Открыть позицию")</x:f>
        <x:v>Открыть позицию</x:v>
      </x:c>
    </x:row>
    <x:row r="322" ht="28" customHeight="1">
      <x:c r="A322" s="16" t="str">
        <x:v>Рубцовский ТЭК</x:v>
      </x:c>
      <x:c r="B322" s="16" t="str">
        <x:v>2000028686-W122</x:v>
      </x:c>
      <x:c r="C322" s="16" t="str">
        <x:v>КРУГ СТ20 D60ММ ГОСТ1050-88</x:v>
      </x:c>
      <x:c r="D322" s="16" t="str">
        <x:v>М/прокат черный</x:v>
      </x:c>
      <x:c r="E322" s="16" t="str">
        <x:v>Т</x:v>
      </x:c>
      <x:c r="F322" s="30" t="n">
        <x:v>0.154</x:v>
      </x:c>
      <x:c r="G322" s="17" t="n">
        <x:v>68934.026</x:v>
      </x:c>
      <x:c r="H322" s="17" t="n">
        <x:f>G322*F322</x:f>
        <x:v>10615.840004</x:v>
      </x:c>
      <x:c r="I322" s="26" t="str">
        <x:f>HYPERLINK("https://etp-aktiv.ru/catalog/materialy/metalloprodukciya/2000028686-W122/","Открыть позицию")</x:f>
        <x:v>Открыть позицию</x:v>
      </x:c>
    </x:row>
    <x:row r="323" ht="28" customHeight="1">
      <x:c r="A323" s="16" t="str">
        <x:v>Рубцовский ТЭК</x:v>
      </x:c>
      <x:c r="B323" s="16" t="str">
        <x:v>2000014878-W122</x:v>
      </x:c>
      <x:c r="C323" s="16" t="str">
        <x:v>КРУГ СТ3 D120ММ ГОСТ2590-2006</x:v>
      </x:c>
      <x:c r="D323" s="16" t="str">
        <x:v>М/прокат черный</x:v>
      </x:c>
      <x:c r="E323" s="16" t="str">
        <x:v>Т</x:v>
      </x:c>
      <x:c r="F323" s="30" t="n">
        <x:v>0.533</x:v>
      </x:c>
      <x:c r="G323" s="17" t="n">
        <x:v>66795</x:v>
      </x:c>
      <x:c r="H323" s="17" t="n">
        <x:f>G323*F323</x:f>
        <x:v>35601.735</x:v>
      </x:c>
      <x:c r="I323" s="26" t="str">
        <x:f>HYPERLINK("https://etp-aktiv.ru/catalog/materialy/metalloprodukciya/2000014878-W122/","Открыть позицию")</x:f>
        <x:v>Открыть позицию</x:v>
      </x:c>
    </x:row>
    <x:row r="324" ht="28" customHeight="1">
      <x:c r="A324" s="16" t="str">
        <x:v>Рубцовский ТЭК</x:v>
      </x:c>
      <x:c r="B324" s="16" t="str">
        <x:v>2000014879-W122</x:v>
      </x:c>
      <x:c r="C324" s="16" t="str">
        <x:v>КРУГ СТ3 D140ММ ГОСТ2590-2006</x:v>
      </x:c>
      <x:c r="D324" s="16" t="str">
        <x:v>М/прокат черный</x:v>
      </x:c>
      <x:c r="E324" s="16" t="str">
        <x:v>Т</x:v>
      </x:c>
      <x:c r="F324" s="30" t="n">
        <x:v>0.911</x:v>
      </x:c>
      <x:c r="G324" s="17" t="n">
        <x:v>51809.849799999996</x:v>
      </x:c>
      <x:c r="H324" s="17" t="n">
        <x:f>G324*F324</x:f>
        <x:v>47198.7731678</x:v>
      </x:c>
      <x:c r="I324" s="26" t="str">
        <x:f>HYPERLINK("https://etp-aktiv.ru/catalog/materialy/metalloprodukciya/2000014879-W122/","Открыть позицию")</x:f>
        <x:v>Открыть позицию</x:v>
      </x:c>
    </x:row>
    <x:row r="325" ht="28" customHeight="1">
      <x:c r="A325" s="16" t="str">
        <x:v>Рубцовский ТЭК</x:v>
      </x:c>
      <x:c r="B325" s="16" t="str">
        <x:v>2000015037-W122</x:v>
      </x:c>
      <x:c r="C325" s="16" t="str">
        <x:v>КРУГ СТ3 D18ММ ГОСТ2590-2006</x:v>
      </x:c>
      <x:c r="D325" s="16" t="str">
        <x:v>М/прокат черный</x:v>
      </x:c>
      <x:c r="E325" s="16" t="str">
        <x:v>Т</x:v>
      </x:c>
      <x:c r="F325" s="30" t="n">
        <x:v>0.09</x:v>
      </x:c>
      <x:c r="G325" s="17" t="n">
        <x:v>47916.48819999999</x:v>
      </x:c>
      <x:c r="H325" s="17" t="n">
        <x:f>G325*F325</x:f>
        <x:v>4312.483937999999</x:v>
      </x:c>
      <x:c r="I325" s="26" t="str">
        <x:f>HYPERLINK("https://etp-aktiv.ru/catalog/materialy/metalloprodukciya/2000015037-W122/","Открыть позицию")</x:f>
        <x:v>Открыть позицию</x:v>
      </x:c>
    </x:row>
    <x:row r="326" ht="28" customHeight="1">
      <x:c r="A326" s="16" t="str">
        <x:v>Рубцовский ТЭК</x:v>
      </x:c>
      <x:c r="B326" s="16" t="str">
        <x:v>2000253419-W122</x:v>
      </x:c>
      <x:c r="C326" s="16" t="str">
        <x:v>КРУГ СТ3 D200ММ ГОСТ2590-88</x:v>
      </x:c>
      <x:c r="D326" s="16" t="str">
        <x:v>М/прокат черный</x:v>
      </x:c>
      <x:c r="E326" s="16" t="str">
        <x:v>Т</x:v>
      </x:c>
      <x:c r="F326" s="30" t="n">
        <x:v>0.681</x:v>
      </x:c>
      <x:c r="G326" s="17" t="n">
        <x:v>59976.908</x:v>
      </x:c>
      <x:c r="H326" s="17" t="n">
        <x:f>G326*F326</x:f>
        <x:v>40844.274348000006</x:v>
      </x:c>
      <x:c r="I326" s="26" t="str">
        <x:f>HYPERLINK("https://etp-aktiv.ru/catalog/materialy/metalloprodukciya/2000253419-W122/","Открыть позицию")</x:f>
        <x:v>Открыть позицию</x:v>
      </x:c>
    </x:row>
    <x:row r="327" ht="28" customHeight="1">
      <x:c r="A327" s="16" t="str">
        <x:v>Рубцовский ТЭК</x:v>
      </x:c>
      <x:c r="B327" s="16" t="str">
        <x:v>2000028694-W122</x:v>
      </x:c>
      <x:c r="C327" s="16" t="str">
        <x:v>КРУГ СТ3 D250ММ ГОСТ2590-88</x:v>
      </x:c>
      <x:c r="D327" s="16" t="str">
        <x:v>М/прокат черный</x:v>
      </x:c>
      <x:c r="E327" s="16" t="str">
        <x:v>Т</x:v>
      </x:c>
      <x:c r="F327" s="30" t="n">
        <x:v>0.151</x:v>
      </x:c>
      <x:c r="G327" s="17" t="n">
        <x:v>59293.3664</x:v>
      </x:c>
      <x:c r="H327" s="17" t="n">
        <x:f>G327*F327</x:f>
        <x:v>8953.2983264</x:v>
      </x:c>
      <x:c r="I327" s="26" t="str">
        <x:f>HYPERLINK("https://etp-aktiv.ru/catalog/materialy/metalloprodukciya/2000028694-W122/","Открыть позицию")</x:f>
        <x:v>Открыть позицию</x:v>
      </x:c>
    </x:row>
    <x:row r="328" ht="28" customHeight="1">
      <x:c r="A328" s="16" t="str">
        <x:v>Рубцовский ТЭК</x:v>
      </x:c>
      <x:c r="B328" s="16" t="str">
        <x:v>2000015013-W122</x:v>
      </x:c>
      <x:c r="C328" s="16" t="str">
        <x:v>КРУГ СТ3 D42ММ ГОСТ2590-2006</x:v>
      </x:c>
      <x:c r="D328" s="16" t="str">
        <x:v>М/прокат черный</x:v>
      </x:c>
      <x:c r="E328" s="16" t="str">
        <x:v>Т</x:v>
      </x:c>
      <x:c r="F328" s="30" t="n">
        <x:v>0.083</x:v>
      </x:c>
      <x:c r="G328" s="17" t="n">
        <x:v>66929.383</x:v>
      </x:c>
      <x:c r="H328" s="17" t="n">
        <x:f>G328*F328</x:f>
        <x:v>5555.1387890000005</x:v>
      </x:c>
      <x:c r="I328" s="26" t="str">
        <x:f>HYPERLINK("https://etp-aktiv.ru/catalog/materialy/metalloprodukciya/2000015013-W122/","Открыть позицию")</x:f>
        <x:v>Открыть позицию</x:v>
      </x:c>
    </x:row>
    <x:row r="329" ht="28" customHeight="1">
      <x:c r="A329" s="16" t="str">
        <x:v>Рубцовский ТЭК</x:v>
      </x:c>
      <x:c r="B329" s="16" t="str">
        <x:v>2000015114-W122</x:v>
      </x:c>
      <x:c r="C329" s="16" t="str">
        <x:v>КРУГ СТ40Х D120ММ ГОСТ4543-71</x:v>
      </x:c>
      <x:c r="D329" s="16" t="str">
        <x:v>М/прокат черный</x:v>
      </x:c>
      <x:c r="E329" s="16" t="str">
        <x:v>Т</x:v>
      </x:c>
      <x:c r="F329" s="30" t="n">
        <x:v>0.186</x:v>
      </x:c>
      <x:c r="G329" s="17" t="n">
        <x:v>64797.6038</x:v>
      </x:c>
      <x:c r="H329" s="17" t="n">
        <x:f>G329*F329</x:f>
        <x:v>12052.3543068</x:v>
      </x:c>
      <x:c r="I329" s="26" t="str">
        <x:f>HYPERLINK("https://etp-aktiv.ru/catalog/materialy/metalloprodukciya/2000015114-W122/","Открыть позицию")</x:f>
        <x:v>Открыть позицию</x:v>
      </x:c>
    </x:row>
    <x:row r="330" ht="28" customHeight="1">
      <x:c r="A330" s="16" t="str">
        <x:v>Рубцовский ТЭК</x:v>
      </x:c>
      <x:c r="B330" s="16" t="str">
        <x:v>2000015116-W122</x:v>
      </x:c>
      <x:c r="C330" s="16" t="str">
        <x:v>КРУГ СТ40Х D140ММ ГОСТ4543-71</x:v>
      </x:c>
      <x:c r="D330" s="16" t="str">
        <x:v>М/прокат черный</x:v>
      </x:c>
      <x:c r="E330" s="16" t="str">
        <x:v>Т</x:v>
      </x:c>
      <x:c r="F330" s="30" t="n">
        <x:v>0.711</x:v>
      </x:c>
      <x:c r="G330" s="17" t="n">
        <x:v>88084</x:v>
      </x:c>
      <x:c r="H330" s="17" t="n">
        <x:f>G330*F330</x:f>
        <x:v>62627.723999999995</x:v>
      </x:c>
      <x:c r="I330" s="26" t="str">
        <x:f>HYPERLINK("https://etp-aktiv.ru/catalog/materialy/metalloprodukciya/2000015116-W122/","Открыть позицию")</x:f>
        <x:v>Открыть позицию</x:v>
      </x:c>
    </x:row>
    <x:row r="331" ht="28" customHeight="1">
      <x:c r="A331" s="16" t="str">
        <x:v>Рубцовский ТЭК</x:v>
      </x:c>
      <x:c r="B331" s="16" t="str">
        <x:v>2000015062-W122</x:v>
      </x:c>
      <x:c r="C331" s="16" t="str">
        <x:v>КРУГ СТ40Х D90ММ ГОСТ4543-71</x:v>
      </x:c>
      <x:c r="D331" s="16" t="str">
        <x:v>М/прокат черный</x:v>
      </x:c>
      <x:c r="E331" s="16" t="str">
        <x:v>Т</x:v>
      </x:c>
      <x:c r="F331" s="30" t="n">
        <x:v>0.3</x:v>
      </x:c>
      <x:c r="G331" s="17" t="n">
        <x:v>29471.966999999997</x:v>
      </x:c>
      <x:c r="H331" s="17" t="n">
        <x:f>G331*F331</x:f>
        <x:v>8841.5901</x:v>
      </x:c>
      <x:c r="I331" s="26" t="str">
        <x:f>HYPERLINK("https://etp-aktiv.ru/catalog/materialy/metalloprodukciya/2000015062-W122/","Открыть позицию")</x:f>
        <x:v>Открыть позицию</x:v>
      </x:c>
    </x:row>
    <x:row r="332" ht="28" customHeight="1">
      <x:c r="A332" s="16" t="str">
        <x:v>Рубцовский ТЭК</x:v>
      </x:c>
      <x:c r="B332" s="16" t="str">
        <x:v>2000067761-W122</x:v>
      </x:c>
      <x:c r="C332" s="16" t="str">
        <x:v>КРУГ СТ45 D280ММ ГОСТ1050-88</x:v>
      </x:c>
      <x:c r="D332" s="16" t="str">
        <x:v>М/прокат черный</x:v>
      </x:c>
      <x:c r="E332" s="16" t="str">
        <x:v>Т</x:v>
      </x:c>
      <x:c r="F332" s="30" t="n">
        <x:v>0.4</x:v>
      </x:c>
      <x:c r="G332" s="17" t="n">
        <x:v>52081.3486</x:v>
      </x:c>
      <x:c r="H332" s="17" t="n">
        <x:f>G332*F332</x:f>
        <x:v>20832.53944</x:v>
      </x:c>
      <x:c r="I332" s="26" t="str">
        <x:f>HYPERLINK("https://etp-aktiv.ru/catalog/materialy/metalloprodukciya/2000067761-W122/","Открыть позицию")</x:f>
        <x:v>Открыть позицию</x:v>
      </x:c>
    </x:row>
    <x:row r="333" ht="28" customHeight="1">
      <x:c r="A333" s="16" t="str">
        <x:v>Рубцовский ТЭК</x:v>
      </x:c>
      <x:c r="B333" s="16" t="str">
        <x:v>2000014908-W122</x:v>
      </x:c>
      <x:c r="C333" s="16" t="str">
        <x:v>КРУГ СТ45 D45ММ ГОСТ1050-88</x:v>
      </x:c>
      <x:c r="D333" s="16" t="str">
        <x:v>М/прокат черный</x:v>
      </x:c>
      <x:c r="E333" s="16" t="str">
        <x:v>Т</x:v>
      </x:c>
      <x:c r="F333" s="30" t="n">
        <x:v>0.396</x:v>
      </x:c>
      <x:c r="G333" s="17" t="n">
        <x:v>28521.440599999998</x:v>
      </x:c>
      <x:c r="H333" s="17" t="n">
        <x:f>G333*F333</x:f>
        <x:v>11294.4904776</x:v>
      </x:c>
      <x:c r="I333" s="26" t="str">
        <x:f>HYPERLINK("https://etp-aktiv.ru/catalog/materialy/metalloprodukciya/2000014908-W122/","Открыть позицию")</x:f>
        <x:v>Открыть позицию</x:v>
      </x:c>
    </x:row>
    <x:row r="334" ht="28" customHeight="1">
      <x:c r="A334" s="16" t="str">
        <x:v>Рубцовский ТЭК</x:v>
      </x:c>
      <x:c r="B334" s="16" t="str">
        <x:v>2000014909-W122</x:v>
      </x:c>
      <x:c r="C334" s="16" t="str">
        <x:v>КРУГ СТ45 D50ММ ГОСТ1050-88</x:v>
      </x:c>
      <x:c r="D334" s="16" t="str">
        <x:v>М/прокат черный</x:v>
      </x:c>
      <x:c r="E334" s="16" t="str">
        <x:v>Т</x:v>
      </x:c>
      <x:c r="F334" s="30" t="n">
        <x:v>0.093</x:v>
      </x:c>
      <x:c r="G334" s="17" t="n">
        <x:v>56272.5</x:v>
      </x:c>
      <x:c r="H334" s="17" t="n">
        <x:f>G334*F334</x:f>
        <x:v>5233.3425</x:v>
      </x:c>
      <x:c r="I334" s="26" t="str">
        <x:f>HYPERLINK("https://etp-aktiv.ru/catalog/materialy/metalloprodukciya/2000014909-W122/","Открыть позицию")</x:f>
        <x:v>Открыть позицию</x:v>
      </x:c>
    </x:row>
    <x:row r="335" ht="28" customHeight="1">
      <x:c r="A335" s="16" t="str">
        <x:v>Рубцовский ТЭК</x:v>
      </x:c>
      <x:c r="B335" s="16" t="str">
        <x:v>2000114300-W122</x:v>
      </x:c>
      <x:c r="C335" s="16" t="str">
        <x:v>КРУГ СТ45 D60ММ ГОСТ1050-88</x:v>
      </x:c>
      <x:c r="D335" s="16" t="str">
        <x:v>М/прокат черный</x:v>
      </x:c>
      <x:c r="E335" s="16" t="str">
        <x:v>Т</x:v>
      </x:c>
      <x:c r="F335" s="30" t="n">
        <x:v>0.069</x:v>
      </x:c>
      <x:c r="G335" s="17" t="n">
        <x:v>68625</x:v>
      </x:c>
      <x:c r="H335" s="17" t="n">
        <x:f>G335*F335</x:f>
        <x:v>4735.125</x:v>
      </x:c>
      <x:c r="I335" s="26" t="str">
        <x:f>HYPERLINK("https://etp-aktiv.ru/catalog/materialy/metalloprodukciya/2000114300-W122/","Открыть позицию")</x:f>
        <x:v>Открыть позицию</x:v>
      </x:c>
    </x:row>
    <x:row r="336" ht="28" customHeight="1">
      <x:c r="A336" s="16" t="str">
        <x:v>Рубцовский ТЭК</x:v>
      </x:c>
      <x:c r="B336" s="16" t="str">
        <x:v>2000174430-W122</x:v>
      </x:c>
      <x:c r="C336" s="16" t="str">
        <x:v>КРУГ СТ45Х D50ММ ГОСТ2590-2006</x:v>
      </x:c>
      <x:c r="D336" s="16" t="str">
        <x:v>М/прокат черный</x:v>
      </x:c>
      <x:c r="E336" s="16" t="str">
        <x:v>Т</x:v>
      </x:c>
      <x:c r="F336" s="30" t="n">
        <x:v>0.324</x:v>
      </x:c>
      <x:c r="G336" s="17" t="n">
        <x:v>101260</x:v>
      </x:c>
      <x:c r="H336" s="17" t="n">
        <x:f>G336*F336</x:f>
        <x:v>32808.24</x:v>
      </x:c>
      <x:c r="I336" s="26" t="str">
        <x:f>HYPERLINK("https://etp-aktiv.ru/catalog/materialy/metalloprodukciya/2000174430-W122/","Открыть позицию")</x:f>
        <x:v>Открыть позицию</x:v>
      </x:c>
    </x:row>
    <x:row r="337" ht="28" customHeight="1">
      <x:c r="A337" s="16" t="str">
        <x:v>Рубцовский ТЭК</x:v>
      </x:c>
      <x:c r="B337" s="16" t="str">
        <x:v>2000210951-W122</x:v>
      </x:c>
      <x:c r="C337" s="16" t="str">
        <x:v>ЛИСТ 12Х18Н10Т 3ММ ГОСТ5582-75</x:v>
      </x:c>
      <x:c r="D337" s="16" t="str">
        <x:v>М/прокат нерж сталь</x:v>
      </x:c>
      <x:c r="E337" s="16" t="str">
        <x:v>Т</x:v>
      </x:c>
      <x:c r="F337" s="30" t="n">
        <x:v>0.048</x:v>
      </x:c>
      <x:c r="G337" s="17" t="n">
        <x:v>73200</x:v>
      </x:c>
      <x:c r="H337" s="17" t="n">
        <x:f>G337*F337</x:f>
        <x:v>3513.6</x:v>
      </x:c>
      <x:c r="I337" s="26" t="str">
        <x:f>HYPERLINK("https://etp-aktiv.ru/catalog/materialy/metalloprodukciya/2000210951-W122/","Открыть позицию")</x:f>
        <x:v>Открыть позицию</x:v>
      </x:c>
    </x:row>
    <x:row r="338" ht="28" customHeight="1">
      <x:c r="A338" s="16" t="str">
        <x:v>Рубцовский ТЭК</x:v>
      </x:c>
      <x:c r="B338" s="16" t="str">
        <x:v>2000379726-W122</x:v>
      </x:c>
      <x:c r="C338" s="16" t="str">
        <x:v>ЛИСТ А5 3*1500*3000 ГОСТ21631-76</x:v>
      </x:c>
      <x:c r="D338" s="16" t="str">
        <x:v>М/прокат цветной</x:v>
      </x:c>
      <x:c r="E338" s="16" t="str">
        <x:v>КГ</x:v>
      </x:c>
      <x:c r="F338" s="25" t="n">
        <x:v>24</x:v>
      </x:c>
      <x:c r="G338" s="17" t="n">
        <x:v>346.10179999999997</x:v>
      </x:c>
      <x:c r="H338" s="17" t="n">
        <x:f>G338*F338</x:f>
        <x:v>8306.4432</x:v>
      </x:c>
      <x:c r="I338" s="26" t="str">
        <x:f>HYPERLINK("https://etp-aktiv.ru/catalog/materialy/metalloprodukciya/2000379726-W122/","Открыть позицию")</x:f>
        <x:v>Открыть позицию</x:v>
      </x:c>
    </x:row>
    <x:row r="339" ht="28" customHeight="1">
      <x:c r="A339" s="16" t="str">
        <x:v>Рубцовский ТЭК</x:v>
      </x:c>
      <x:c r="B339" s="16" t="str">
        <x:v>2000556190-W122</x:v>
      </x:c>
      <x:c r="C339" s="16" t="str">
        <x:v>ЛИСТ А5М 0,5*1200*3000 ГОСТ21631-76</x:v>
      </x:c>
      <x:c r="D339" s="16" t="str">
        <x:v>М/прокат цветной</x:v>
      </x:c>
      <x:c r="E339" s="16" t="str">
        <x:v>КГ</x:v>
      </x:c>
      <x:c r="F339" s="24" t="n">
        <x:v>2.1</x:v>
      </x:c>
      <x:c r="G339" s="17" t="n">
        <x:v>886.3543999999999</x:v>
      </x:c>
      <x:c r="H339" s="17" t="n">
        <x:f>G339*F339</x:f>
        <x:v>1861.34424</x:v>
      </x:c>
      <x:c r="I339" s="26" t="str">
        <x:f>HYPERLINK("https://etp-aktiv.ru/catalog/materialy/metalloprodukciya/2000556190-W122/","Открыть позицию")</x:f>
        <x:v>Открыть позицию</x:v>
      </x:c>
    </x:row>
    <x:row r="340" ht="28" customHeight="1">
      <x:c r="A340" s="16" t="str">
        <x:v>Рубцовский ТЭК</x:v>
      </x:c>
      <x:c r="B340" s="16" t="str">
        <x:v>2000148351-W122</x:v>
      </x:c>
      <x:c r="C340" s="16" t="str">
        <x:v>ЛИСТ Г/К СТ3 20ММ ГОСТ19903-74</x:v>
      </x:c>
      <x:c r="D340" s="16" t="str">
        <x:v>М/прокат черный</x:v>
      </x:c>
      <x:c r="E340" s="16" t="str">
        <x:v>Т</x:v>
      </x:c>
      <x:c r="F340" s="24" t="n">
        <x:v>1.271</x:v>
      </x:c>
      <x:c r="G340" s="17" t="n">
        <x:v>90974.5826</x:v>
      </x:c>
      <x:c r="H340" s="17" t="n">
        <x:f>G340*F340</x:f>
        <x:v>115628.69448459998</x:v>
      </x:c>
      <x:c r="I340" s="26" t="str">
        <x:f>HYPERLINK("https://etp-aktiv.ru/catalog/materialy/metalloprodukciya/2000148351-W122/","Открыть позицию")</x:f>
        <x:v>Открыть позицию</x:v>
      </x:c>
    </x:row>
    <x:row r="341" ht="28" customHeight="1">
      <x:c r="A341" s="16" t="str">
        <x:v>Рубцовский ТЭК</x:v>
      </x:c>
      <x:c r="B341" s="16" t="str">
        <x:v>2000164735-W122</x:v>
      </x:c>
      <x:c r="C341" s="16" t="str">
        <x:v>ЛИСТ Г/К СТ3 30ММ ГОСТ19903-74</x:v>
      </x:c>
      <x:c r="D341" s="16" t="str">
        <x:v>М/прокат черный</x:v>
      </x:c>
      <x:c r="E341" s="16" t="str">
        <x:v>Т</x:v>
      </x:c>
      <x:c r="F341" s="24" t="n">
        <x:v>1.762</x:v>
      </x:c>
      <x:c r="G341" s="17" t="n">
        <x:v>96354.1726</x:v>
      </x:c>
      <x:c r="H341" s="17" t="n">
        <x:f>G341*F341</x:f>
        <x:v>169776.05212120002</x:v>
      </x:c>
      <x:c r="I341" s="26" t="str">
        <x:f>HYPERLINK("https://etp-aktiv.ru/catalog/materialy/metalloprodukciya/2000164735-W122/","Открыть позицию")</x:f>
        <x:v>Открыть позицию</x:v>
      </x:c>
    </x:row>
    <x:row r="342" ht="28" customHeight="1">
      <x:c r="A342" s="16" t="str">
        <x:v>Рубцовский ТЭК</x:v>
      </x:c>
      <x:c r="B342" s="16" t="str">
        <x:v>2000148208-W122</x:v>
      </x:c>
      <x:c r="C342" s="16" t="str">
        <x:v>ЛИСТ Г/К СТ3 6ММ ГОСТ19903-74</x:v>
      </x:c>
      <x:c r="D342" s="16" t="str">
        <x:v>М/прокат черный</x:v>
      </x:c>
      <x:c r="E342" s="16" t="str">
        <x:v>Т</x:v>
      </x:c>
      <x:c r="F342" s="30" t="n">
        <x:v>0.169</x:v>
      </x:c>
      <x:c r="G342" s="17" t="n">
        <x:v>47360.07060000001</x:v>
      </x:c>
      <x:c r="H342" s="17" t="n">
        <x:f>G342*F342</x:f>
        <x:v>8003.851931400001</x:v>
      </x:c>
      <x:c r="I342" s="26" t="str">
        <x:f>HYPERLINK("https://etp-aktiv.ru/catalog/materialy/metalloprodukciya/2000148208-W122/","Открыть позицию")</x:f>
        <x:v>Открыть позицию</x:v>
      </x:c>
    </x:row>
    <x:row r="343" ht="28" customHeight="1">
      <x:c r="A343" s="16" t="str">
        <x:v>Рубцовский ТЭК</x:v>
      </x:c>
      <x:c r="B343" s="16" t="str">
        <x:v>2000326417-W122</x:v>
      </x:c>
      <x:c r="C343" s="16" t="str">
        <x:v>ЛИСТ ПВЛ 406 СТ3 4*1200*2100 ТУ3626.11</x:v>
      </x:c>
      <x:c r="D343" s="16" t="str">
        <x:v>М/прокат черный</x:v>
      </x:c>
      <x:c r="E343" s="16" t="str">
        <x:v>Т</x:v>
      </x:c>
      <x:c r="F343" s="30" t="n">
        <x:v>0.199</x:v>
      </x:c>
      <x:c r="G343" s="17" t="n">
        <x:v>95985.1592</x:v>
      </x:c>
      <x:c r="H343" s="17" t="n">
        <x:f>G343*F343</x:f>
        <x:v>19101.0466808</x:v>
      </x:c>
      <x:c r="I343" s="26" t="str">
        <x:f>HYPERLINK("https://etp-aktiv.ru/catalog/materialy/metalloprodukciya/2000326417-W122/","Открыть позицию")</x:f>
        <x:v>Открыть позицию</x:v>
      </x:c>
    </x:row>
    <x:row r="344" ht="28" customHeight="1">
      <x:c r="A344" s="16" t="str">
        <x:v>Рубцовский ТЭК</x:v>
      </x:c>
      <x:c r="B344" s="16" t="str">
        <x:v>2000548465-W122</x:v>
      </x:c>
      <x:c r="C344" s="16" t="str">
        <x:v>ЛИСТ ПВЛ 506 СТ3 13*1000*3060 ГОСТ8706</x:v>
      </x:c>
      <x:c r="D344" s="16" t="str">
        <x:v>М/прокат черный</x:v>
      </x:c>
      <x:c r="E344" s="16" t="str">
        <x:v>Т</x:v>
      </x:c>
      <x:c r="F344" s="30" t="n">
        <x:v>0.04</x:v>
      </x:c>
      <x:c r="G344" s="17" t="n">
        <x:v>92415</x:v>
      </x:c>
      <x:c r="H344" s="17" t="n">
        <x:f>G344*F344</x:f>
        <x:v>3696.6</x:v>
      </x:c>
      <x:c r="I344" s="26" t="str">
        <x:f>HYPERLINK("https://etp-aktiv.ru/catalog/materialy/metalloprodukciya/2000548465-W122/","Открыть позицию")</x:f>
        <x:v>Открыть позицию</x:v>
      </x:c>
    </x:row>
    <x:row r="345" ht="28" customHeight="1">
      <x:c r="A345" s="16" t="str">
        <x:v>Рубцовский ТЭК</x:v>
      </x:c>
      <x:c r="B345" s="16" t="str">
        <x:v>2000570028-W122</x:v>
      </x:c>
      <x:c r="C345" s="16" t="str">
        <x:v>ЛИСТ РОМБ СТ3 4*1250*1450 ГОСТ8568-77</x:v>
      </x:c>
      <x:c r="D345" s="16" t="str">
        <x:v>М/прокат черный</x:v>
      </x:c>
      <x:c r="E345" s="16" t="str">
        <x:v>Т</x:v>
      </x:c>
      <x:c r="F345" s="30" t="n">
        <x:v>0.108</x:v>
      </x:c>
      <x:c r="G345" s="17" t="n">
        <x:v>51943.7936</x:v>
      </x:c>
      <x:c r="H345" s="17" t="n">
        <x:f>G345*F345</x:f>
        <x:v>5609.929708799999</x:v>
      </x:c>
      <x:c r="I345" s="26" t="str">
        <x:f>HYPERLINK("https://etp-aktiv.ru/catalog/materialy/metalloprodukciya/2000570028-W122/","Открыть позицию")</x:f>
        <x:v>Открыть позицию</x:v>
      </x:c>
    </x:row>
    <x:row r="346" ht="28" customHeight="1">
      <x:c r="A346" s="16" t="str">
        <x:v>Рубцовский ТЭК</x:v>
      </x:c>
      <x:c r="B346" s="16" t="str">
        <x:v>2000555984-W122</x:v>
      </x:c>
      <x:c r="C346" s="16" t="str">
        <x:v>ЛИСТ РОМБ СТ3 ПВ1 406 ГОСТ380-2005</x:v>
      </x:c>
      <x:c r="D346" s="16" t="str">
        <x:v>М/прокат черный</x:v>
      </x:c>
      <x:c r="E346" s="16" t="str">
        <x:v>Т</x:v>
      </x:c>
      <x:c r="F346" s="30" t="n">
        <x:v>0.087</x:v>
      </x:c>
      <x:c r="G346" s="17" t="n">
        <x:v>104618.782</x:v>
      </x:c>
      <x:c r="H346" s="17" t="n">
        <x:f>G346*F346</x:f>
        <x:v>9101.834034</x:v>
      </x:c>
      <x:c r="I346" s="26" t="str">
        <x:f>HYPERLINK("https://etp-aktiv.ru/catalog/materialy/metalloprodukciya/2000555984-W122/","Открыть позицию")</x:f>
        <x:v>Открыть позицию</x:v>
      </x:c>
    </x:row>
    <x:row r="347" ht="28" customHeight="1">
      <x:c r="A347" s="16" t="str">
        <x:v>Рубцовский ТЭК</x:v>
      </x:c>
      <x:c r="B347" s="16" t="str">
        <x:v>2000015042-W122</x:v>
      </x:c>
      <x:c r="C347" s="16" t="str">
        <x:v>ЛИСТ СТ0-3 "РИФЛ" 6ММ ГОСТ8568-77</x:v>
      </x:c>
      <x:c r="D347" s="16" t="str">
        <x:v>М/прокат черный</x:v>
      </x:c>
      <x:c r="E347" s="16" t="str">
        <x:v>Т</x:v>
      </x:c>
      <x:c r="F347" s="24" t="n">
        <x:v>1.745</x:v>
      </x:c>
      <x:c r="G347" s="17" t="n">
        <x:v>74205.707</x:v>
      </x:c>
      <x:c r="H347" s="17" t="n">
        <x:f>G347*F347</x:f>
        <x:v>129488.958715</x:v>
      </x:c>
      <x:c r="I347" s="26" t="str">
        <x:f>HYPERLINK("https://etp-aktiv.ru/catalog/materialy/metalloprodukciya/2000015042-W122/","Открыть позицию")</x:f>
        <x:v>Открыть позицию</x:v>
      </x:c>
    </x:row>
    <x:row r="348" ht="28" customHeight="1">
      <x:c r="A348" s="16" t="str">
        <x:v>Рубцовский ТЭК</x:v>
      </x:c>
      <x:c r="B348" s="16" t="str">
        <x:v>2000555963-W122</x:v>
      </x:c>
      <x:c r="C348" s="16" t="str">
        <x:v>ЛИСТ СТ08 1,2*1250*2500 ГОСТ1050-2013</x:v>
      </x:c>
      <x:c r="D348" s="16" t="str">
        <x:v>М/прокат черный</x:v>
      </x:c>
      <x:c r="E348" s="16" t="str">
        <x:v>Т</x:v>
      </x:c>
      <x:c r="F348" s="24" t="n">
        <x:v>1.102</x:v>
      </x:c>
      <x:c r="G348" s="17" t="n">
        <x:v>78990.9008</x:v>
      </x:c>
      <x:c r="H348" s="17" t="n">
        <x:f>G348*F348</x:f>
        <x:v>87047.9726816</x:v>
      </x:c>
      <x:c r="I348" s="26" t="str">
        <x:f>HYPERLINK("https://etp-aktiv.ru/catalog/materialy/metalloprodukciya/2000555963-W122/","Открыть позицию")</x:f>
        <x:v>Открыть позицию</x:v>
      </x:c>
    </x:row>
    <x:row r="349" ht="28" customHeight="1">
      <x:c r="A349" s="16" t="str">
        <x:v>Рубцовский ТЭК</x:v>
      </x:c>
      <x:c r="B349" s="16" t="str">
        <x:v>2000555994-W122</x:v>
      </x:c>
      <x:c r="C349" s="16" t="str">
        <x:v>ЛИСТ СТ08 ОЦ 0,5*1250*2500 ГОСТ 14918</x:v>
      </x:c>
      <x:c r="D349" s="16" t="str">
        <x:v>М/прокат черный</x:v>
      </x:c>
      <x:c r="E349" s="16" t="str">
        <x:v>Т</x:v>
      </x:c>
      <x:c r="F349" s="30" t="n">
        <x:v>0.005</x:v>
      </x:c>
      <x:c r="G349" s="17" t="n">
        <x:v>45569.0618</x:v>
      </x:c>
      <x:c r="H349" s="17" t="n">
        <x:f>G349*F349</x:f>
        <x:v>227.84530900000001</x:v>
      </x:c>
      <x:c r="I349" s="26" t="str">
        <x:f>HYPERLINK("https://etp-aktiv.ru/catalog/materialy/metalloprodukciya/2000555994-W122/","Открыть позицию")</x:f>
        <x:v>Открыть позицию</x:v>
      </x:c>
    </x:row>
    <x:row r="350" ht="28" customHeight="1">
      <x:c r="A350" s="16" t="str">
        <x:v>Рубцовский ТЭК</x:v>
      </x:c>
      <x:c r="B350" s="16" t="str">
        <x:v>2000555995-W122</x:v>
      </x:c>
      <x:c r="C350" s="16" t="str">
        <x:v>ЛИСТ СТ08 ОЦ 0,55*1250*2500 ГОСТ14918</x:v>
      </x:c>
      <x:c r="D350" s="16" t="str">
        <x:v>М/прокат черный</x:v>
      </x:c>
      <x:c r="E350" s="16" t="str">
        <x:v>Т</x:v>
      </x:c>
      <x:c r="F350" s="30" t="n">
        <x:v>0.059</x:v>
      </x:c>
      <x:c r="G350" s="17" t="n">
        <x:v>40886.189399999996</x:v>
      </x:c>
      <x:c r="H350" s="17" t="n">
        <x:f>G350*F350</x:f>
        <x:v>2412.2851745999997</x:v>
      </x:c>
      <x:c r="I350" s="26" t="str">
        <x:f>HYPERLINK("https://etp-aktiv.ru/catalog/materialy/metalloprodukciya/2000555995-W122/","Открыть позицию")</x:f>
        <x:v>Открыть позицию</x:v>
      </x:c>
    </x:row>
    <x:row r="351" ht="28" customHeight="1">
      <x:c r="A351" s="16" t="str">
        <x:v>Рубцовский ТЭК</x:v>
      </x:c>
      <x:c r="B351" s="16" t="str">
        <x:v>2000555998-W122</x:v>
      </x:c>
      <x:c r="C351" s="16" t="str">
        <x:v>ЛИСТ СТ08 ОЦ 0,8ММ ГОСТ14918-80</x:v>
      </x:c>
      <x:c r="D351" s="16" t="str">
        <x:v>М/прокат черный</x:v>
      </x:c>
      <x:c r="E351" s="16" t="str">
        <x:v>Т</x:v>
      </x:c>
      <x:c r="F351" s="30" t="n">
        <x:v>0.018</x:v>
      </x:c>
      <x:c r="G351" s="17" t="n">
        <x:v>47487.4874</x:v>
      </x:c>
      <x:c r="H351" s="17" t="n">
        <x:f>G351*F351</x:f>
        <x:v>854.7747731999999</x:v>
      </x:c>
      <x:c r="I351" s="26" t="str">
        <x:f>HYPERLINK("https://etp-aktiv.ru/catalog/materialy/metalloprodukciya/2000555998-W122/","Открыть позицию")</x:f>
        <x:v>Открыть позицию</x:v>
      </x:c>
    </x:row>
    <x:row r="352" ht="28" customHeight="1">
      <x:c r="A352" s="16" t="str">
        <x:v>Рубцовский ТЭК</x:v>
      </x:c>
      <x:c r="B352" s="16" t="str">
        <x:v>2000555902-W122</x:v>
      </x:c>
      <x:c r="C352" s="16" t="str">
        <x:v>ЛИСТ СТ20 6ММ ГОСТ1577-93</x:v>
      </x:c>
      <x:c r="D352" s="16" t="str">
        <x:v>М/прокат черный</x:v>
      </x:c>
      <x:c r="E352" s="16" t="str">
        <x:v>Т</x:v>
      </x:c>
      <x:c r="F352" s="30" t="n">
        <x:v>0.28</x:v>
      </x:c>
      <x:c r="G352" s="17" t="n">
        <x:v>130715.0212</x:v>
      </x:c>
      <x:c r="H352" s="17" t="n">
        <x:f>G352*F352</x:f>
        <x:v>36600.205936000006</x:v>
      </x:c>
      <x:c r="I352" s="26" t="str">
        <x:f>HYPERLINK("https://etp-aktiv.ru/catalog/materialy/metalloprodukciya/2000555902-W122/","Открыть позицию")</x:f>
        <x:v>Открыть позицию</x:v>
      </x:c>
    </x:row>
    <x:row r="353" ht="28" customHeight="1">
      <x:c r="A353" s="16" t="str">
        <x:v>Рубцовский ТЭК</x:v>
      </x:c>
      <x:c r="B353" s="16" t="str">
        <x:v>2000029567-W122</x:v>
      </x:c>
      <x:c r="C353" s="16" t="str">
        <x:v>ЛИСТ СТ3 100ММ ГОСТ14637-89</x:v>
      </x:c>
      <x:c r="D353" s="16" t="str">
        <x:v>М/прокат черный</x:v>
      </x:c>
      <x:c r="E353" s="16" t="str">
        <x:v>Т</x:v>
      </x:c>
      <x:c r="F353" s="30" t="n">
        <x:v>0.583</x:v>
      </x:c>
      <x:c r="G353" s="17" t="n">
        <x:v>79330.5</x:v>
      </x:c>
      <x:c r="H353" s="17" t="n">
        <x:f>G353*F353</x:f>
        <x:v>46249.6815</x:v>
      </x:c>
      <x:c r="I353" s="26" t="str">
        <x:f>HYPERLINK("https://etp-aktiv.ru/catalog/materialy/metalloprodukciya/2000029567-W122/","Открыть позицию")</x:f>
        <x:v>Открыть позицию</x:v>
      </x:c>
    </x:row>
    <x:row r="354" ht="28" customHeight="1">
      <x:c r="A354" s="16" t="str">
        <x:v>Рубцовский ТЭК</x:v>
      </x:c>
      <x:c r="B354" s="16" t="str">
        <x:v>2000148548-W122</x:v>
      </x:c>
      <x:c r="C354" s="16" t="str">
        <x:v>ЛИСТ СТ3 14ММ ГОСТ19904-90</x:v>
      </x:c>
      <x:c r="D354" s="16" t="str">
        <x:v>М/прокат черный</x:v>
      </x:c>
      <x:c r="E354" s="16" t="str">
        <x:v>Т</x:v>
      </x:c>
      <x:c r="F354" s="30" t="n">
        <x:v>0.994</x:v>
      </x:c>
      <x:c r="G354" s="17" t="n">
        <x:v>80978.842</x:v>
      </x:c>
      <x:c r="H354" s="17" t="n">
        <x:f>G354*F354</x:f>
        <x:v>80492.96894800001</x:v>
      </x:c>
      <x:c r="I354" s="26" t="str">
        <x:f>HYPERLINK("https://etp-aktiv.ru/catalog/materialy/metalloprodukciya/2000148548-W122/","Открыть позицию")</x:f>
        <x:v>Открыть позицию</x:v>
      </x:c>
    </x:row>
    <x:row r="355" ht="28" customHeight="1">
      <x:c r="A355" s="16" t="str">
        <x:v>Рубцовский ТЭК</x:v>
      </x:c>
      <x:c r="B355" s="16" t="str">
        <x:v>2000555968-W122</x:v>
      </x:c>
      <x:c r="C355" s="16" t="str">
        <x:v>ЛИСТ СТ3 2*1250*2500 ГОСТ380-2005</x:v>
      </x:c>
      <x:c r="D355" s="16" t="str">
        <x:v>М/прокат черный</x:v>
      </x:c>
      <x:c r="E355" s="16" t="str">
        <x:v>Т</x:v>
      </x:c>
      <x:c r="F355" s="30" t="n">
        <x:v>0.013</x:v>
      </x:c>
      <x:c r="G355" s="17" t="n">
        <x:v>39958.049999999996</x:v>
      </x:c>
      <x:c r="H355" s="17" t="n">
        <x:f>G355*F355</x:f>
        <x:v>519.4546499999999</x:v>
      </x:c>
      <x:c r="I355" s="26" t="str">
        <x:f>HYPERLINK("https://etp-aktiv.ru/catalog/materialy/metalloprodukciya/2000555968-W122/","Открыть позицию")</x:f>
        <x:v>Открыть позицию</x:v>
      </x:c>
    </x:row>
    <x:row r="356" ht="28" customHeight="1">
      <x:c r="A356" s="16" t="str">
        <x:v>Рубцовский ТЭК</x:v>
      </x:c>
      <x:c r="B356" s="16" t="str">
        <x:v>2000148551-W122</x:v>
      </x:c>
      <x:c r="C356" s="16" t="str">
        <x:v>ЛИСТ СТ3 20ММ ГОСТ19904-90</x:v>
      </x:c>
      <x:c r="D356" s="16" t="str">
        <x:v>М/прокат черный</x:v>
      </x:c>
      <x:c r="E356" s="16" t="str">
        <x:v>Т</x:v>
      </x:c>
      <x:c r="F356" s="24" t="n">
        <x:v>4.742</x:v>
      </x:c>
      <x:c r="G356" s="17" t="n">
        <x:v>79159.6024</x:v>
      </x:c>
      <x:c r="H356" s="17" t="n">
        <x:f>G356*F356</x:f>
        <x:v>375374.83458080003</x:v>
      </x:c>
      <x:c r="I356" s="26" t="str">
        <x:f>HYPERLINK("https://etp-aktiv.ru/catalog/materialy/metalloprodukciya/2000148551-W122/","Открыть позицию")</x:f>
        <x:v>Открыть позицию</x:v>
      </x:c>
    </x:row>
    <x:row r="357" ht="28" customHeight="1">
      <x:c r="A357" s="16" t="str">
        <x:v>Рубцовский ТЭК</x:v>
      </x:c>
      <x:c r="B357" s="16" t="str">
        <x:v>2000015302-W122</x:v>
      </x:c>
      <x:c r="C357" s="16" t="str">
        <x:v>ЛИСТ СТ3 3ММ ГОСТ16523-97</x:v>
      </x:c>
      <x:c r="D357" s="16" t="str">
        <x:v>М/прокат черный</x:v>
      </x:c>
      <x:c r="E357" s="16" t="str">
        <x:v>Т</x:v>
      </x:c>
      <x:c r="F357" s="30" t="n">
        <x:v>0.031</x:v>
      </x:c>
      <x:c r="G357" s="17" t="n">
        <x:v>49237.6262</x:v>
      </x:c>
      <x:c r="H357" s="17" t="n">
        <x:f>G357*F357</x:f>
        <x:v>1526.3664122</x:v>
      </x:c>
      <x:c r="I357" s="26" t="str">
        <x:f>HYPERLINK("https://etp-aktiv.ru/catalog/materialy/metalloprodukciya/2000015302-W122/","Открыть позицию")</x:f>
        <x:v>Открыть позицию</x:v>
      </x:c>
    </x:row>
    <x:row r="358" ht="28" customHeight="1">
      <x:c r="A358" s="16" t="str">
        <x:v>Рубцовский ТЭК</x:v>
      </x:c>
      <x:c r="B358" s="16" t="str">
        <x:v>2000309915-W122</x:v>
      </x:c>
      <x:c r="C358" s="16" t="str">
        <x:v>ЛИСТ СТ3 4*1250*6000 ГОСТ8568-77</x:v>
      </x:c>
      <x:c r="D358" s="16" t="str">
        <x:v>М/прокат черный</x:v>
      </x:c>
      <x:c r="E358" s="16" t="str">
        <x:v>Т</x:v>
      </x:c>
      <x:c r="F358" s="30" t="n">
        <x:v>0.048</x:v>
      </x:c>
      <x:c r="G358" s="17" t="n">
        <x:v>68167.5</x:v>
      </x:c>
      <x:c r="H358" s="17" t="n">
        <x:f>G358*F358</x:f>
        <x:v>3272.04</x:v>
      </x:c>
      <x:c r="I358" s="26" t="str">
        <x:f>HYPERLINK("https://etp-aktiv.ru/catalog/materialy/metalloprodukciya/2000309915-W122/","Открыть позицию")</x:f>
        <x:v>Открыть позицию</x:v>
      </x:c>
    </x:row>
    <x:row r="359" ht="28" customHeight="1">
      <x:c r="A359" s="16" t="str">
        <x:v>Рубцовский ТЭК</x:v>
      </x:c>
      <x:c r="B359" s="16" t="str">
        <x:v>2000555981-W122</x:v>
      </x:c>
      <x:c r="C359" s="16" t="str">
        <x:v>ЛИСТ СТ3 ПВ1 506 1000*2900 ГОСТ380-05</x:v>
      </x:c>
      <x:c r="D359" s="16" t="str">
        <x:v>М/прокат черный</x:v>
      </x:c>
      <x:c r="E359" s="16" t="str">
        <x:v>Т</x:v>
      </x:c>
      <x:c r="F359" s="30" t="n">
        <x:v>0.116</x:v>
      </x:c>
      <x:c r="G359" s="17" t="n">
        <x:v>68625</x:v>
      </x:c>
      <x:c r="H359" s="17" t="n">
        <x:f>G359*F359</x:f>
        <x:v>7960.5</x:v>
      </x:c>
      <x:c r="I359" s="26" t="str">
        <x:f>HYPERLINK("https://etp-aktiv.ru/catalog/materialy/metalloprodukciya/2000555981-W122/","Открыть позицию")</x:f>
        <x:v>Открыть позицию</x:v>
      </x:c>
    </x:row>
    <x:row r="360" ht="28" customHeight="1">
      <x:c r="A360" s="16" t="str">
        <x:v>Рубцовский ТЭК</x:v>
      </x:c>
      <x:c r="B360" s="16" t="str">
        <x:v>2000555901-W122</x:v>
      </x:c>
      <x:c r="C360" s="16" t="str">
        <x:v>ЛИСТ СТ45 50ММ ГОСТ1577-93</x:v>
      </x:c>
      <x:c r="D360" s="16" t="str">
        <x:v>М/прокат черный</x:v>
      </x:c>
      <x:c r="E360" s="16" t="str">
        <x:v>Т</x:v>
      </x:c>
      <x:c r="F360" s="24" t="n">
        <x:v>5.554</x:v>
      </x:c>
      <x:c r="G360" s="17" t="n">
        <x:v>112746.4342</x:v>
      </x:c>
      <x:c r="H360" s="17" t="n">
        <x:f>G360*F360</x:f>
        <x:v>626193.6955468</x:v>
      </x:c>
      <x:c r="I360" s="26" t="str">
        <x:f>HYPERLINK("https://etp-aktiv.ru/catalog/materialy/metalloprodukciya/2000555901-W122/","Открыть позицию")</x:f>
        <x:v>Открыть позицию</x:v>
      </x:c>
    </x:row>
    <x:row r="361" ht="28" customHeight="1">
      <x:c r="A361" s="16" t="str">
        <x:v>Рубцовский ТЭК</x:v>
      </x:c>
      <x:c r="B361" s="16" t="str">
        <x:v>2000555960-W122</x:v>
      </x:c>
      <x:c r="C361" s="16" t="str">
        <x:v>ЛИСТ ЧЕЧЕВИЦА СТ3 6*1500*6000 ГОСТ8568</x:v>
      </x:c>
      <x:c r="D361" s="16" t="str">
        <x:v>М/прокат черный</x:v>
      </x:c>
      <x:c r="E361" s="16" t="str">
        <x:v>Т</x:v>
      </x:c>
      <x:c r="F361" s="30" t="n">
        <x:v>0.437</x:v>
      </x:c>
      <x:c r="G361" s="17" t="n">
        <x:v>50164.875</x:v>
      </x:c>
      <x:c r="H361" s="17" t="n">
        <x:f>G361*F361</x:f>
        <x:v>21922.050375</x:v>
      </x:c>
      <x:c r="I361" s="26" t="str">
        <x:f>HYPERLINK("https://etp-aktiv.ru/catalog/materialy/metalloprodukciya/2000555960-W122/","Открыть позицию")</x:f>
        <x:v>Открыть позицию</x:v>
      </x:c>
    </x:row>
    <x:row r="362" ht="28" customHeight="1">
      <x:c r="A362" s="16" t="str">
        <x:v>Рубцовский ТЭК</x:v>
      </x:c>
      <x:c r="B362" s="16" t="str">
        <x:v>2000544538-W122</x:v>
      </x:c>
      <x:c r="C362" s="16" t="str">
        <x:v>ЛЮК СВЕТОВ ЛС-500-У1 ТУ3689-004-26400429</x:v>
      </x:c>
      <x:c r="D362" s="16" t="str">
        <x:v>Металлоконструкции</x:v>
      </x:c>
      <x:c r="E362" s="16" t="str">
        <x:v>ШТ</x:v>
      </x:c>
      <x:c r="F362" s="25" t="n">
        <x:v>7</x:v>
      </x:c>
      <x:c r="G362" s="17" t="n">
        <x:v>6197.966</x:v>
      </x:c>
      <x:c r="H362" s="17" t="n">
        <x:f>G362*F362</x:f>
        <x:v>43385.762</x:v>
      </x:c>
      <x:c r="I362" s="26" t="str">
        <x:f>HYPERLINK("https://etp-aktiv.ru/catalog/materialy/metallokonstrukcii/2000544538-W122/","Открыть позицию")</x:f>
        <x:v>Открыть позицию</x:v>
      </x:c>
    </x:row>
    <x:row r="363" ht="28" customHeight="1">
      <x:c r="A363" s="16" t="str">
        <x:v>Рубцовский ТЭК</x:v>
      </x:c>
      <x:c r="B363" s="16" t="str">
        <x:v>2000544535-W122</x:v>
      </x:c>
      <x:c r="C363" s="16" t="str">
        <x:v>ЛЮК-ЛАЗ 600*900ЛЛ У1 ТУ3689-058-10524112</x:v>
      </x:c>
      <x:c r="D363" s="16" t="str">
        <x:v>Металлоконструкции</x:v>
      </x:c>
      <x:c r="E363" s="16" t="str">
        <x:v>ШТ</x:v>
      </x:c>
      <x:c r="F363" s="25" t="n">
        <x:v>2</x:v>
      </x:c>
      <x:c r="G363" s="17" t="n">
        <x:v>16800.8518</x:v>
      </x:c>
      <x:c r="H363" s="17" t="n">
        <x:f>G363*F363</x:f>
        <x:v>33601.7036</x:v>
      </x:c>
      <x:c r="I363" s="26" t="str">
        <x:f>HYPERLINK("https://etp-aktiv.ru/catalog/materialy/metallokonstrukcii/2000544535-W122/","Открыть позицию")</x:f>
        <x:v>Открыть позицию</x:v>
      </x:c>
    </x:row>
    <x:row r="364" ht="28" customHeight="1">
      <x:c r="A364" s="16" t="str">
        <x:v>Рубцовский ТЭК</x:v>
      </x:c>
      <x:c r="B364" s="16" t="str">
        <x:v>2000388438-W122</x:v>
      </x:c>
      <x:c r="C364" s="16" t="str">
        <x:v>ПОЛОСА СТ3 150*6 ГОСТ103-2006</x:v>
      </x:c>
      <x:c r="D364" s="16" t="str">
        <x:v>М/прокат прочий</x:v>
      </x:c>
      <x:c r="E364" s="16" t="str">
        <x:v>Т</x:v>
      </x:c>
      <x:c r="F364" s="30" t="n">
        <x:v>0.289</x:v>
      </x:c>
      <x:c r="G364" s="17" t="n">
        <x:v>118082.58</x:v>
      </x:c>
      <x:c r="H364" s="17" t="n">
        <x:f>G364*F364</x:f>
        <x:v>34125.86562</x:v>
      </x:c>
      <x:c r="I364" s="26" t="str">
        <x:f>HYPERLINK("https://etp-aktiv.ru/catalog/materialy/metalloprodukciya/2000388438-W122/","Открыть позицию")</x:f>
        <x:v>Открыть позицию</x:v>
      </x:c>
    </x:row>
    <x:row r="365" ht="28" customHeight="1">
      <x:c r="A365" s="16" t="str">
        <x:v>Рубцовский ТЭК</x:v>
      </x:c>
      <x:c r="B365" s="16" t="str">
        <x:v>2000323170-W122</x:v>
      </x:c>
      <x:c r="C365" s="16" t="str">
        <x:v>ПОЛОСА СТ3 40*6 ГОСТ103-2006</x:v>
      </x:c>
      <x:c r="D365" s="16" t="str">
        <x:v>М/прокат прочий</x:v>
      </x:c>
      <x:c r="E365" s="16" t="str">
        <x:v>Т</x:v>
      </x:c>
      <x:c r="F365" s="30" t="n">
        <x:v>0.032</x:v>
      </x:c>
      <x:c r="G365" s="17" t="n">
        <x:v>89670</x:v>
      </x:c>
      <x:c r="H365" s="17" t="n">
        <x:f>G365*F365</x:f>
        <x:v>2869.44</x:v>
      </x:c>
      <x:c r="I365" s="26" t="str">
        <x:f>HYPERLINK("https://etp-aktiv.ru/catalog/materialy/metalloprodukciya/2000323170-W122/","Открыть позицию")</x:f>
        <x:v>Открыть позицию</x:v>
      </x:c>
    </x:row>
    <x:row r="366" ht="28" customHeight="1">
      <x:c r="A366" s="16" t="str">
        <x:v>Рубцовский ТЭК</x:v>
      </x:c>
      <x:c r="B366" s="16" t="str">
        <x:v>2000244319-W122</x:v>
      </x:c>
      <x:c r="C366" s="16" t="str">
        <x:v>ПОЛОСА СТ3 70*5 ГОСТ103-2006</x:v>
      </x:c>
      <x:c r="D366" s="16" t="str">
        <x:v>М/прокат прочий</x:v>
      </x:c>
      <x:c r="E366" s="16" t="str">
        <x:v>Т</x:v>
      </x:c>
      <x:c r="F366" s="30" t="n">
        <x:v>0.066</x:v>
      </x:c>
      <x:c r="G366" s="17" t="n">
        <x:v>106750</x:v>
      </x:c>
      <x:c r="H366" s="17" t="n">
        <x:f>G366*F366</x:f>
        <x:v>7045.5</x:v>
      </x:c>
      <x:c r="I366" s="26" t="str">
        <x:f>HYPERLINK("https://etp-aktiv.ru/catalog/materialy/metalloprodukciya/2000244319-W122/","Открыть позицию")</x:f>
        <x:v>Открыть позицию</x:v>
      </x:c>
    </x:row>
    <x:row r="367" ht="28" customHeight="1">
      <x:c r="A367" s="16" t="str">
        <x:v>Рубцовский ТЭК</x:v>
      </x:c>
      <x:c r="B367" s="16" t="str">
        <x:v>2000556264-W122</x:v>
      </x:c>
      <x:c r="C367" s="16" t="str">
        <x:v>ПРИПОЙ ПОС-40 3ММ ГОСТ21931-76</x:v>
      </x:c>
      <x:c r="D367" s="16" t="str">
        <x:v>М/прокат цветной</x:v>
      </x:c>
      <x:c r="E367" s="16" t="str">
        <x:v>КГ</x:v>
      </x:c>
      <x:c r="F367" s="25" t="n">
        <x:v>6</x:v>
      </x:c>
      <x:c r="G367" s="17" t="n">
        <x:v>1200.9436</x:v>
      </x:c>
      <x:c r="H367" s="17" t="n">
        <x:f>G367*F367</x:f>
        <x:v>7205.6616</x:v>
      </x:c>
      <x:c r="I367" s="26" t="str">
        <x:f>HYPERLINK("https://etp-aktiv.ru/catalog/materialy/metalloprodukciya/2000556264-W122/","Открыть позицию")</x:f>
        <x:v>Открыть позицию</x:v>
      </x:c>
    </x:row>
    <x:row r="368" ht="28" customHeight="1">
      <x:c r="A368" s="16" t="str">
        <x:v>Рубцовский ТЭК</x:v>
      </x:c>
      <x:c r="B368" s="16" t="str">
        <x:v>2000556259-W122</x:v>
      </x:c>
      <x:c r="C368" s="16" t="str">
        <x:v>ПРИПОЙ ПОС-61 2ММ ГОСТ21931-76</x:v>
      </x:c>
      <x:c r="D368" s="16" t="str">
        <x:v>М/прокат цветной</x:v>
      </x:c>
      <x:c r="E368" s="16" t="str">
        <x:v>КГ</x:v>
      </x:c>
      <x:c r="F368" s="24" t="n">
        <x:v>4.95</x:v>
      </x:c>
      <x:c r="G368" s="17" t="n">
        <x:v>1586</x:v>
      </x:c>
      <x:c r="H368" s="17" t="n">
        <x:f>G368*F368</x:f>
        <x:v>7850.700000000001</x:v>
      </x:c>
      <x:c r="I368" s="26" t="str">
        <x:f>HYPERLINK("https://etp-aktiv.ru/catalog/materialy/metalloprodukciya/2000556259-W122/","Открыть позицию")</x:f>
        <x:v>Открыть позицию</x:v>
      </x:c>
    </x:row>
    <x:row r="369" ht="28" customHeight="1">
      <x:c r="A369" s="16" t="str">
        <x:v>Рубцовский ТЭК</x:v>
      </x:c>
      <x:c r="B369" s="16" t="str">
        <x:v>2000530153-W122</x:v>
      </x:c>
      <x:c r="C369" s="16" t="str">
        <x:v>ПРОВОЛОКА 1,8 СВЕТЛАЯ ГОСТ3282-74</x:v>
      </x:c>
      <x:c r="D369" s="16" t="str">
        <x:v>Метизы Спец</x:v>
      </x:c>
      <x:c r="E369" s="16" t="str">
        <x:v>КГ</x:v>
      </x:c>
      <x:c r="F369" s="24" t="n">
        <x:v>53.368</x:v>
      </x:c>
      <x:c r="G369" s="17" t="n">
        <x:v>49.946799999999996</x:v>
      </x:c>
      <x:c r="H369" s="17" t="n">
        <x:f>G369*F369</x:f>
        <x:v>2665.5608224</x:v>
      </x:c>
      <x:c r="I369" s="26" t="str">
        <x:f>HYPERLINK("https://etp-aktiv.ru/catalog/materialy/metizy/2000530153-W122/","Открыть позицию")</x:f>
        <x:v>Открыть позицию</x:v>
      </x:c>
    </x:row>
    <x:row r="370" ht="28" customHeight="1">
      <x:c r="A370" s="16" t="str">
        <x:v>Рубцовский ТЭК</x:v>
      </x:c>
      <x:c r="B370" s="16" t="str">
        <x:v>2000245241-W122</x:v>
      </x:c>
      <x:c r="C370" s="16" t="str">
        <x:v>ПРОВОЛОКА 1,8-0-Ч ГОСТ3282-74</x:v>
      </x:c>
      <x:c r="D370" s="16" t="str">
        <x:v>Метизы Спец</x:v>
      </x:c>
      <x:c r="E370" s="16" t="str">
        <x:v>КГ</x:v>
      </x:c>
      <x:c r="F370" s="24" t="n">
        <x:v>61.669</x:v>
      </x:c>
      <x:c r="G370" s="17" t="n">
        <x:v>107.909</x:v>
      </x:c>
      <x:c r="H370" s="17" t="n">
        <x:f>G370*F370</x:f>
        <x:v>6654.640121</x:v>
      </x:c>
      <x:c r="I370" s="26" t="str">
        <x:f>HYPERLINK("https://etp-aktiv.ru/catalog/materialy/metizy/2000245241-W122/","Открыть позицию")</x:f>
        <x:v>Открыть позицию</x:v>
      </x:c>
    </x:row>
    <x:row r="371" ht="28" customHeight="1">
      <x:c r="A371" s="16" t="str">
        <x:v>Рубцовский ТЭК</x:v>
      </x:c>
      <x:c r="B371" s="16" t="str">
        <x:v>2000035783-W122</x:v>
      </x:c>
      <x:c r="C371" s="16" t="str">
        <x:v>ПРОВОЛОКА ВЯЗАЛЬНАЯ D2ММ ГОСТ3282-74</x:v>
      </x:c>
      <x:c r="D371" s="16" t="str">
        <x:v>Метизы Спец</x:v>
      </x:c>
      <x:c r="E371" s="16" t="str">
        <x:v>Т</x:v>
      </x:c>
      <x:c r="F371" s="30" t="n">
        <x:v>0.427</x:v>
      </x:c>
      <x:c r="G371" s="17" t="n">
        <x:v>68654.768</x:v>
      </x:c>
      <x:c r="H371" s="17" t="n">
        <x:f>G371*F371</x:f>
        <x:v>29315.585936</x:v>
      </x:c>
      <x:c r="I371" s="26" t="str">
        <x:f>HYPERLINK("https://etp-aktiv.ru/catalog/materialy/metizy/2000035783-W122/","Открыть позицию")</x:f>
        <x:v>Открыть позицию</x:v>
      </x:c>
    </x:row>
    <x:row r="372" ht="28" customHeight="1">
      <x:c r="A372" s="16" t="str">
        <x:v>Рубцовский ТЭК</x:v>
      </x:c>
      <x:c r="B372" s="16" t="str">
        <x:v>2000556285-W122</x:v>
      </x:c>
      <x:c r="C372" s="16" t="str">
        <x:v>ПРОВОЛОКА С-2 D3ММ ТУ48-21-792-85</x:v>
      </x:c>
      <x:c r="D372" s="16" t="str">
        <x:v>М/прокат цветной</x:v>
      </x:c>
      <x:c r="E372" s="16" t="str">
        <x:v>КГ</x:v>
      </x:c>
      <x:c r="F372" s="25" t="n">
        <x:v>6</x:v>
      </x:c>
      <x:c r="G372" s="17" t="n">
        <x:v>349.9936</x:v>
      </x:c>
      <x:c r="H372" s="17" t="n">
        <x:f>G372*F372</x:f>
        <x:v>2099.9616</x:v>
      </x:c>
      <x:c r="I372" s="26" t="str">
        <x:f>HYPERLINK("https://etp-aktiv.ru/catalog/materialy/metalloprodukciya/2000556285-W122/","Открыть позицию")</x:f>
        <x:v>Открыть позицию</x:v>
      </x:c>
    </x:row>
    <x:row r="373" ht="28" customHeight="1">
      <x:c r="A373" s="16" t="str">
        <x:v>Рубцовский ТЭК</x:v>
      </x:c>
      <x:c r="B373" s="16" t="str">
        <x:v>2000546345-W122</x:v>
      </x:c>
      <x:c r="C373" s="16" t="str">
        <x:v>ПРОВОЛОКА СВ08Г2С D1,2ММ ГОСТ2246-70</x:v>
      </x:c>
      <x:c r="D373" s="16" t="str">
        <x:v>Сварочные электроды</x:v>
      </x:c>
      <x:c r="E373" s="16" t="str">
        <x:v>КГ</x:v>
      </x:c>
      <x:c r="F373" s="25" t="n">
        <x:v>9</x:v>
      </x:c>
      <x:c r="G373" s="17" t="n">
        <x:v>101.11359999999999</x:v>
      </x:c>
      <x:c r="H373" s="17" t="n">
        <x:f>G373*F373</x:f>
        <x:v>910.0224</x:v>
      </x:c>
      <x:c r="I373" s="26" t="str">
        <x:f>HYPERLINK("https://etp-aktiv.ru/catalog/materialy/svarochnye-ehlektrody/2000546345-W122/","Открыть позицию")</x:f>
        <x:v>Открыть позицию</x:v>
      </x:c>
    </x:row>
    <x:row r="374" ht="28" customHeight="1">
      <x:c r="A374" s="16" t="str">
        <x:v>Рубцовский ТЭК</x:v>
      </x:c>
      <x:c r="B374" s="16" t="str">
        <x:v>2000210745-W122</x:v>
      </x:c>
      <x:c r="C374" s="16" t="str">
        <x:v>ПРОВОЛОКА СВ08Г2С D2ММ ГОСТ2246-70</x:v>
      </x:c>
      <x:c r="D374" s="16" t="str">
        <x:v>Сварочные электроды</x:v>
      </x:c>
      <x:c r="E374" s="16" t="str">
        <x:v>КГ</x:v>
      </x:c>
      <x:c r="F374" s="24" t="n">
        <x:v>44.06</x:v>
      </x:c>
      <x:c r="G374" s="17" t="n">
        <x:v>111.0322</x:v>
      </x:c>
      <x:c r="H374" s="17" t="n">
        <x:f>G374*F374</x:f>
        <x:v>4892.078732</x:v>
      </x:c>
      <x:c r="I374" s="26" t="str">
        <x:f>HYPERLINK("https://etp-aktiv.ru/catalog/materialy/svarochnye-ehlektrody/2000210745-W122/","Открыть позицию")</x:f>
        <x:v>Открыть позицию</x:v>
      </x:c>
    </x:row>
    <x:row r="375" ht="28" customHeight="1">
      <x:c r="A375" s="16" t="str">
        <x:v>Рубцовский ТЭК</x:v>
      </x:c>
      <x:c r="B375" s="16" t="str">
        <x:v>2000250402-W122</x:v>
      </x:c>
      <x:c r="C375" s="16" t="str">
        <x:v>ПРОВОЛОКА СВ08Г2С-О D1,2ММ ГОСТ2246-70</x:v>
      </x:c>
      <x:c r="D375" s="16" t="str">
        <x:v>Сварочные электроды</x:v>
      </x:c>
      <x:c r="E375" s="16" t="str">
        <x:v>КГ</x:v>
      </x:c>
      <x:c r="F375" s="25" t="n">
        <x:v>15</x:v>
      </x:c>
      <x:c r="G375" s="17" t="n">
        <x:v>126.0016</x:v>
      </x:c>
      <x:c r="H375" s="17" t="n">
        <x:f>G375*F375</x:f>
        <x:v>1890.024</x:v>
      </x:c>
      <x:c r="I375" s="26" t="str">
        <x:f>HYPERLINK("https://etp-aktiv.ru/catalog/materialy/svarochnye-ehlektrody/2000250402-W122/","Открыть позицию")</x:f>
        <x:v>Открыть позицию</x:v>
      </x:c>
    </x:row>
    <x:row r="376" ht="28" customHeight="1">
      <x:c r="A376" s="16" t="str">
        <x:v>Рубцовский ТЭК</x:v>
      </x:c>
      <x:c r="B376" s="16" t="str">
        <x:v>2000546374-W122</x:v>
      </x:c>
      <x:c r="C376" s="16" t="str">
        <x:v>ПРОВОЛОКА СВ08Г2С-О D2ММ ГОСТ2246-70</x:v>
      </x:c>
      <x:c r="D376" s="16" t="str">
        <x:v>Сварочные электроды</x:v>
      </x:c>
      <x:c r="E376" s="16" t="str">
        <x:v>КГ</x:v>
      </x:c>
      <x:c r="F376" s="24" t="n">
        <x:v>21.999</x:v>
      </x:c>
      <x:c r="G376" s="17" t="n">
        <x:v>92.34179999999999</x:v>
      </x:c>
      <x:c r="H376" s="17" t="n">
        <x:f>G376*F376</x:f>
        <x:v>2031.4272581999996</x:v>
      </x:c>
      <x:c r="I376" s="26" t="str">
        <x:f>HYPERLINK("https://etp-aktiv.ru/catalog/materialy/svarochnye-ehlektrody/2000546374-W122/","Открыть позицию")</x:f>
        <x:v>Открыть позицию</x:v>
      </x:c>
    </x:row>
    <x:row r="377" ht="28" customHeight="1">
      <x:c r="A377" s="16" t="str">
        <x:v>Рубцовский ТЭК</x:v>
      </x:c>
      <x:c r="B377" s="16" t="str">
        <x:v>2000546360-W122</x:v>
      </x:c>
      <x:c r="C377" s="16" t="str">
        <x:v>ПРОВОЛОКА СВ08ХГСМФА-О D2ММ ГОСТ2246-70</x:v>
      </x:c>
      <x:c r="D377" s="16" t="str">
        <x:v>Сварочные электроды</x:v>
      </x:c>
      <x:c r="E377" s="16" t="str">
        <x:v>КГ</x:v>
      </x:c>
      <x:c r="F377" s="24" t="n">
        <x:v>3.16</x:v>
      </x:c>
      <x:c r="G377" s="17" t="n">
        <x:v>380.4082</x:v>
      </x:c>
      <x:c r="H377" s="17" t="n">
        <x:f>G377*F377</x:f>
        <x:v>1202.0899120000001</x:v>
      </x:c>
      <x:c r="I377" s="26" t="str">
        <x:f>HYPERLINK("https://etp-aktiv.ru/catalog/materialy/svarochnye-ehlektrody/2000546360-W122/","Открыть позицию")</x:f>
        <x:v>Открыть позицию</x:v>
      </x:c>
    </x:row>
    <x:row r="378" ht="28" customHeight="1">
      <x:c r="A378" s="16" t="str">
        <x:v>Рубцовский ТЭК</x:v>
      </x:c>
      <x:c r="B378" s="16" t="str">
        <x:v>2000556003-W122</x:v>
      </x:c>
      <x:c r="C378" s="16" t="str">
        <x:v>РУЛОН СТ08 ОЦ 0,7*1250 ГОСТ14918-80</x:v>
      </x:c>
      <x:c r="D378" s="16" t="str">
        <x:v>М/прокат прочий</x:v>
      </x:c>
      <x:c r="E378" s="16" t="str">
        <x:v>Т</x:v>
      </x:c>
      <x:c r="F378" s="24" t="n">
        <x:v>3.444</x:v>
      </x:c>
      <x:c r="G378" s="17" t="n">
        <x:v>92037.7272</x:v>
      </x:c>
      <x:c r="H378" s="17" t="n">
        <x:f>G378*F378</x:f>
        <x:v>316977.9324768</x:v>
      </x:c>
      <x:c r="I378" s="26" t="str">
        <x:f>HYPERLINK("https://etp-aktiv.ru/catalog/materialy/metalloprodukciya/2000556003-W122/","Открыть позицию")</x:f>
        <x:v>Открыть позицию</x:v>
      </x:c>
    </x:row>
    <x:row r="379" ht="28" customHeight="1">
      <x:c r="A379" s="16" t="str">
        <x:v>Рубцовский ТЭК</x:v>
      </x:c>
      <x:c r="B379" s="16" t="str">
        <x:v>2000286680-W122</x:v>
      </x:c>
      <x:c r="C379" s="16" t="str">
        <x:v>САМОРЕЗ С П/ШАЙБОЙ И СВЕРЛОМ 4,2*13</x:v>
      </x:c>
      <x:c r="D379" s="16" t="str">
        <x:v>Метизы Спец</x:v>
      </x:c>
      <x:c r="E379" s="16" t="str">
        <x:v>КГ</x:v>
      </x:c>
      <x:c r="F379" s="30" t="n">
        <x:v>0.388</x:v>
      </x:c>
      <x:c r="G379" s="17" t="n">
        <x:v>316.6876</x:v>
      </x:c>
      <x:c r="H379" s="17" t="n">
        <x:f>G379*F379</x:f>
        <x:v>122.87478879999999</x:v>
      </x:c>
      <x:c r="I379" s="26" t="str">
        <x:f>HYPERLINK("https://etp-aktiv.ru/catalog/materialy/metizy/2000286680-W122/","Открыть позицию")</x:f>
        <x:v>Открыть позицию</x:v>
      </x:c>
    </x:row>
    <x:row r="380" ht="28" customHeight="1">
      <x:c r="A380" s="16" t="str">
        <x:v>Рубцовский ТЭК</x:v>
      </x:c>
      <x:c r="B380" s="16" t="str">
        <x:v>2000246779-W122</x:v>
      </x:c>
      <x:c r="C380" s="16" t="str">
        <x:v>УГОЛОК СТ3 100*63*8 ГОСТ8509-93</x:v>
      </x:c>
      <x:c r="D380" s="16" t="str">
        <x:v>М/прокат черный</x:v>
      </x:c>
      <x:c r="E380" s="16" t="str">
        <x:v>Т</x:v>
      </x:c>
      <x:c r="F380" s="30" t="n">
        <x:v>0.6</x:v>
      </x:c>
      <x:c r="G380" s="17" t="n">
        <x:v>103700</x:v>
      </x:c>
      <x:c r="H380" s="17" t="n">
        <x:f>G380*F380</x:f>
        <x:v>62220</x:v>
      </x:c>
      <x:c r="I380" s="26" t="str">
        <x:f>HYPERLINK("https://etp-aktiv.ru/catalog/materialy/metalloprodukciya/2000246779-W122/","Открыть позицию")</x:f>
        <x:v>Открыть позицию</x:v>
      </x:c>
    </x:row>
    <x:row r="381" ht="28" customHeight="1">
      <x:c r="A381" s="16" t="str">
        <x:v>Рубцовский ТЭК</x:v>
      </x:c>
      <x:c r="B381" s="16" t="str">
        <x:v>2000148498-W122</x:v>
      </x:c>
      <x:c r="C381" s="16" t="str">
        <x:v>УГОЛОК СТ3 25*25*3 ГОСТ8509-93</x:v>
      </x:c>
      <x:c r="D381" s="16" t="str">
        <x:v>М/прокат черный</x:v>
      </x:c>
      <x:c r="E381" s="16" t="str">
        <x:v>Т</x:v>
      </x:c>
      <x:c r="F381" s="30" t="n">
        <x:v>0.116</x:v>
      </x:c>
      <x:c r="G381" s="17" t="n">
        <x:v>66535.7256</x:v>
      </x:c>
      <x:c r="H381" s="17" t="n">
        <x:f>G381*F381</x:f>
        <x:v>7718.144169600001</x:v>
      </x:c>
      <x:c r="I381" s="26" t="str">
        <x:f>HYPERLINK("https://etp-aktiv.ru/catalog/materialy/metalloprodukciya/2000148498-W122/","Открыть позицию")</x:f>
        <x:v>Открыть позицию</x:v>
      </x:c>
    </x:row>
    <x:row r="382" ht="28" customHeight="1">
      <x:c r="A382" s="16" t="str">
        <x:v>Рубцовский ТЭК</x:v>
      </x:c>
      <x:c r="B382" s="16" t="str">
        <x:v>2000165127-W122</x:v>
      </x:c>
      <x:c r="C382" s="16" t="str">
        <x:v>УГОЛОК СТ3 63*63*6 ГОСТ8509-93</x:v>
      </x:c>
      <x:c r="D382" s="16" t="str">
        <x:v>М/прокат черный</x:v>
      </x:c>
      <x:c r="E382" s="16" t="str">
        <x:v>Т</x:v>
      </x:c>
      <x:c r="F382" s="30" t="n">
        <x:v>0.001</x:v>
      </x:c>
      <x:c r="G382" s="17" t="n">
        <x:v>51084.45</x:v>
      </x:c>
      <x:c r="H382" s="17" t="n">
        <x:f>G382*F382</x:f>
        <x:v>51.08445</x:v>
      </x:c>
      <x:c r="I382" s="26" t="str">
        <x:f>HYPERLINK("https://etp-aktiv.ru/catalog/materialy/metalloprodukciya/2000165127-W122/","Открыть позицию")</x:f>
        <x:v>Открыть позицию</x:v>
      </x:c>
    </x:row>
    <x:row r="383" ht="28" customHeight="1">
      <x:c r="A383" s="16" t="str">
        <x:v>Рубцовский ТЭК</x:v>
      </x:c>
      <x:c r="B383" s="16" t="str">
        <x:v>2000483218-W122</x:v>
      </x:c>
      <x:c r="C383" s="16" t="str">
        <x:v>ШАЙБА ГРОВЕРНАЯ М10 8.8 НЕРЖ DIN127</x:v>
      </x:c>
      <x:c r="D383" s="16" t="str">
        <x:v>Метизы Спец</x:v>
      </x:c>
      <x:c r="E383" s="16" t="str">
        <x:v>КГ</x:v>
      </x:c>
      <x:c r="F383" s="30" t="n">
        <x:v>0.4</x:v>
      </x:c>
      <x:c r="G383" s="17" t="n">
        <x:v>212.7436</x:v>
      </x:c>
      <x:c r="H383" s="17" t="n">
        <x:f>G383*F383</x:f>
        <x:v>85.09744</x:v>
      </x:c>
      <x:c r="I383" s="26" t="str">
        <x:f>HYPERLINK("https://etp-aktiv.ru/catalog/materialy/metizy/2000483218-W122/","Открыть позицию")</x:f>
        <x:v>Открыть позицию</x:v>
      </x:c>
    </x:row>
    <x:row r="384" ht="28" customHeight="1">
      <x:c r="A384" s="16" t="str">
        <x:v>Рубцовский ТЭК</x:v>
      </x:c>
      <x:c r="B384" s="16" t="str">
        <x:v>2000483219-W122</x:v>
      </x:c>
      <x:c r="C384" s="16" t="str">
        <x:v>ШАЙБА ГРОВЕРНАЯ М12 8.8 НЕРЖ DIN127</x:v>
      </x:c>
      <x:c r="D384" s="16" t="str">
        <x:v>Метизы Спец</x:v>
      </x:c>
      <x:c r="E384" s="16" t="str">
        <x:v>КГ</x:v>
      </x:c>
      <x:c r="F384" s="30" t="n">
        <x:v>0.4</x:v>
      </x:c>
      <x:c r="G384" s="17" t="n">
        <x:v>128.6368</x:v>
      </x:c>
      <x:c r="H384" s="17" t="n">
        <x:f>G384*F384</x:f>
        <x:v>51.45472</x:v>
      </x:c>
      <x:c r="I384" s="26" t="str">
        <x:f>HYPERLINK("https://etp-aktiv.ru/catalog/materialy/metizy/2000483219-W122/","Открыть позицию")</x:f>
        <x:v>Открыть позицию</x:v>
      </x:c>
    </x:row>
    <x:row r="385" ht="28" customHeight="1">
      <x:c r="A385" s="16" t="str">
        <x:v>Рубцовский ТЭК</x:v>
      </x:c>
      <x:c r="B385" s="16" t="str">
        <x:v>2000068583-W122</x:v>
      </x:c>
      <x:c r="C385" s="16" t="str">
        <x:v>ШАЙБА М10 ГОСТ11371-78</x:v>
      </x:c>
      <x:c r="D385" s="16" t="str">
        <x:v>Метизы</x:v>
      </x:c>
      <x:c r="E385" s="16" t="str">
        <x:v>КГ</x:v>
      </x:c>
      <x:c r="F385" s="24" t="n">
        <x:v>2.12</x:v>
      </x:c>
      <x:c r="G385" s="17" t="n">
        <x:v>89.4016</x:v>
      </x:c>
      <x:c r="H385" s="17" t="n">
        <x:f>G385*F385</x:f>
        <x:v>189.531392</x:v>
      </x:c>
      <x:c r="I385" s="26" t="str">
        <x:f>HYPERLINK("https://etp-aktiv.ru/catalog/materialy/metizy/2000068583-W122/","Открыть позицию")</x:f>
        <x:v>Открыть позицию</x:v>
      </x:c>
    </x:row>
    <x:row r="386" ht="28" customHeight="1">
      <x:c r="A386" s="16" t="str">
        <x:v>Рубцовский ТЭК</x:v>
      </x:c>
      <x:c r="B386" s="16" t="str">
        <x:v>2000068587-W122</x:v>
      </x:c>
      <x:c r="C386" s="16" t="str">
        <x:v>ШАЙБА М18 ГОСТ11371-78</x:v>
      </x:c>
      <x:c r="D386" s="16" t="str">
        <x:v>Метизы Спец</x:v>
      </x:c>
      <x:c r="E386" s="16" t="str">
        <x:v>КГ</x:v>
      </x:c>
      <x:c r="F386" s="24" t="n">
        <x:v>12.9</x:v>
      </x:c>
      <x:c r="G386" s="17" t="n">
        <x:v>125.89179999999999</x:v>
      </x:c>
      <x:c r="H386" s="17" t="n">
        <x:f>G386*F386</x:f>
        <x:v>1624.0042199999998</x:v>
      </x:c>
      <x:c r="I386" s="26" t="str">
        <x:f>HYPERLINK("https://etp-aktiv.ru/catalog/materialy/metizy/2000068587-W122/","Открыть позицию")</x:f>
        <x:v>Открыть позицию</x:v>
      </x:c>
    </x:row>
    <x:row r="387" ht="28" customHeight="1">
      <x:c r="A387" s="16" t="str">
        <x:v>Рубцовский ТЭК</x:v>
      </x:c>
      <x:c r="B387" s="16" t="str">
        <x:v>2000068588-W122</x:v>
      </x:c>
      <x:c r="C387" s="16" t="str">
        <x:v>ШАЙБА М20 ГОСТ11371-78</x:v>
      </x:c>
      <x:c r="D387" s="16" t="str">
        <x:v>Метизы</x:v>
      </x:c>
      <x:c r="E387" s="16" t="str">
        <x:v>КГ</x:v>
      </x:c>
      <x:c r="F387" s="25" t="n">
        <x:v>2</x:v>
      </x:c>
      <x:c r="G387" s="17" t="n">
        <x:v>109.7756</x:v>
      </x:c>
      <x:c r="H387" s="17" t="n">
        <x:f>G387*F387</x:f>
        <x:v>219.5512</x:v>
      </x:c>
      <x:c r="I387" s="26" t="str">
        <x:f>HYPERLINK("https://etp-aktiv.ru/catalog/materialy/metizy/2000068588-W122/","Открыть позицию")</x:f>
        <x:v>Открыть позицию</x:v>
      </x:c>
    </x:row>
    <x:row r="388" ht="28" customHeight="1">
      <x:c r="A388" s="16" t="str">
        <x:v>Рубцовский ТЭК</x:v>
      </x:c>
      <x:c r="B388" s="16" t="str">
        <x:v>2000555715-W122</x:v>
      </x:c>
      <x:c r="C388" s="16" t="str">
        <x:v>ШВЕЛЛЕР СТ20 12П ГОСТ8240-97</x:v>
      </x:c>
      <x:c r="D388" s="16" t="str">
        <x:v>М/прокат черный</x:v>
      </x:c>
      <x:c r="E388" s="16" t="str">
        <x:v>Т</x:v>
      </x:c>
      <x:c r="F388" s="30" t="n">
        <x:v>0.035</x:v>
      </x:c>
      <x:c r="G388" s="17" t="n">
        <x:v>91158.58299999998</x:v>
      </x:c>
      <x:c r="H388" s="17" t="n">
        <x:f>G388*F388</x:f>
        <x:v>3190.550405</x:v>
      </x:c>
      <x:c r="I388" s="26" t="str">
        <x:f>HYPERLINK("https://etp-aktiv.ru/catalog/materialy/metalloprodukciya/2000555715-W122/","Открыть позицию")</x:f>
        <x:v>Открыть позицию</x:v>
      </x:c>
    </x:row>
    <x:row r="389" ht="28" customHeight="1">
      <x:c r="A389" s="16" t="str">
        <x:v>Рубцовский ТЭК</x:v>
      </x:c>
      <x:c r="B389" s="16" t="str">
        <x:v>2000015504-W122</x:v>
      </x:c>
      <x:c r="C389" s="16" t="str">
        <x:v>ШВЕЛЛЕР СТ3 12 ГОСТ8240-89</x:v>
      </x:c>
      <x:c r="D389" s="16" t="str">
        <x:v>М/прокат черный</x:v>
      </x:c>
      <x:c r="E389" s="16" t="str">
        <x:v>Т</x:v>
      </x:c>
      <x:c r="F389" s="30" t="n">
        <x:v>0.052</x:v>
      </x:c>
      <x:c r="G389" s="17" t="n">
        <x:v>67808.5394</x:v>
      </x:c>
      <x:c r="H389" s="17" t="n">
        <x:f>G389*F389</x:f>
        <x:v>3526.0440487999995</x:v>
      </x:c>
      <x:c r="I389" s="26" t="str">
        <x:f>HYPERLINK("https://etp-aktiv.ru/catalog/materialy/metalloprodukciya/2000015504-W122/","Открыть позицию")</x:f>
        <x:v>Открыть позицию</x:v>
      </x:c>
    </x:row>
    <x:row r="390" ht="28" customHeight="1">
      <x:c r="A390" s="16" t="str">
        <x:v>Рубцовский ТЭК</x:v>
      </x:c>
      <x:c r="B390" s="16" t="str">
        <x:v>2000015505-W122</x:v>
      </x:c>
      <x:c r="C390" s="16" t="str">
        <x:v>ШВЕЛЛЕР СТ3 14 ГОСТ8240-97</x:v>
      </x:c>
      <x:c r="D390" s="16" t="str">
        <x:v>М/прокат черный</x:v>
      </x:c>
      <x:c r="E390" s="16" t="str">
        <x:v>Т</x:v>
      </x:c>
      <x:c r="F390" s="30" t="n">
        <x:v>0.068</x:v>
      </x:c>
      <x:c r="G390" s="17" t="n">
        <x:v>85345.283</x:v>
      </x:c>
      <x:c r="H390" s="17" t="n">
        <x:f>G390*F390</x:f>
        <x:v>5803.479244</x:v>
      </x:c>
      <x:c r="I390" s="26" t="str">
        <x:f>HYPERLINK("https://etp-aktiv.ru/catalog/materialy/metalloprodukciya/2000015505-W122/","Открыть позицию")</x:f>
        <x:v>Открыть позицию</x:v>
      </x:c>
    </x:row>
    <x:row r="391" ht="28" customHeight="1">
      <x:c r="A391" s="16" t="str">
        <x:v>Рубцовский ТЭК</x:v>
      </x:c>
      <x:c r="B391" s="16" t="str">
        <x:v>2000153549-W122</x:v>
      </x:c>
      <x:c r="C391" s="16" t="str">
        <x:v>ШВЕЛЛЕР СТ3 20У ГОСТ8240-97</x:v>
      </x:c>
      <x:c r="D391" s="16" t="str">
        <x:v>М/прокат черный</x:v>
      </x:c>
      <x:c r="E391" s="16" t="str">
        <x:v>Т</x:v>
      </x:c>
      <x:c r="F391" s="30" t="n">
        <x:v>0.226</x:v>
      </x:c>
      <x:c r="G391" s="17" t="n">
        <x:v>131073.7744</x:v>
      </x:c>
      <x:c r="H391" s="17" t="n">
        <x:f>G391*F391</x:f>
        <x:v>29622.6730144</x:v>
      </x:c>
      <x:c r="I391" s="26" t="str">
        <x:f>HYPERLINK("https://etp-aktiv.ru/catalog/materialy/metalloprodukciya/2000153549-W122/","Открыть позицию")</x:f>
        <x:v>Открыть позицию</x:v>
      </x:c>
    </x:row>
    <x:row r="392" ht="28" customHeight="1">
      <x:c r="A392" s="16" t="str">
        <x:v>Рубцовский ТЭК</x:v>
      </x:c>
      <x:c r="B392" s="16" t="str">
        <x:v>2000148501-W122</x:v>
      </x:c>
      <x:c r="C392" s="16" t="str">
        <x:v>ШЕСТИГРАННИК СТ20 27ММ ГОСТ2879-2006</x:v>
      </x:c>
      <x:c r="D392" s="16" t="str">
        <x:v>М/прокат прочий</x:v>
      </x:c>
      <x:c r="E392" s="16" t="str">
        <x:v>Т</x:v>
      </x:c>
      <x:c r="F392" s="30" t="n">
        <x:v>0.038</x:v>
      </x:c>
      <x:c r="G392" s="17" t="n">
        <x:v>14640</x:v>
      </x:c>
      <x:c r="H392" s="17" t="n">
        <x:f>G392*F392</x:f>
        <x:v>556.3199999999999</x:v>
      </x:c>
      <x:c r="I392" s="26" t="str">
        <x:f>HYPERLINK("https://etp-aktiv.ru/catalog/materialy/metalloprodukciya/2000148501-W122/","Открыть позицию")</x:f>
        <x:v>Открыть позицию</x:v>
      </x:c>
    </x:row>
    <x:row r="393" ht="28" customHeight="1">
      <x:c r="A393" s="16" t="str">
        <x:v>Рубцовский ТЭК</x:v>
      </x:c>
      <x:c r="B393" s="16" t="str">
        <x:v>2000015423-W122</x:v>
      </x:c>
      <x:c r="C393" s="16" t="str">
        <x:v>ШЕСТИГРАННИК СТ35 24ММ ГОСТ2879-88</x:v>
      </x:c>
      <x:c r="D393" s="16" t="str">
        <x:v>М/прокат прочий</x:v>
      </x:c>
      <x:c r="E393" s="16" t="str">
        <x:v>Т</x:v>
      </x:c>
      <x:c r="F393" s="30" t="n">
        <x:v>0.025</x:v>
      </x:c>
      <x:c r="G393" s="17" t="n">
        <x:v>76997.25</x:v>
      </x:c>
      <x:c r="H393" s="17" t="n">
        <x:f>G393*F393</x:f>
        <x:v>1924.93125</x:v>
      </x:c>
      <x:c r="I393" s="26" t="str">
        <x:f>HYPERLINK("https://etp-aktiv.ru/catalog/materialy/metalloprodukciya/2000015423-W122/","Открыть позицию")</x:f>
        <x:v>Открыть позицию</x:v>
      </x:c>
    </x:row>
    <x:row r="394" ht="28" customHeight="1">
      <x:c r="A394" s="16" t="str">
        <x:v>Рубцовский ТЭК</x:v>
      </x:c>
      <x:c r="B394" s="16" t="str">
        <x:v>2000148502-W122</x:v>
      </x:c>
      <x:c r="C394" s="16" t="str">
        <x:v>ШЕСТИГРАННИК СТ35 32ММ ГОСТ2879-88</x:v>
      </x:c>
      <x:c r="D394" s="16" t="str">
        <x:v>М/прокат прочий</x:v>
      </x:c>
      <x:c r="E394" s="16" t="str">
        <x:v>Т</x:v>
      </x:c>
      <x:c r="F394" s="30" t="n">
        <x:v>0.008</x:v>
      </x:c>
      <x:c r="G394" s="17" t="n">
        <x:v>89480.14360000001</x:v>
      </x:c>
      <x:c r="H394" s="17" t="n">
        <x:f>G394*F394</x:f>
        <x:v>715.8411488</x:v>
      </x:c>
      <x:c r="I394" s="26" t="str">
        <x:f>HYPERLINK("https://etp-aktiv.ru/catalog/materialy/metalloprodukciya/2000148502-W122/","Открыть позицию")</x:f>
        <x:v>Открыть позицию</x:v>
      </x:c>
    </x:row>
    <x:row r="395" ht="28" customHeight="1">
      <x:c r="A395" s="16" t="str">
        <x:v>Рубцовский ТЭК</x:v>
      </x:c>
      <x:c r="B395" s="16" t="str">
        <x:v>2000015430-W122</x:v>
      </x:c>
      <x:c r="C395" s="16" t="str">
        <x:v>ШЕСТИГРАННИК СТ45 24ММ ГОСТ2879-88</x:v>
      </x:c>
      <x:c r="D395" s="16" t="str">
        <x:v>М/прокат прочий</x:v>
      </x:c>
      <x:c r="E395" s="16" t="str">
        <x:v>Т</x:v>
      </x:c>
      <x:c r="F395" s="30" t="n">
        <x:v>0.019</x:v>
      </x:c>
      <x:c r="G395" s="17" t="n">
        <x:v>88175.5</x:v>
      </x:c>
      <x:c r="H395" s="17" t="n">
        <x:f>G395*F395</x:f>
        <x:v>1675.3345</x:v>
      </x:c>
      <x:c r="I395" s="26" t="str">
        <x:f>HYPERLINK("https://etp-aktiv.ru/catalog/materialy/metalloprodukciya/2000015430-W122/","Открыть позицию")</x:f>
        <x:v>Открыть позицию</x:v>
      </x:c>
    </x:row>
    <x:row r="396" ht="28" customHeight="1">
      <x:c r="A396" s="16" t="str">
        <x:v>Рубцовский ТЭК</x:v>
      </x:c>
      <x:c r="B396" s="16" t="str">
        <x:v>2000015431-W122</x:v>
      </x:c>
      <x:c r="C396" s="16" t="str">
        <x:v>ШЕСТИГРАННИК СТ45 27ММ ГОСТ2879-88</x:v>
      </x:c>
      <x:c r="D396" s="16" t="str">
        <x:v>М/прокат прочий</x:v>
      </x:c>
      <x:c r="E396" s="16" t="str">
        <x:v>Т</x:v>
      </x:c>
      <x:c r="F396" s="30" t="n">
        <x:v>0.04</x:v>
      </x:c>
      <x:c r="G396" s="17" t="n">
        <x:v>76734.4132</x:v>
      </x:c>
      <x:c r="H396" s="17" t="n">
        <x:f>G396*F396</x:f>
        <x:v>3069.376528</x:v>
      </x:c>
      <x:c r="I396" s="26" t="str">
        <x:f>HYPERLINK("https://etp-aktiv.ru/catalog/materialy/metalloprodukciya/2000015431-W122/","Открыть позицию")</x:f>
        <x:v>Открыть позицию</x:v>
      </x:c>
    </x:row>
    <x:row r="397" ht="28" customHeight="1">
      <x:c r="A397" s="16" t="str">
        <x:v>Рубцовский ТЭК</x:v>
      </x:c>
      <x:c r="B397" s="16" t="str">
        <x:v>2000015474-W122</x:v>
      </x:c>
      <x:c r="C397" s="16" t="str">
        <x:v>ШЕСТИГРАННИК СТ45 30ММ ГОСТ2879-88</x:v>
      </x:c>
      <x:c r="D397" s="16" t="str">
        <x:v>М/прокат прочий</x:v>
      </x:c>
      <x:c r="E397" s="16" t="str">
        <x:v>Т</x:v>
      </x:c>
      <x:c r="F397" s="30" t="n">
        <x:v>0.06</x:v>
      </x:c>
      <x:c r="G397" s="17" t="n">
        <x:v>76625.15</x:v>
      </x:c>
      <x:c r="H397" s="17" t="n">
        <x:f>G397*F397</x:f>
        <x:v>4597.508999999999</x:v>
      </x:c>
      <x:c r="I397" s="26" t="str">
        <x:f>HYPERLINK("https://etp-aktiv.ru/catalog/materialy/metalloprodukciya/2000015474-W122/","Открыть позицию")</x:f>
        <x:v>Открыть позицию</x:v>
      </x:c>
    </x:row>
    <x:row r="398" ht="28" customHeight="1">
      <x:c r="A398" s="16" t="str">
        <x:v>Рубцовский ТЭК</x:v>
      </x:c>
      <x:c r="B398" s="16" t="str">
        <x:v>2000015477-W122</x:v>
      </x:c>
      <x:c r="C398" s="16" t="str">
        <x:v>ШЕСТИГРАННИК СТ45 41ММ ГОСТ2879-88</x:v>
      </x:c>
      <x:c r="D398" s="16" t="str">
        <x:v>М/прокат прочий</x:v>
      </x:c>
      <x:c r="E398" s="16" t="str">
        <x:v>Т</x:v>
      </x:c>
      <x:c r="F398" s="30" t="n">
        <x:v>0.07</x:v>
      </x:c>
      <x:c r="G398" s="17" t="n">
        <x:v>57473.4436</x:v>
      </x:c>
      <x:c r="H398" s="17" t="n">
        <x:f>G398*F398</x:f>
        <x:v>4023.1410520000004</x:v>
      </x:c>
      <x:c r="I398" s="26" t="str">
        <x:f>HYPERLINK("https://etp-aktiv.ru/catalog/materialy/metalloprodukciya/2000015477-W122/","Открыть позицию")</x:f>
        <x:v>Открыть позицию</x:v>
      </x:c>
    </x:row>
    <x:row r="399" ht="28" customHeight="1">
      <x:c r="A399" s="16" t="str">
        <x:v>Рубцовский ТЭК</x:v>
      </x:c>
      <x:c r="B399" s="16" t="str">
        <x:v>2000278840-W122</x:v>
      </x:c>
      <x:c r="C399" s="16" t="str">
        <x:v>ШПИЛЬКА М14*1000 ГОСТ22036-76</x:v>
      </x:c>
      <x:c r="D399" s="16" t="str">
        <x:v>Метизы</x:v>
      </x:c>
      <x:c r="E399" s="16" t="str">
        <x:v>КГ</x:v>
      </x:c>
      <x:c r="F399" s="30" t="n">
        <x:v>0.224</x:v>
      </x:c>
      <x:c r="G399" s="17" t="n">
        <x:v>70.0036</x:v>
      </x:c>
      <x:c r="H399" s="17" t="n">
        <x:f>G399*F399</x:f>
        <x:v>15.680806400000002</x:v>
      </x:c>
      <x:c r="I399" s="26" t="str">
        <x:f>HYPERLINK("https://etp-aktiv.ru/catalog/materialy/metizy/2000278840-W122/","Открыть позицию")</x:f>
        <x:v>Открыть позицию</x:v>
      </x:c>
    </x:row>
    <x:row r="400" ht="28" customHeight="1">
      <x:c r="A400" s="16" t="str">
        <x:v>Рубцовский ТЭК</x:v>
      </x:c>
      <x:c r="B400" s="16" t="str">
        <x:v>2000529935-W122</x:v>
      </x:c>
      <x:c r="C400" s="16" t="str">
        <x:v>ШПИЛЬКА РЕЗЬБОВАЯ М22*1000 4.8 DIN975</x:v>
      </x:c>
      <x:c r="D400" s="16" t="str">
        <x:v>Метизы</x:v>
      </x:c>
      <x:c r="E400" s="16" t="str">
        <x:v>ШТ</x:v>
      </x:c>
      <x:c r="F400" s="25" t="n">
        <x:v>1</x:v>
      </x:c>
      <x:c r="G400" s="17" t="n">
        <x:v>81.6058</x:v>
      </x:c>
      <x:c r="H400" s="17" t="n">
        <x:f>G400*F400</x:f>
        <x:v>81.6058</x:v>
      </x:c>
      <x:c r="I400" s="26" t="str">
        <x:f>HYPERLINK("https://etp-aktiv.ru/catalog/materialy/metizy/2000529935-W122/","Открыть позицию")</x:f>
        <x:v>Открыть позицию</x:v>
      </x:c>
    </x:row>
    <x:row r="401" ht="28" customHeight="1">
      <x:c r="A401" s="16" t="str">
        <x:v>Рубцовский ТЭК</x:v>
      </x:c>
      <x:c r="B401" s="16" t="str">
        <x:v>2000046860-W122</x:v>
      </x:c>
      <x:c r="C401" s="16" t="str">
        <x:v>ЭЛЕКТРОД ОЗЛ-6 4ММ ГОСТ9466-75</x:v>
      </x:c>
      <x:c r="D401" s="16" t="str">
        <x:v>Сварочные электроды</x:v>
      </x:c>
      <x:c r="E401" s="16" t="str">
        <x:v>Т</x:v>
      </x:c>
      <x:c r="F401" s="30" t="n">
        <x:v>0.008</x:v>
      </x:c>
      <x:c r="G401" s="17" t="n">
        <x:v>858128.1749999999</x:v>
      </x:c>
      <x:c r="H401" s="17" t="n">
        <x:f>G401*F401</x:f>
        <x:v>6865.0253999999995</x:v>
      </x:c>
      <x:c r="I401" s="26" t="str">
        <x:f>HYPERLINK("https://etp-aktiv.ru/catalog/materialy/svarochnye-ehlektrody/2000046860-W122/","Открыть позицию")</x:f>
        <x:v>Открыть позицию</x:v>
      </x:c>
    </x:row>
    <x:row r="402" ht="28" customHeight="1">
      <x:c r="A402" s="16" t="str">
        <x:v>Рубцовский ТЭК</x:v>
      </x:c>
      <x:c r="B402" s="16" t="str">
        <x:v>2000016861-W122</x:v>
      </x:c>
      <x:c r="C402" s="16" t="str">
        <x:v>ЭЛЕКТРОД Т-590 4ММ ГОСТ9466-75</x:v>
      </x:c>
      <x:c r="D402" s="16" t="str">
        <x:v>Сварочные электроды</x:v>
      </x:c>
      <x:c r="E402" s="16" t="str">
        <x:v>Т</x:v>
      </x:c>
      <x:c r="F402" s="30" t="n">
        <x:v>0.012</x:v>
      </x:c>
      <x:c r="G402" s="17" t="n">
        <x:v>229236.0968</x:v>
      </x:c>
      <x:c r="H402" s="17" t="n">
        <x:f>G402*F402</x:f>
        <x:v>2750.8331616</x:v>
      </x:c>
      <x:c r="I402" s="26" t="str">
        <x:f>HYPERLINK("https://etp-aktiv.ru/catalog/materialy/svarochnye-ehlektrody/2000016861-W122/","Открыть позицию")</x:f>
        <x:v>Открыть позицию</x:v>
      </x:c>
    </x:row>
    <x:row r="403" ht="28" customHeight="1">
      <x:c r="A403" s="16" t="str">
        <x:v>Рубцовский ТЭК</x:v>
      </x:c>
      <x:c r="B403" s="16" t="str">
        <x:v>2000546305-W122</x:v>
      </x:c>
      <x:c r="C403" s="16" t="str">
        <x:v>ЭЛЕКТРОД УОНИ 13/45 3ММ ГОСТ9466-75</x:v>
      </x:c>
      <x:c r="D403" s="16" t="str">
        <x:v>Сварочные электроды</x:v>
      </x:c>
      <x:c r="E403" s="16" t="str">
        <x:v>КГ</x:v>
      </x:c>
      <x:c r="F403" s="24" t="n">
        <x:v>10.85</x:v>
      </x:c>
      <x:c r="G403" s="17" t="n">
        <x:v>123.4152</x:v>
      </x:c>
      <x:c r="H403" s="17" t="n">
        <x:f>G403*F403</x:f>
        <x:v>1339.05492</x:v>
      </x:c>
      <x:c r="I403" s="26" t="str">
        <x:f>HYPERLINK("https://etp-aktiv.ru/catalog/materialy/svarochnye-ehlektrody/2000546305-W122/","Открыть позицию")</x:f>
        <x:v>Открыть позицию</x:v>
      </x:c>
    </x:row>
    <x:row r="404" ht="28" customHeight="1">
      <x:c r="A404" s="16" t="str">
        <x:v>Рубцовский ТЭК</x:v>
      </x:c>
      <x:c r="B404" s="16" t="str">
        <x:v>2000546306-W122</x:v>
      </x:c>
      <x:c r="C404" s="16" t="str">
        <x:v>ЭЛЕКТРОД УОНИ 13/45 4ММ ГОСТ9466-75 (КГ)</x:v>
      </x:c>
      <x:c r="D404" s="16" t="str">
        <x:v>Сварочные электроды</x:v>
      </x:c>
      <x:c r="E404" s="16" t="str">
        <x:v>КГ</x:v>
      </x:c>
      <x:c r="F404" s="25" t="n">
        <x:v>45</x:v>
      </x:c>
      <x:c r="G404" s="17" t="n">
        <x:v>119.865</x:v>
      </x:c>
      <x:c r="H404" s="17" t="n">
        <x:f>G404*F404</x:f>
        <x:v>5393.925</x:v>
      </x:c>
      <x:c r="I404" s="26" t="str">
        <x:f>HYPERLINK("https://etp-aktiv.ru/catalog/materialy/svarochnye-ehlektrody/2000546306-W122/","Открыть позицию")</x:f>
        <x:v>Открыть позицию</x:v>
      </x:c>
    </x:row>
    <x:row r="405" ht="28" customHeight="1">
      <x:c r="A405" s="16" t="str">
        <x:v>Рубцовский ТЭК</x:v>
      </x:c>
      <x:c r="B405" s="16" t="str">
        <x:v>2000546311-W122</x:v>
      </x:c>
      <x:c r="C405" s="16" t="str">
        <x:v>ЭЛЕКТРОД УОНИ 13/55 4ММ ГОСТ9466-75 (КГ)</x:v>
      </x:c>
      <x:c r="D405" s="16" t="str">
        <x:v>Сварочные электроды</x:v>
      </x:c>
      <x:c r="E405" s="16" t="str">
        <x:v>КГ</x:v>
      </x:c>
      <x:c r="F405" s="25" t="n">
        <x:v>100</x:v>
      </x:c>
      <x:c r="G405" s="17" t="n">
        <x:v>121.085</x:v>
      </x:c>
      <x:c r="H405" s="17" t="n">
        <x:f>G405*F405</x:f>
        <x:v>12108.5</x:v>
      </x:c>
      <x:c r="I405" s="26" t="str">
        <x:f>HYPERLINK("https://etp-aktiv.ru/catalog/materialy/svarochnye-ehlektrody/2000546311-W122/","Открыть позицию")</x:f>
        <x:v>Открыть позицию</x:v>
      </x:c>
    </x:row>
    <x:row r="406" ht="28" customHeight="1">
      <x:c r="A406" s="16" t="str">
        <x:v>Рубцовский ТЭК</x:v>
      </x:c>
      <x:c r="B406" s="16" t="str">
        <x:v>2000015674-W122</x:v>
      </x:c>
      <x:c r="C406" s="16" t="str">
        <x:v>ЭЛЕКТРОД УОНИ-13/55 3ММ ГОСТ9466-75</x:v>
      </x:c>
      <x:c r="D406" s="16" t="str">
        <x:v>Сварочные электроды</x:v>
      </x:c>
      <x:c r="E406" s="16" t="str">
        <x:v>Т</x:v>
      </x:c>
      <x:c r="F406" s="30" t="n">
        <x:v>0.011</x:v>
      </x:c>
      <x:c r="G406" s="17" t="n">
        <x:v>132221.6602</x:v>
      </x:c>
      <x:c r="H406" s="17" t="n">
        <x:f>G406*F406</x:f>
        <x:v>1454.4382622</x:v>
      </x:c>
      <x:c r="I406" s="26" t="str">
        <x:f>HYPERLINK("https://etp-aktiv.ru/catalog/materialy/svarochnye-ehlektrody/2000015674-W122/","Открыть позицию")</x:f>
        <x:v>Открыть позицию</x:v>
      </x:c>
    </x:row>
    <x:row r="407" ht="28" customHeight="1">
      <x:c r="A407" s="16" t="str">
        <x:v>Рубцовский ТЭК</x:v>
      </x:c>
      <x:c r="B407" s="16" t="str">
        <x:v>2000201480-W122</x:v>
      </x:c>
      <x:c r="C407" s="16" t="str">
        <x:v>ЭЛЕКТРОД УОНИ-13/55 3ММ ГОСТ9466-75 КГ</x:v>
      </x:c>
      <x:c r="D407" s="16" t="str">
        <x:v>Сварочные электроды</x:v>
      </x:c>
      <x:c r="E407" s="16" t="str">
        <x:v>КГ</x:v>
      </x:c>
      <x:c r="F407" s="24" t="n">
        <x:v>32.41</x:v>
      </x:c>
      <x:c r="G407" s="17" t="n">
        <x:v>100.833</x:v>
      </x:c>
      <x:c r="H407" s="17" t="n">
        <x:f>G407*F407</x:f>
        <x:v>3267.9975299999996</x:v>
      </x:c>
      <x:c r="I407" s="26" t="str">
        <x:f>HYPERLINK("https://etp-aktiv.ru/catalog/materialy/svarochnye-ehlektrody/2000201480-W122/","Открыть позицию")</x:f>
        <x:v>Открыть позицию</x:v>
      </x:c>
    </x:row>
    <x:row r="408" ht="28" customHeight="1">
      <x:c r="A408" s="16" t="str">
        <x:v>Рубцовский ТЭК</x:v>
      </x:c>
      <x:c r="B408" s="16" t="str">
        <x:v>2000546313-W122</x:v>
      </x:c>
      <x:c r="C408" s="16" t="str">
        <x:v>ЭЛЕКТРОД УОНИ-13/55К 4ММ ГОСТ9466-75</x:v>
      </x:c>
      <x:c r="D408" s="16" t="str">
        <x:v>Сварочные электроды</x:v>
      </x:c>
      <x:c r="E408" s="16" t="str">
        <x:v>КГ</x:v>
      </x:c>
      <x:c r="F408" s="24" t="n">
        <x:v>52.7</x:v>
      </x:c>
      <x:c r="G408" s="17" t="n">
        <x:v>129.9422</x:v>
      </x:c>
      <x:c r="H408" s="17" t="n">
        <x:f>G408*F408</x:f>
        <x:v>6847.953940000001</x:v>
      </x:c>
      <x:c r="I408" s="26" t="str">
        <x:f>HYPERLINK("https://etp-aktiv.ru/catalog/materialy/svarochnye-ehlektrody/2000546313-W122/","Открыть позицию")</x:f>
        <x:v>Открыть позицию</x:v>
      </x:c>
    </x:row>
    <x:row r="409" ht="28" customHeight="1">
      <x:c r="A409" s="16" t="str">
        <x:v>Рубцовский ТЭК</x:v>
      </x:c>
      <x:c r="B409" s="16" t="str">
        <x:v>2000546324-W122</x:v>
      </x:c>
      <x:c r="C409" s="16" t="str">
        <x:v>ЭЛЕКТРОД ЦН-6Л 5ММ ГОСТ9466-75</x:v>
      </x:c>
      <x:c r="D409" s="16" t="str">
        <x:v>Сварочные электроды</x:v>
      </x:c>
      <x:c r="E409" s="16" t="str">
        <x:v>КГ</x:v>
      </x:c>
      <x:c r="F409" s="25" t="n">
        <x:v>10</x:v>
      </x:c>
      <x:c r="G409" s="17" t="n">
        <x:v>155.977</x:v>
      </x:c>
      <x:c r="H409" s="17" t="n">
        <x:f>G409*F409</x:f>
        <x:v>1559.77</x:v>
      </x:c>
      <x:c r="I409" s="26" t="str">
        <x:f>HYPERLINK("https://etp-aktiv.ru/catalog/materialy/svarochnye-ehlektrody/2000546324-W122/","Открыть позицию")</x:f>
        <x:v>Открыть позицию</x:v>
      </x:c>
    </x:row>
    <x:row r="410" ht="28" customHeight="1">
      <x:c r="A410" s="16" t="str">
        <x:v>Рубцовский ТЭК</x:v>
      </x:c>
      <x:c r="B410" s="16" t="str">
        <x:v>2000546326-W122</x:v>
      </x:c>
      <x:c r="C410" s="16" t="str">
        <x:v>ЭЛЕКТРОД ЦТ-15 3ММ ГОСТ9466-75</x:v>
      </x:c>
      <x:c r="D410" s="16" t="str">
        <x:v>Сварочные электроды</x:v>
      </x:c>
      <x:c r="E410" s="16" t="str">
        <x:v>КГ</x:v>
      </x:c>
      <x:c r="F410" s="25" t="n">
        <x:v>7</x:v>
      </x:c>
      <x:c r="G410" s="17" t="n">
        <x:v>120.01140000000001</x:v>
      </x:c>
      <x:c r="H410" s="17" t="n">
        <x:f>G410*F410</x:f>
        <x:v>840.0798000000001</x:v>
      </x:c>
      <x:c r="I410" s="26" t="str">
        <x:f>HYPERLINK("https://etp-aktiv.ru/catalog/materialy/svarochnye-ehlektrody/2000546326-W122/","Открыть позицию")</x:f>
        <x:v>Открыть позицию</x:v>
      </x:c>
    </x:row>
    <x:row r="411" ht="28" customHeight="1">
      <x:c r="A411" s="16" t="str">
        <x:v>Рубцовский ТЭК</x:v>
      </x:c>
      <x:c r="B411" s="16" t="str">
        <x:v>2000546331-W122</x:v>
      </x:c>
      <x:c r="C411" s="16" t="str">
        <x:v>ЭЛЕКТРОД ЦУ-5 3ММ ГОСТ9466-75</x:v>
      </x:c>
      <x:c r="D411" s="16" t="str">
        <x:v>Сварочные электроды</x:v>
      </x:c>
      <x:c r="E411" s="16" t="str">
        <x:v>КГ</x:v>
      </x:c>
      <x:c r="F411" s="25" t="n">
        <x:v>10</x:v>
      </x:c>
      <x:c r="G411" s="17" t="n">
        <x:v>15.4818</x:v>
      </x:c>
      <x:c r="H411" s="17" t="n">
        <x:f>G411*F411</x:f>
        <x:v>154.81799999999998</x:v>
      </x:c>
      <x:c r="I411" s="26" t="str">
        <x:f>HYPERLINK("https://etp-aktiv.ru/catalog/materialy/svarochnye-ehlektrody/2000546331-W122/","Открыть позицию")</x:f>
        <x:v>Открыть позицию</x:v>
      </x:c>
    </x:row>
    <x:row r="412" ht="28" customHeight="1">
      <x:c r="A412" s="16" t="str">
        <x:v>Рубцовский ТЭК</x:v>
      </x:c>
      <x:c r="B412" s="16" t="str">
        <x:v>2000440326-W122</x:v>
      </x:c>
      <x:c r="C412" s="16" t="str">
        <x:v>ЭЛЕКТРОД Э46 4ММ ГОСТ9467-75</x:v>
      </x:c>
      <x:c r="D412" s="16" t="str">
        <x:v>Сварочные электроды</x:v>
      </x:c>
      <x:c r="E412" s="16" t="str">
        <x:v>Т</x:v>
      </x:c>
      <x:c r="F412" s="30" t="n">
        <x:v>0.003</x:v>
      </x:c>
      <x:c r="G412" s="17" t="n">
        <x:v>81293.175</x:v>
      </x:c>
      <x:c r="H412" s="17" t="n">
        <x:f>G412*F412</x:f>
        <x:v>243.879525</x:v>
      </x:c>
      <x:c r="I412" s="26" t="str">
        <x:f>HYPERLINK("https://etp-aktiv.ru/catalog/materialy/svarochnye-ehlektrody/2000440326-W122/","Открыть позицию")</x:f>
        <x:v>Открыть позицию</x:v>
      </x:c>
    </x:row>
    <x:row r="413" ht="28" customHeight="1">
      <x:c r="A413" s="16" t="str">
        <x:v>Рубцовский ТЭК</x:v>
      </x:c>
      <x:c r="B413" s="16" t="str">
        <x:v>2000228685-W122</x:v>
      </x:c>
      <x:c r="C413" s="16" t="str">
        <x:v>ЭЛЕКТРОД ЭА-395/9 3ММ ГОСТ9466-75 (КГ)</x:v>
      </x:c>
      <x:c r="D413" s="16" t="str">
        <x:v>Сварочные электроды</x:v>
      </x:c>
      <x:c r="E413" s="16" t="str">
        <x:v>КГ</x:v>
      </x:c>
      <x:c r="F413" s="30" t="n">
        <x:v>0.276</x:v>
      </x:c>
      <x:c r="G413" s="17" t="n">
        <x:v>1429.3641999999998</x:v>
      </x:c>
      <x:c r="H413" s="17" t="n">
        <x:f>G413*F413</x:f>
        <x:v>394.50451919999995</x:v>
      </x:c>
      <x:c r="I413" s="26" t="str">
        <x:f>HYPERLINK("https://etp-aktiv.ru/catalog/materialy/svarochnye-ehlektrody/2000228685-W122/","Открыть позицию")</x:f>
        <x:v>Открыть позицию</x:v>
      </x:c>
    </x:row>
    <x:row r="414" ht="28" customHeight="1">
      <x:c r="A414" s="16" t="str">
        <x:v>Филиал БТСК</x:v>
      </x:c>
      <x:c r="B414" s="16" t="str">
        <x:v>2000165638-W121</x:v>
      </x:c>
      <x:c r="C414" s="16" t="str">
        <x:v>БАЛКА СТ255 20Б1 ГОСТ8239-89</x:v>
      </x:c>
      <x:c r="D414" s="16" t="str">
        <x:v>М/прокат черный</x:v>
      </x:c>
      <x:c r="E414" s="16" t="str">
        <x:v>Т</x:v>
      </x:c>
      <x:c r="F414" s="30" t="n">
        <x:v>0.058</x:v>
      </x:c>
      <x:c r="G414" s="17" t="n">
        <x:v>22234.5</x:v>
      </x:c>
      <x:c r="H414" s="17" t="n">
        <x:f>G414*F414</x:f>
        <x:v>1289.601</x:v>
      </x:c>
      <x:c r="I414" s="26" t="str">
        <x:f>HYPERLINK("https://etp-aktiv.ru/catalog/materialy/metalloprodukciya/2000165638-W121/","Открыть позицию")</x:f>
        <x:v>Открыть позицию</x:v>
      </x:c>
    </x:row>
    <x:row r="415" ht="28" customHeight="1">
      <x:c r="A415" s="16" t="str">
        <x:v>Филиал БТСК</x:v>
      </x:c>
      <x:c r="B415" s="16" t="str">
        <x:v>2000068283-W121</x:v>
      </x:c>
      <x:c r="C415" s="16" t="str">
        <x:v>БОЛТ М10*100 ГОСТ7798-70</x:v>
      </x:c>
      <x:c r="D415" s="16" t="str">
        <x:v>Метизы</x:v>
      </x:c>
      <x:c r="E415" s="16" t="str">
        <x:v>КГ</x:v>
      </x:c>
      <x:c r="F415" s="24" t="n">
        <x:v>11.2</x:v>
      </x:c>
      <x:c r="G415" s="17" t="n">
        <x:v>76.7136</x:v>
      </x:c>
      <x:c r="H415" s="17" t="n">
        <x:f>G415*F415</x:f>
        <x:v>859.19232</x:v>
      </x:c>
      <x:c r="I415" s="26" t="str">
        <x:f>HYPERLINK("https://etp-aktiv.ru/catalog/materialy/metizy/2000068283-W121/","Открыть позицию")</x:f>
        <x:v>Открыть позицию</x:v>
      </x:c>
    </x:row>
    <x:row r="416" ht="28" customHeight="1">
      <x:c r="A416" s="16" t="str">
        <x:v>Филиал БТСК</x:v>
      </x:c>
      <x:c r="B416" s="16" t="str">
        <x:v>2000068413-W121</x:v>
      </x:c>
      <x:c r="C416" s="16" t="str">
        <x:v>БОЛТ М12*120 ГОСТ7805-70</x:v>
      </x:c>
      <x:c r="D416" s="16" t="str">
        <x:v>Метизы</x:v>
      </x:c>
      <x:c r="E416" s="16" t="str">
        <x:v>КГ</x:v>
      </x:c>
      <x:c r="F416" s="25" t="n">
        <x:v>31</x:v>
      </x:c>
      <x:c r="G416" s="17" t="n">
        <x:v>74.7738</x:v>
      </x:c>
      <x:c r="H416" s="17" t="n">
        <x:f>G416*F416</x:f>
        <x:v>2317.9878</x:v>
      </x:c>
      <x:c r="I416" s="26" t="str">
        <x:f>HYPERLINK("https://etp-aktiv.ru/catalog/materialy/metizy/2000068413-W121/","Открыть позицию")</x:f>
        <x:v>Открыть позицию</x:v>
      </x:c>
    </x:row>
    <x:row r="417" ht="28" customHeight="1">
      <x:c r="A417" s="16" t="str">
        <x:v>Филиал БТСК</x:v>
      </x:c>
      <x:c r="B417" s="16" t="str">
        <x:v>2000068298-W121</x:v>
      </x:c>
      <x:c r="C417" s="16" t="str">
        <x:v>БОЛТ М14*100 ГОСТ7805-70</x:v>
      </x:c>
      <x:c r="D417" s="16" t="str">
        <x:v>Метизы</x:v>
      </x:c>
      <x:c r="E417" s="16" t="str">
        <x:v>КГ</x:v>
      </x:c>
      <x:c r="F417" s="25" t="n">
        <x:v>44</x:v>
      </x:c>
      <x:c r="G417" s="17" t="n">
        <x:v>74.176</x:v>
      </x:c>
      <x:c r="H417" s="17" t="n">
        <x:f>G417*F417</x:f>
        <x:v>3263.744</x:v>
      </x:c>
      <x:c r="I417" s="26" t="str">
        <x:f>HYPERLINK("https://etp-aktiv.ru/catalog/materialy/metizy/2000068298-W121/","Открыть позицию")</x:f>
        <x:v>Открыть позицию</x:v>
      </x:c>
    </x:row>
    <x:row r="418" ht="28" customHeight="1">
      <x:c r="A418" s="16" t="str">
        <x:v>Филиал БТСК</x:v>
      </x:c>
      <x:c r="B418" s="16" t="str">
        <x:v>2000068421-W121</x:v>
      </x:c>
      <x:c r="C418" s="16" t="str">
        <x:v>БОЛТ М16*50 ГОСТ7805-70</x:v>
      </x:c>
      <x:c r="D418" s="16" t="str">
        <x:v>Метизы</x:v>
      </x:c>
      <x:c r="E418" s="16" t="str">
        <x:v>КГ</x:v>
      </x:c>
      <x:c r="F418" s="24" t="n">
        <x:v>96.66</x:v>
      </x:c>
      <x:c r="G418" s="17" t="n">
        <x:v>31.122200000000003</x:v>
      </x:c>
      <x:c r="H418" s="17" t="n">
        <x:f>G418*F418</x:f>
        <x:v>3008.2718520000003</x:v>
      </x:c>
      <x:c r="I418" s="26" t="str">
        <x:f>HYPERLINK("https://etp-aktiv.ru/catalog/materialy/metizy/2000068421-W121/","Открыть позицию")</x:f>
        <x:v>Открыть позицию</x:v>
      </x:c>
    </x:row>
    <x:row r="419" ht="28" customHeight="1">
      <x:c r="A419" s="16" t="str">
        <x:v>Филиал БТСК</x:v>
      </x:c>
      <x:c r="B419" s="16" t="str">
        <x:v>2000167187-W121</x:v>
      </x:c>
      <x:c r="C419" s="16" t="str">
        <x:v>БОЛТ М27*110 ГОСТ7798-70</x:v>
      </x:c>
      <x:c r="D419" s="16" t="str">
        <x:v>Метизы</x:v>
      </x:c>
      <x:c r="E419" s="16" t="str">
        <x:v>КГ</x:v>
      </x:c>
      <x:c r="F419" s="24" t="n">
        <x:v>2.69</x:v>
      </x:c>
      <x:c r="G419" s="17" t="n">
        <x:v>113.216</x:v>
      </x:c>
      <x:c r="H419" s="17" t="n">
        <x:f>G419*F419</x:f>
        <x:v>304.55104</x:v>
      </x:c>
      <x:c r="I419" s="26" t="str">
        <x:f>HYPERLINK("https://etp-aktiv.ru/catalog/materialy/metizy/2000167187-W121/","Открыть позицию")</x:f>
        <x:v>Открыть позицию</x:v>
      </x:c>
    </x:row>
    <x:row r="420" ht="28" customHeight="1">
      <x:c r="A420" s="16" t="str">
        <x:v>Филиал БТСК</x:v>
      </x:c>
      <x:c r="B420" s="16" t="str">
        <x:v>2000530015-W121</x:v>
      </x:c>
      <x:c r="C420" s="16" t="str">
        <x:v>БОЛТ ФУНД 5 М24*300 СТ09Г2С ГОСТ24379.1</x:v>
      </x:c>
      <x:c r="D420" s="16" t="str">
        <x:v>Метизы</x:v>
      </x:c>
      <x:c r="E420" s="16" t="str">
        <x:v>КГ</x:v>
      </x:c>
      <x:c r="F420" s="24" t="n">
        <x:v>28.66</x:v>
      </x:c>
      <x:c r="G420" s="17" t="n">
        <x:v>478.8988</x:v>
      </x:c>
      <x:c r="H420" s="17" t="n">
        <x:f>G420*F420</x:f>
        <x:v>13725.239608</x:v>
      </x:c>
      <x:c r="I420" s="26" t="str">
        <x:f>HYPERLINK("https://etp-aktiv.ru/catalog/materialy/metizy/2000530015-W121/","Открыть позицию")</x:f>
        <x:v>Открыть позицию</x:v>
      </x:c>
    </x:row>
    <x:row r="421" ht="28" customHeight="1">
      <x:c r="A421" s="16" t="str">
        <x:v>Филиал БТСК</x:v>
      </x:c>
      <x:c r="B421" s="16" t="str">
        <x:v>2000068474-W121</x:v>
      </x:c>
      <x:c r="C421" s="16" t="str">
        <x:v>ГАЙКА М12 ГОСТ5915-70</x:v>
      </x:c>
      <x:c r="D421" s="16" t="str">
        <x:v>Метизы</x:v>
      </x:c>
      <x:c r="E421" s="16" t="str">
        <x:v>КГ</x:v>
      </x:c>
      <x:c r="F421" s="30" t="n">
        <x:v>0.56</x:v>
      </x:c>
      <x:c r="G421" s="17" t="n">
        <x:v>126.8922</x:v>
      </x:c>
      <x:c r="H421" s="17" t="n">
        <x:f>G421*F421</x:f>
        <x:v>71.05963200000001</x:v>
      </x:c>
      <x:c r="I421" s="26" t="str">
        <x:f>HYPERLINK("https://etp-aktiv.ru/catalog/materialy/metizy/2000068474-W121/","Открыть позицию")</x:f>
        <x:v>Открыть позицию</x:v>
      </x:c>
    </x:row>
    <x:row r="422" ht="28" customHeight="1">
      <x:c r="A422" s="16" t="str">
        <x:v>Филиал БТСК</x:v>
      </x:c>
      <x:c r="B422" s="16" t="str">
        <x:v>2000326683-W121</x:v>
      </x:c>
      <x:c r="C422" s="16" t="str">
        <x:v>ГАЙКА М8 8.0 ОЦИНК DIN985</x:v>
      </x:c>
      <x:c r="D422" s="16" t="str">
        <x:v>Метизы Спец</x:v>
      </x:c>
      <x:c r="E422" s="16" t="str">
        <x:v>КГ</x:v>
      </x:c>
      <x:c r="F422" s="30" t="n">
        <x:v>0.48</x:v>
      </x:c>
      <x:c r="G422" s="17" t="n">
        <x:v>343.125</x:v>
      </x:c>
      <x:c r="H422" s="17" t="n">
        <x:f>G422*F422</x:f>
        <x:v>164.7</x:v>
      </x:c>
      <x:c r="I422" s="26" t="str">
        <x:f>HYPERLINK("https://etp-aktiv.ru/catalog/materialy/metizy/2000326683-W121/","Открыть позицию")</x:f>
        <x:v>Открыть позицию</x:v>
      </x:c>
    </x:row>
    <x:row r="423" ht="28" customHeight="1">
      <x:c r="A423" s="16" t="str">
        <x:v>Филиал БТСК</x:v>
      </x:c>
      <x:c r="B423" s="16" t="str">
        <x:v>2000530095-W121</x:v>
      </x:c>
      <x:c r="C423" s="16" t="str">
        <x:v>ГВОЗДЬ П 1,2*20 ГОСТ4028-63</x:v>
      </x:c>
      <x:c r="D423" s="16" t="str">
        <x:v>Метизы</x:v>
      </x:c>
      <x:c r="E423" s="16" t="str">
        <x:v>КГ</x:v>
      </x:c>
      <x:c r="F423" s="24" t="n">
        <x:v>4.581</x:v>
      </x:c>
      <x:c r="G423" s="17" t="n">
        <x:v>14.64</x:v>
      </x:c>
      <x:c r="H423" s="17" t="n">
        <x:f>G423*F423</x:f>
        <x:v>67.06584000000001</x:v>
      </x:c>
      <x:c r="I423" s="26" t="str">
        <x:f>HYPERLINK("https://etp-aktiv.ru/catalog/materialy/metizy/2000530095-W121/","Открыть позицию")</x:f>
        <x:v>Открыть позицию</x:v>
      </x:c>
    </x:row>
    <x:row r="424" ht="28" customHeight="1">
      <x:c r="A424" s="16" t="str">
        <x:v>Филиал БТСК</x:v>
      </x:c>
      <x:c r="B424" s="16" t="str">
        <x:v>2000530104-W121</x:v>
      </x:c>
      <x:c r="C424" s="16" t="str">
        <x:v>ГВОЗДЬ П 4*120 ГОСТ4028-63</x:v>
      </x:c>
      <x:c r="D424" s="16" t="str">
        <x:v>Метизы</x:v>
      </x:c>
      <x:c r="E424" s="16" t="str">
        <x:v>КГ</x:v>
      </x:c>
      <x:c r="F424" s="24" t="n">
        <x:v>14.85</x:v>
      </x:c>
      <x:c r="G424" s="17" t="n">
        <x:v>28.5846</x:v>
      </x:c>
      <x:c r="H424" s="17" t="n">
        <x:f>G424*F424</x:f>
        <x:v>424.48130999999995</x:v>
      </x:c>
      <x:c r="I424" s="26" t="str">
        <x:f>HYPERLINK("https://etp-aktiv.ru/catalog/materialy/metizy/2000530104-W121/","Открыть позицию")</x:f>
        <x:v>Открыть позицию</x:v>
      </x:c>
    </x:row>
    <x:row r="425" ht="28" customHeight="1">
      <x:c r="A425" s="16" t="str">
        <x:v>Филиал БТСК</x:v>
      </x:c>
      <x:c r="B425" s="16" t="str">
        <x:v>2000278843-W121</x:v>
      </x:c>
      <x:c r="C425" s="16" t="str">
        <x:v>ЗАГОТОВКА СЧ20 D100 L500 ГОСТ1412-85</x:v>
      </x:c>
      <x:c r="D425" s="16" t="str">
        <x:v>М/прокат прочий</x:v>
      </x:c>
      <x:c r="E425" s="16" t="str">
        <x:v>ШТ</x:v>
      </x:c>
      <x:c r="F425" s="25" t="n">
        <x:v>3</x:v>
      </x:c>
      <x:c r="G425" s="17" t="n">
        <x:v>5009.625</x:v>
      </x:c>
      <x:c r="H425" s="17" t="n">
        <x:f>G425*F425</x:f>
        <x:v>15028.875</x:v>
      </x:c>
      <x:c r="I425" s="26" t="str">
        <x:f>HYPERLINK("https://etp-aktiv.ru/catalog/materialy/metalloprodukciya/2000278843-W121/","Открыть позицию")</x:f>
        <x:v>Открыть позицию</x:v>
      </x:c>
    </x:row>
    <x:row r="426" ht="28" customHeight="1">
      <x:c r="A426" s="16" t="str">
        <x:v>Филиал БТСК</x:v>
      </x:c>
      <x:c r="B426" s="16" t="str">
        <x:v>2000561545-W121</x:v>
      </x:c>
      <x:c r="C426" s="16" t="str">
        <x:v>ИЗДЕЛИЕ ЗАКЛ МН708-2 1.400-15.В1.710-15</x:v>
      </x:c>
      <x:c r="D426" s="16" t="str">
        <x:v>Металлоконструкции</x:v>
      </x:c>
      <x:c r="E426" s="16" t="str">
        <x:v>ШТ</x:v>
      </x:c>
      <x:c r="F426" s="25" t="n">
        <x:v>3</x:v>
      </x:c>
      <x:c r="G426" s="17" t="n">
        <x:v>203.59359999999998</x:v>
      </x:c>
      <x:c r="H426" s="17" t="n">
        <x:f>G426*F426</x:f>
        <x:v>610.7808</x:v>
      </x:c>
      <x:c r="I426" s="26" t="str">
        <x:f>HYPERLINK("https://etp-aktiv.ru/catalog/materialy/metallokonstrukcii/2000561545-W121/","Открыть позицию")</x:f>
        <x:v>Открыть позицию</x:v>
      </x:c>
    </x:row>
    <x:row r="427" ht="28" customHeight="1">
      <x:c r="A427" s="16" t="str">
        <x:v>Филиал БТСК</x:v>
      </x:c>
      <x:c r="B427" s="16" t="str">
        <x:v>2000028686-W121</x:v>
      </x:c>
      <x:c r="C427" s="16" t="str">
        <x:v>КРУГ СТ20 D60ММ ГОСТ1050-88</x:v>
      </x:c>
      <x:c r="D427" s="16" t="str">
        <x:v>М/прокат черный</x:v>
      </x:c>
      <x:c r="E427" s="16" t="str">
        <x:v>Т</x:v>
      </x:c>
      <x:c r="F427" s="30" t="n">
        <x:v>0.19</x:v>
      </x:c>
      <x:c r="G427" s="17" t="n">
        <x:v>27854.271399999998</x:v>
      </x:c>
      <x:c r="H427" s="17" t="n">
        <x:f>G427*F427</x:f>
        <x:v>5292.311565999999</x:v>
      </x:c>
      <x:c r="I427" s="26" t="str">
        <x:f>HYPERLINK("https://etp-aktiv.ru/catalog/materialy/metalloprodukciya/2000028686-W121/","Открыть позицию")</x:f>
        <x:v>Открыть позицию</x:v>
      </x:c>
    </x:row>
    <x:row r="428" ht="28" customHeight="1">
      <x:c r="A428" s="16" t="str">
        <x:v>Филиал БТСК</x:v>
      </x:c>
      <x:c r="B428" s="16" t="str">
        <x:v>2000555823-W121</x:v>
      </x:c>
      <x:c r="C428" s="16" t="str">
        <x:v>КРУГ СТ20 D75ММ ГОСТ2590-2006</x:v>
      </x:c>
      <x:c r="D428" s="16" t="str">
        <x:v>М/прокат черный</x:v>
      </x:c>
      <x:c r="E428" s="16" t="str">
        <x:v>Т</x:v>
      </x:c>
      <x:c r="F428" s="30" t="n">
        <x:v>0.21</x:v>
      </x:c>
      <x:c r="G428" s="17" t="n">
        <x:v>38887.5</x:v>
      </x:c>
      <x:c r="H428" s="17" t="n">
        <x:f>G428*F428</x:f>
        <x:v>8166.375</x:v>
      </x:c>
      <x:c r="I428" s="26" t="str">
        <x:f>HYPERLINK("https://etp-aktiv.ru/catalog/materialy/metalloprodukciya/2000555823-W121/","Открыть позицию")</x:f>
        <x:v>Открыть позицию</x:v>
      </x:c>
    </x:row>
    <x:row r="429" ht="28" customHeight="1">
      <x:c r="A429" s="16" t="str">
        <x:v>Филиал БТСК</x:v>
      </x:c>
      <x:c r="B429" s="16" t="str">
        <x:v>2000014890-W121</x:v>
      </x:c>
      <x:c r="C429" s="16" t="str">
        <x:v>КРУГ СТ3 D40ММ ГОСТ2590-2006</x:v>
      </x:c>
      <x:c r="D429" s="16" t="str">
        <x:v>М/прокат черный</x:v>
      </x:c>
      <x:c r="E429" s="16" t="str">
        <x:v>Т</x:v>
      </x:c>
      <x:c r="F429" s="30" t="n">
        <x:v>0.029</x:v>
      </x:c>
      <x:c r="G429" s="17" t="n">
        <x:v>36846.8914</x:v>
      </x:c>
      <x:c r="H429" s="17" t="n">
        <x:f>G429*F429</x:f>
        <x:v>1068.5598506000001</x:v>
      </x:c>
      <x:c r="I429" s="26" t="str">
        <x:f>HYPERLINK("https://etp-aktiv.ru/catalog/materialy/metalloprodukciya/2000014890-W121/","Открыть позицию")</x:f>
        <x:v>Открыть позицию</x:v>
      </x:c>
    </x:row>
    <x:row r="430" ht="28" customHeight="1">
      <x:c r="A430" s="16" t="str">
        <x:v>Филиал БТСК</x:v>
      </x:c>
      <x:c r="B430" s="16" t="str">
        <x:v>2000014897-W121</x:v>
      </x:c>
      <x:c r="C430" s="16" t="str">
        <x:v>КРУГ СТ3 D80ММ ГОСТ2590-2006</x:v>
      </x:c>
      <x:c r="D430" s="16" t="str">
        <x:v>М/прокат черный</x:v>
      </x:c>
      <x:c r="E430" s="16" t="str">
        <x:v>Т</x:v>
      </x:c>
      <x:c r="F430" s="30" t="n">
        <x:v>0.079</x:v>
      </x:c>
      <x:c r="G430" s="17" t="n">
        <x:v>16675.875</x:v>
      </x:c>
      <x:c r="H430" s="17" t="n">
        <x:f>G430*F430</x:f>
        <x:v>1317.394125</x:v>
      </x:c>
      <x:c r="I430" s="26" t="str">
        <x:f>HYPERLINK("https://etp-aktiv.ru/catalog/materialy/metalloprodukciya/2000014897-W121/","Открыть позицию")</x:f>
        <x:v>Открыть позицию</x:v>
      </x:c>
    </x:row>
    <x:row r="431" ht="28" customHeight="1">
      <x:c r="A431" s="16" t="str">
        <x:v>Филиал БТСК</x:v>
      </x:c>
      <x:c r="B431" s="16" t="str">
        <x:v>2000148529-W121</x:v>
      </x:c>
      <x:c r="C431" s="16" t="str">
        <x:v>КРУГ СТ45 D32ММ ГОСТ2590-88</x:v>
      </x:c>
      <x:c r="D431" s="16" t="str">
        <x:v>М/прокат черный</x:v>
      </x:c>
      <x:c r="E431" s="16" t="str">
        <x:v>Т</x:v>
      </x:c>
      <x:c r="F431" s="30" t="n">
        <x:v>0.038</x:v>
      </x:c>
      <x:c r="G431" s="17" t="n">
        <x:v>68625</x:v>
      </x:c>
      <x:c r="H431" s="17" t="n">
        <x:f>G431*F431</x:f>
        <x:v>2607.75</x:v>
      </x:c>
      <x:c r="I431" s="26" t="str">
        <x:f>HYPERLINK("https://etp-aktiv.ru/catalog/materialy/metalloprodukciya/2000148529-W121/","Открыть позицию")</x:f>
        <x:v>Открыть позицию</x:v>
      </x:c>
    </x:row>
    <x:row r="432" ht="28" customHeight="1">
      <x:c r="A432" s="16" t="str">
        <x:v>Филиал БТСК</x:v>
      </x:c>
      <x:c r="B432" s="16" t="str">
        <x:v>2000260503-W121</x:v>
      </x:c>
      <x:c r="C432" s="16" t="str">
        <x:v>ПОЛОСА СТ3КП2 4*40 ГОСТ103-06</x:v>
      </x:c>
      <x:c r="D432" s="16" t="str">
        <x:v>М/прокат прочий</x:v>
      </x:c>
      <x:c r="E432" s="16" t="str">
        <x:v>Т</x:v>
      </x:c>
      <x:c r="F432" s="30" t="n">
        <x:v>0.21</x:v>
      </x:c>
      <x:c r="G432" s="17" t="n">
        <x:v>36174.817800000004</x:v>
      </x:c>
      <x:c r="H432" s="17" t="n">
        <x:f>G432*F432</x:f>
        <x:v>7596.711738000001</x:v>
      </x:c>
      <x:c r="I432" s="26" t="str">
        <x:f>HYPERLINK("https://etp-aktiv.ru/catalog/materialy/metalloprodukciya/2000260503-W121/","Открыть позицию")</x:f>
        <x:v>Открыть позицию</x:v>
      </x:c>
    </x:row>
    <x:row r="433" ht="28" customHeight="1">
      <x:c r="A433" s="16" t="str">
        <x:v>Филиал БТСК</x:v>
      </x:c>
      <x:c r="B433" s="16" t="str">
        <x:v>2000148192-W121</x:v>
      </x:c>
      <x:c r="C433" s="16" t="str">
        <x:v>УГОЛОК СТ3 100*100*10 ГОСТ8509-93</x:v>
      </x:c>
      <x:c r="D433" s="16" t="str">
        <x:v>М/прокат черный</x:v>
      </x:c>
      <x:c r="E433" s="16" t="str">
        <x:v>Т</x:v>
      </x:c>
      <x:c r="F433" s="30" t="n">
        <x:v>0.025</x:v>
      </x:c>
      <x:c r="G433" s="17" t="n">
        <x:v>54522.5686</x:v>
      </x:c>
      <x:c r="H433" s="17" t="n">
        <x:f>G433*F433</x:f>
        <x:v>1363.064215</x:v>
      </x:c>
      <x:c r="I433" s="26" t="str">
        <x:f>HYPERLINK("https://etp-aktiv.ru/catalog/materialy/metalloprodukciya/2000148192-W121/","Открыть позицию")</x:f>
        <x:v>Открыть позицию</x:v>
      </x:c>
    </x:row>
    <x:row r="434" ht="28" customHeight="1">
      <x:c r="A434" s="16" t="str">
        <x:v>Филиал БТСК</x:v>
      </x:c>
      <x:c r="B434" s="16" t="str">
        <x:v>2000530251-W121</x:v>
      </x:c>
      <x:c r="C434" s="16" t="str">
        <x:v>ШАЙБА ПЛОС А.12 01.СТ08КП 016 ГОСТ11371</x:v>
      </x:c>
      <x:c r="D434" s="16" t="str">
        <x:v>Метизы Спец</x:v>
      </x:c>
      <x:c r="E434" s="16" t="str">
        <x:v>КГ</x:v>
      </x:c>
      <x:c r="F434" s="30" t="n">
        <x:v>0.002</x:v>
      </x:c>
      <x:c r="G434" s="17" t="n">
        <x:v>29.743599999999997</x:v>
      </x:c>
      <x:c r="H434" s="17" t="n">
        <x:f>G434*F434</x:f>
        <x:v>0.0594872</x:v>
      </x:c>
      <x:c r="I434" s="26" t="str">
        <x:f>HYPERLINK("https://etp-aktiv.ru/catalog/materialy/metizy/2000530251-W121/","Открыть позицию")</x:f>
        <x:v>Открыть позицию</x:v>
      </x:c>
    </x:row>
    <x:row r="435" ht="28" customHeight="1">
      <x:c r="A435" s="16" t="str">
        <x:v>Филиал БТСК</x:v>
      </x:c>
      <x:c r="B435" s="16" t="str">
        <x:v>2000530281-W121</x:v>
      </x:c>
      <x:c r="C435" s="16" t="str">
        <x:v>ШАЙБА ПРУЖИННАЯ 1.10 СТ65Г ГОСТ6402</x:v>
      </x:c>
      <x:c r="D435" s="16" t="str">
        <x:v>Метизы</x:v>
      </x:c>
      <x:c r="E435" s="16" t="str">
        <x:v>КГ</x:v>
      </x:c>
      <x:c r="F435" s="24" t="n">
        <x:v>2.5</x:v>
      </x:c>
      <x:c r="G435" s="17" t="n">
        <x:v>24.6196</x:v>
      </x:c>
      <x:c r="H435" s="17" t="n">
        <x:f>G435*F435</x:f>
        <x:v>61.54899999999999</x:v>
      </x:c>
      <x:c r="I435" s="26" t="str">
        <x:f>HYPERLINK("https://etp-aktiv.ru/catalog/materialy/metizy/2000530281-W121/","Открыть позицию")</x:f>
        <x:v>Открыть позицию</x:v>
      </x:c>
    </x:row>
    <x:row r="436" ht="28" customHeight="1">
      <x:c r="A436" s="16" t="str">
        <x:v>Филиал БТСК</x:v>
      </x:c>
      <x:c r="B436" s="16" t="str">
        <x:v>2000530300-W121</x:v>
      </x:c>
      <x:c r="C436" s="16" t="str">
        <x:v>ШАЙБА ПРУЖИННАЯ 1.6 СТ65Г ГОСТ6402</x:v>
      </x:c>
      <x:c r="D436" s="16" t="str">
        <x:v>Метизы</x:v>
      </x:c>
      <x:c r="E436" s="16" t="str">
        <x:v>КГ</x:v>
      </x:c>
      <x:c r="F436" s="30" t="n">
        <x:v>0.5</x:v>
      </x:c>
      <x:c r="G436" s="17" t="n">
        <x:v>22.2406</x:v>
      </x:c>
      <x:c r="H436" s="17" t="n">
        <x:f>G436*F436</x:f>
        <x:v>11.1203</x:v>
      </x:c>
      <x:c r="I436" s="26" t="str">
        <x:f>HYPERLINK("https://etp-aktiv.ru/catalog/materialy/metizy/2000530300-W121/","Открыть позицию")</x:f>
        <x:v>Открыть позицию</x:v>
      </x:c>
    </x:row>
    <x:row r="437" ht="28" customHeight="1">
      <x:c r="A437" s="16" t="str">
        <x:v>Филиал БТСК</x:v>
      </x:c>
      <x:c r="B437" s="16" t="str">
        <x:v>2000530305-W121</x:v>
      </x:c>
      <x:c r="C437" s="16" t="str">
        <x:v>ШАЙБА СТОПОРНАЯ 10 01 016 ГОСТ13463-77</x:v>
      </x:c>
      <x:c r="D437" s="16" t="str">
        <x:v>Метизы</x:v>
      </x:c>
      <x:c r="E437" s="16" t="str">
        <x:v>ШТ</x:v>
      </x:c>
      <x:c r="F437" s="25" t="n">
        <x:v>246</x:v>
      </x:c>
      <x:c r="G437" s="17" t="n">
        <x:v>2.867</x:v>
      </x:c>
      <x:c r="H437" s="17" t="n">
        <x:f>G437*F437</x:f>
        <x:v>705.282</x:v>
      </x:c>
      <x:c r="I437" s="26" t="str">
        <x:f>HYPERLINK("https://etp-aktiv.ru/catalog/materialy/metizy/2000530305-W121/","Открыть позицию")</x:f>
        <x:v>Открыть позицию</x:v>
      </x:c>
    </x:row>
    <x:row r="438" ht="28" customHeight="1">
      <x:c r="A438" s="16" t="str">
        <x:v>Филиал БТСК</x:v>
      </x:c>
      <x:c r="B438" s="16" t="str">
        <x:v>2000147564-W121</x:v>
      </x:c>
      <x:c r="C438" s="16" t="str">
        <x:v>ШЕСТИГРАННИК 12Х18Н10Т 19*19 ГОСТ5949-75</x:v>
      </x:c>
      <x:c r="D438" s="16" t="str">
        <x:v>М/прокат нерж сталь</x:v>
      </x:c>
      <x:c r="E438" s="16" t="str">
        <x:v>Т</x:v>
      </x:c>
      <x:c r="F438" s="30" t="n">
        <x:v>0.128</x:v>
      </x:c>
      <x:c r="G438" s="17" t="n">
        <x:v>229751.14419999998</x:v>
      </x:c>
      <x:c r="H438" s="17" t="n">
        <x:f>G438*F438</x:f>
        <x:v>29408.1464576</x:v>
      </x:c>
      <x:c r="I438" s="26" t="str">
        <x:f>HYPERLINK("https://etp-aktiv.ru/catalog/materialy/metalloprodukciya/2000147564-W121/","Открыть позицию")</x:f>
        <x:v>Открыть позицию</x:v>
      </x:c>
    </x:row>
    <x:row r="439" ht="28" customHeight="1">
      <x:c r="A439" s="16" t="str">
        <x:v>Филиал БТСК</x:v>
      </x:c>
      <x:c r="B439" s="16" t="str">
        <x:v>2000278468-W121</x:v>
      </x:c>
      <x:c r="C439" s="16" t="str">
        <x:v>ШЕСТИГРАННИК СТ20 14ММ ГОСТ2879-88</x:v>
      </x:c>
      <x:c r="D439" s="16" t="str">
        <x:v>М/прокат прочий</x:v>
      </x:c>
      <x:c r="E439" s="16" t="str">
        <x:v>Т</x:v>
      </x:c>
      <x:c r="F439" s="30" t="n">
        <x:v>0.073</x:v>
      </x:c>
      <x:c r="G439" s="17" t="n">
        <x:v>71923.514</x:v>
      </x:c>
      <x:c r="H439" s="17" t="n">
        <x:f>G439*F439</x:f>
        <x:v>5250.4165219999995</x:v>
      </x:c>
      <x:c r="I439" s="26" t="str">
        <x:f>HYPERLINK("https://etp-aktiv.ru/catalog/materialy/metalloprodukciya/2000278468-W121/","Открыть позицию")</x:f>
        <x:v>Открыть позицию</x:v>
      </x:c>
    </x:row>
    <x:row r="440" ht="28" customHeight="1">
      <x:c r="A440" s="16" t="str">
        <x:v>Филиал БТСК</x:v>
      </x:c>
      <x:c r="B440" s="16" t="str">
        <x:v>2000015424-W121</x:v>
      </x:c>
      <x:c r="C440" s="16" t="str">
        <x:v>ШЕСТИГРАННИК СТ35 27ММ ГОСТ2879-88</x:v>
      </x:c>
      <x:c r="D440" s="16" t="str">
        <x:v>М/прокат прочий</x:v>
      </x:c>
      <x:c r="E440" s="16" t="str">
        <x:v>Т</x:v>
      </x:c>
      <x:c r="F440" s="30" t="n">
        <x:v>0.03</x:v>
      </x:c>
      <x:c r="G440" s="17" t="n">
        <x:v>26115.6738</x:v>
      </x:c>
      <x:c r="H440" s="17" t="n">
        <x:f>G440*F440</x:f>
        <x:v>783.4702139999999</x:v>
      </x:c>
      <x:c r="I440" s="26" t="str">
        <x:f>HYPERLINK("https://etp-aktiv.ru/catalog/materialy/metalloprodukciya/2000015424-W121/","Открыть позицию")</x:f>
        <x:v>Открыть позицию</x:v>
      </x:c>
    </x:row>
    <x:row r="441" ht="28" customHeight="1">
      <x:c r="A441" s="16" t="str">
        <x:v>Филиал БТСК</x:v>
      </x:c>
      <x:c r="B441" s="16" t="str">
        <x:v>2000917169-W121</x:v>
      </x:c>
      <x:c r="C441" s="16" t="str">
        <x:v>ШПИЛЬКА М12*1000ММ А2 DIN975</x:v>
      </x:c>
      <x:c r="D441" s="16" t="str">
        <x:v>Метизы Спец</x:v>
      </x:c>
      <x:c r="E441" s="16" t="str">
        <x:v>ШТ</x:v>
      </x:c>
      <x:c r="F441" s="25" t="n">
        <x:v>1</x:v>
      </x:c>
      <x:c r="G441" s="17" t="n">
        <x:v>25.742</x:v>
      </x:c>
      <x:c r="H441" s="17" t="n">
        <x:f>G441*F441</x:f>
        <x:v>25.742</x:v>
      </x:c>
      <x:c r="I441" s="26" t="str">
        <x:f>HYPERLINK("https://etp-aktiv.ru/catalog/materialy/metizy/2000917169-W121/","Открыть позицию")</x:f>
        <x:v>Открыть позицию</x:v>
      </x:c>
    </x:row>
    <x:row r="442" ht="28" customHeight="1">
      <x:c r="A442" s="16" t="str">
        <x:v>Филиал БТСК</x:v>
      </x:c>
      <x:c r="B442" s="16" t="str">
        <x:v>2000292209-W121</x:v>
      </x:c>
      <x:c r="C442" s="16" t="str">
        <x:v>ШПИЛЬКА М12*200 ГОСТ22032-76</x:v>
      </x:c>
      <x:c r="D442" s="16" t="str">
        <x:v>Метизы</x:v>
      </x:c>
      <x:c r="E442" s="16" t="str">
        <x:v>ШТ</x:v>
      </x:c>
      <x:c r="F442" s="25" t="n">
        <x:v>3</x:v>
      </x:c>
      <x:c r="G442" s="17" t="n">
        <x:v>9.15</x:v>
      </x:c>
      <x:c r="H442" s="17" t="n">
        <x:f>G442*F442</x:f>
        <x:v>27.450000000000003</x:v>
      </x:c>
      <x:c r="I442" s="26" t="str">
        <x:f>HYPERLINK("https://etp-aktiv.ru/catalog/materialy/metizy/2000292209-W121/","Открыть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afb9101d119a4aee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Кабельно-проводниковая продукция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2000588496-W111</x:v>
      </x:c>
      <x:c r="C5" s="16" t="str">
        <x:v>ДЮБЕЛЬ-ХОМУТ 5*10 100ШТ</x:v>
      </x:c>
      <x:c r="D5" s="16" t="str">
        <x:v>Монтажн изд д/кабел</x:v>
      </x:c>
      <x:c r="E5" s="16" t="str">
        <x:v>УПК</x:v>
      </x:c>
      <x:c r="F5" s="25" t="n">
        <x:v>27</x:v>
      </x:c>
      <x:c r="G5" s="17" t="n">
        <x:v>9.5282</x:v>
      </x:c>
      <x:c r="H5" s="17" t="n">
        <x:f>G5*F5</x:f>
        <x:v>257.2614</x:v>
      </x:c>
      <x:c r="I5" s="26" t="str">
        <x:f>HYPERLINK("https://etp-aktiv.ru/catalog/materialy/ehlektrotekhnicheskie-materialy/2000588496-W111/","Открыть позицию")</x:f>
        <x:v>Открыть позицию</x:v>
      </x:c>
    </x:row>
    <x:row r="6" ht="28" customHeight="1">
      <x:c r="A6" s="16" t="str">
        <x:v>Барнаульская ТЭЦ-2</x:v>
      </x:c>
      <x:c r="B6" s="16" t="str">
        <x:v>2000530984-W111</x:v>
      </x:c>
      <x:c r="C6" s="16" t="str">
        <x:v>КАБЕЛЬ ААБЛ 3*185 10КВ</x:v>
      </x:c>
      <x:c r="D6" s="16" t="str">
        <x:v>Кабель общ и провод</x:v>
      </x:c>
      <x:c r="E6" s="16" t="str">
        <x:v>КМ</x:v>
      </x:c>
      <x:c r="F6" s="30" t="n">
        <x:v>0.35</x:v>
      </x:c>
      <x:c r="G6" s="17" t="n">
        <x:v>574986</x:v>
      </x:c>
      <x:c r="H6" s="17" t="n">
        <x:f>G6*F6</x:f>
        <x:v>201245.09999999998</x:v>
      </x:c>
      <x:c r="I6" s="26" t="str">
        <x:f>HYPERLINK("https://etp-aktiv.ru/catalog/materialy/kabelno-provodnikovaya-produkciya/2000530984-W111/","Открыть позицию")</x:f>
        <x:v>Открыть позицию</x:v>
      </x:c>
    </x:row>
    <x:row r="7" ht="28" customHeight="1">
      <x:c r="A7" s="16" t="str">
        <x:v>Барнаульская ТЭЦ-2</x:v>
      </x:c>
      <x:c r="B7" s="16" t="str">
        <x:v>2000531042-W111</x:v>
      </x:c>
      <x:c r="C7" s="16" t="str">
        <x:v>КАБЕЛЬ АВВГ 4*10 1КВ</x:v>
      </x:c>
      <x:c r="D7" s="16" t="str">
        <x:v>Кабель общ и провод</x:v>
      </x:c>
      <x:c r="E7" s="16" t="str">
        <x:v>КМ</x:v>
      </x:c>
      <x:c r="F7" s="30" t="n">
        <x:v>0.08</x:v>
      </x:c>
      <x:c r="G7" s="17" t="n">
        <x:v>44652</x:v>
      </x:c>
      <x:c r="H7" s="17" t="n">
        <x:f>G7*F7</x:f>
        <x:v>3572.16</x:v>
      </x:c>
      <x:c r="I7" s="26" t="str">
        <x:f>HYPERLINK("https://etp-aktiv.ru/catalog/materialy/kabelno-provodnikovaya-produkciya/2000531042-W111/","Открыть позицию")</x:f>
        <x:v>Открыть позицию</x:v>
      </x:c>
    </x:row>
    <x:row r="8" ht="28" customHeight="1">
      <x:c r="A8" s="16" t="str">
        <x:v>Барнаульская ТЭЦ-2</x:v>
      </x:c>
      <x:c r="B8" s="16" t="str">
        <x:v>2000014849-W111</x:v>
      </x:c>
      <x:c r="C8" s="16" t="str">
        <x:v>КАБЕЛЬ АКВВГ 7*2,5 0,66КВ</x:v>
      </x:c>
      <x:c r="D8" s="16" t="str">
        <x:v>Кабель общ и провод</x:v>
      </x:c>
      <x:c r="E8" s="16" t="str">
        <x:v>КМ</x:v>
      </x:c>
      <x:c r="F8" s="30" t="n">
        <x:v>0.269</x:v>
      </x:c>
      <x:c r="G8" s="17" t="n">
        <x:v>19398</x:v>
      </x:c>
      <x:c r="H8" s="17" t="n">
        <x:f>G8*F8</x:f>
        <x:v>5218.062</x:v>
      </x:c>
      <x:c r="I8" s="26" t="str">
        <x:f>HYPERLINK("https://etp-aktiv.ru/catalog/materialy/kabelno-provodnikovaya-produkciya/2000014849-W111/","Открыть позицию")</x:f>
        <x:v>Открыть позицию</x:v>
      </x:c>
    </x:row>
    <x:row r="9" ht="28" customHeight="1">
      <x:c r="A9" s="16" t="str">
        <x:v>Барнаульская ТЭЦ-2</x:v>
      </x:c>
      <x:c r="B9" s="16" t="str">
        <x:v>2000154371-W111</x:v>
      </x:c>
      <x:c r="C9" s="16" t="str">
        <x:v>КАБЕЛЬ ВВГНГ 4*35 0,66КВ</x:v>
      </x:c>
      <x:c r="D9" s="16" t="str">
        <x:v>Кабель общ и провод</x:v>
      </x:c>
      <x:c r="E9" s="16" t="str">
        <x:v>КМ</x:v>
      </x:c>
      <x:c r="F9" s="30" t="n">
        <x:v>0.1</x:v>
      </x:c>
      <x:c r="G9" s="17" t="n">
        <x:v>1146312</x:v>
      </x:c>
      <x:c r="H9" s="17" t="n">
        <x:f>G9*F9</x:f>
        <x:v>114631.20000000001</x:v>
      </x:c>
      <x:c r="I9" s="26" t="str">
        <x:f>HYPERLINK("https://etp-aktiv.ru/catalog/materialy/kabelno-provodnikovaya-produkciya/2000154371-W111/","Открыть позицию")</x:f>
        <x:v>Открыть позицию</x:v>
      </x:c>
    </x:row>
    <x:row r="10" ht="28" customHeight="1">
      <x:c r="A10" s="16" t="str">
        <x:v>Барнаульская ТЭЦ-2</x:v>
      </x:c>
      <x:c r="B10" s="16" t="str">
        <x:v>2000531220-W111</x:v>
      </x:c>
      <x:c r="C10" s="16" t="str">
        <x:v>КАБЕЛЬ ВВГНГ-LS 3*10 1КВ</x:v>
      </x:c>
      <x:c r="D10" s="16" t="str">
        <x:v>Кабель общ и провод</x:v>
      </x:c>
      <x:c r="E10" s="16" t="str">
        <x:v>КМ</x:v>
      </x:c>
      <x:c r="F10" s="30" t="n">
        <x:v>0.045</x:v>
      </x:c>
      <x:c r="G10" s="17" t="n">
        <x:v>482388</x:v>
      </x:c>
      <x:c r="H10" s="17" t="n">
        <x:f>G10*F10</x:f>
        <x:v>21707.46</x:v>
      </x:c>
      <x:c r="I10" s="26" t="str">
        <x:f>HYPERLINK("https://etp-aktiv.ru/catalog/materialy/kabelno-provodnikovaya-produkciya/2000531220-W111/","Открыть позицию")</x:f>
        <x:v>Открыть позицию</x:v>
      </x:c>
    </x:row>
    <x:row r="11" ht="28" customHeight="1">
      <x:c r="A11" s="16" t="str">
        <x:v>Барнаульская ТЭЦ-2</x:v>
      </x:c>
      <x:c r="B11" s="16" t="str">
        <x:v>2000331911-W111</x:v>
      </x:c>
      <x:c r="C11" s="16" t="str">
        <x:v>КАБЕЛЬ КПСЭНГ(A)-FRLS 1*2*1 0,66КВ</x:v>
      </x:c>
      <x:c r="D11" s="16" t="str">
        <x:v>Кабель общ и провод</x:v>
      </x:c>
      <x:c r="E11" s="16" t="str">
        <x:v>КМ</x:v>
      </x:c>
      <x:c r="F11" s="30" t="n">
        <x:v>0.06</x:v>
      </x:c>
      <x:c r="G11" s="17" t="n">
        <x:v>41724</x:v>
      </x:c>
      <x:c r="H11" s="17" t="n">
        <x:f>G11*F11</x:f>
        <x:v>2503.44</x:v>
      </x:c>
      <x:c r="I11" s="26" t="str">
        <x:f>HYPERLINK("https://etp-aktiv.ru/catalog/materialy/kabelno-provodnikovaya-produkciya/2000331911-W111/","Открыть позицию")</x:f>
        <x:v>Открыть позицию</x:v>
      </x:c>
    </x:row>
    <x:row r="12" ht="28" customHeight="1">
      <x:c r="A12" s="16" t="str">
        <x:v>Барнаульская ТЭЦ-2</x:v>
      </x:c>
      <x:c r="B12" s="16" t="str">
        <x:v>2000016673-W111</x:v>
      </x:c>
      <x:c r="C12" s="16" t="str">
        <x:v>КАБЕЛЬ ТППЭП 20*2*0,5 0,145КВ</x:v>
      </x:c>
      <x:c r="D12" s="16" t="str">
        <x:v>Кабель ГШО</x:v>
      </x:c>
      <x:c r="E12" s="16" t="str">
        <x:v>КМ</x:v>
      </x:c>
      <x:c r="F12" s="30" t="n">
        <x:v>0.2</x:v>
      </x:c>
      <x:c r="G12" s="17" t="n">
        <x:v>141154</x:v>
      </x:c>
      <x:c r="H12" s="17" t="n">
        <x:f>G12*F12</x:f>
        <x:v>28230.800000000003</x:v>
      </x:c>
      <x:c r="I12" s="26" t="str">
        <x:f>HYPERLINK("https://etp-aktiv.ru/catalog/materialy/kabelno-provodnikovaya-produkciya/2000016673-W111/","Открыть позицию")</x:f>
        <x:v>Открыть позицию</x:v>
      </x:c>
    </x:row>
    <x:row r="13" ht="28" customHeight="1">
      <x:c r="A13" s="16" t="str">
        <x:v>Барнаульская ТЭЦ-2</x:v>
      </x:c>
      <x:c r="B13" s="16" t="str">
        <x:v>2000532953-W111</x:v>
      </x:c>
      <x:c r="C13" s="16" t="str">
        <x:v>НАКОНЕЧНИК КОЛЬЦЕВОЙ НКИ 6,0-6 (КВТ)</x:v>
      </x:c>
      <x:c r="D13" s="16" t="str">
        <x:v>Монтажн изд д/кабел</x:v>
      </x:c>
      <x:c r="E13" s="16" t="str">
        <x:v>ШТ</x:v>
      </x:c>
      <x:c r="F13" s="25" t="n">
        <x:v>4</x:v>
      </x:c>
      <x:c r="G13" s="17" t="n">
        <x:v>1.4029999999999998</x:v>
      </x:c>
      <x:c r="H13" s="17" t="n">
        <x:f>G13*F13</x:f>
        <x:v>5.611999999999999</x:v>
      </x:c>
      <x:c r="I13" s="26" t="str">
        <x:f>HYPERLINK("https://etp-aktiv.ru/catalog/materialy/ehlektrotekhnicheskie-materialy/2000532953-W111/","Открыть позицию")</x:f>
        <x:v>Открыть позицию</x:v>
      </x:c>
    </x:row>
    <x:row r="14" ht="28" customHeight="1">
      <x:c r="A14" s="16" t="str">
        <x:v>Барнаульская ТЭЦ-2</x:v>
      </x:c>
      <x:c r="B14" s="16" t="str">
        <x:v>2000214477-W111</x:v>
      </x:c>
      <x:c r="C14" s="16" t="str">
        <x:v>НАКОНЕЧНИК НКИ 1,5-3 100ШТ</x:v>
      </x:c>
      <x:c r="D14" s="16" t="str">
        <x:v>Монтажн изд д/кабел</x:v>
      </x:c>
      <x:c r="E14" s="16" t="str">
        <x:v>УПК</x:v>
      </x:c>
      <x:c r="F14" s="25" t="n">
        <x:v>13</x:v>
      </x:c>
      <x:c r="G14" s="17" t="n">
        <x:v>88.5232</x:v>
      </x:c>
      <x:c r="H14" s="17" t="n">
        <x:f>G14*F14</x:f>
        <x:v>1150.8016</x:v>
      </x:c>
      <x:c r="I14" s="26" t="str">
        <x:f>HYPERLINK("https://etp-aktiv.ru/catalog/materialy/ehlektrotekhnicheskie-materialy/2000214477-W111/","Открыть позицию")</x:f>
        <x:v>Открыть позицию</x:v>
      </x:c>
    </x:row>
    <x:row r="15" ht="28" customHeight="1">
      <x:c r="A15" s="16" t="str">
        <x:v>Барнаульская ТЭЦ-2</x:v>
      </x:c>
      <x:c r="B15" s="16" t="str">
        <x:v>2000141248-W111</x:v>
      </x:c>
      <x:c r="C15" s="16" t="str">
        <x:v>НАКОНЕЧНИК ТА 120-12-14</x:v>
      </x:c>
      <x:c r="D15" s="16" t="str">
        <x:v>Монтажн изд д/кабел</x:v>
      </x:c>
      <x:c r="E15" s="16" t="str">
        <x:v>ШТ</x:v>
      </x:c>
      <x:c r="F15" s="25" t="n">
        <x:v>32</x:v>
      </x:c>
      <x:c r="G15" s="17" t="n">
        <x:v>29.1824</x:v>
      </x:c>
      <x:c r="H15" s="17" t="n">
        <x:f>G15*F15</x:f>
        <x:v>933.8368</x:v>
      </x:c>
      <x:c r="I15" s="26" t="str">
        <x:f>HYPERLINK("https://etp-aktiv.ru/catalog/materialy/ehlektrotekhnicheskie-materialy/2000141248-W111/","Открыть позицию")</x:f>
        <x:v>Открыть позицию</x:v>
      </x:c>
    </x:row>
    <x:row r="16" ht="28" customHeight="1">
      <x:c r="A16" s="16" t="str">
        <x:v>Барнаульская ТЭЦ-2</x:v>
      </x:c>
      <x:c r="B16" s="16" t="str">
        <x:v>2000323598-W111</x:v>
      </x:c>
      <x:c r="C16" s="16" t="str">
        <x:v>НАКОНЕЧНИК ТМЛ 10-8-5</x:v>
      </x:c>
      <x:c r="D16" s="16" t="str">
        <x:v>Монтажн изд д/кабел</x:v>
      </x:c>
      <x:c r="E16" s="16" t="str">
        <x:v>ШТ</x:v>
      </x:c>
      <x:c r="F16" s="25" t="n">
        <x:v>870</x:v>
      </x:c>
      <x:c r="G16" s="17" t="n">
        <x:v>6.588</x:v>
      </x:c>
      <x:c r="H16" s="17" t="n">
        <x:f>G16*F16</x:f>
        <x:v>5731.56</x:v>
      </x:c>
      <x:c r="I16" s="26" t="str">
        <x:f>HYPERLINK("https://etp-aktiv.ru/catalog/materialy/ehlektrotekhnicheskie-materialy/2000323598-W111/","Открыть позицию")</x:f>
        <x:v>Открыть позицию</x:v>
      </x:c>
    </x:row>
    <x:row r="17" ht="28" customHeight="1">
      <x:c r="A17" s="16" t="str">
        <x:v>Барнаульская ТЭЦ-2</x:v>
      </x:c>
      <x:c r="B17" s="16" t="str">
        <x:v>2000010439-W111</x:v>
      </x:c>
      <x:c r="C17" s="16" t="str">
        <x:v>ПРОВОД АПВ 2,5</x:v>
      </x:c>
      <x:c r="D17" s="16" t="str">
        <x:v>Кабель общ и провод</x:v>
      </x:c>
      <x:c r="E17" s="16" t="str">
        <x:v>КМ</x:v>
      </x:c>
      <x:c r="F17" s="30" t="n">
        <x:v>0.392</x:v>
      </x:c>
      <x:c r="G17" s="17" t="n">
        <x:v>1933.5413999999998</x:v>
      </x:c>
      <x:c r="H17" s="17" t="n">
        <x:f>G17*F17</x:f>
        <x:v>757.9482287999999</x:v>
      </x:c>
      <x:c r="I17" s="26" t="str">
        <x:f>HYPERLINK("https://etp-aktiv.ru/catalog/materialy/kabelno-provodnikovaya-produkciya/2000010439-W111/","Открыть позицию")</x:f>
        <x:v>Открыть позицию</x:v>
      </x:c>
    </x:row>
    <x:row r="18" ht="28" customHeight="1">
      <x:c r="A18" s="16" t="str">
        <x:v>Барнаульская ТЭЦ-2</x:v>
      </x:c>
      <x:c r="B18" s="16" t="str">
        <x:v>2000067270-W111</x:v>
      </x:c>
      <x:c r="C18" s="16" t="str">
        <x:v>ПРОВОД МГТФ 0,35</x:v>
      </x:c>
      <x:c r="D18" s="16" t="str">
        <x:v>Кабель общ и провод</x:v>
      </x:c>
      <x:c r="E18" s="16" t="str">
        <x:v>КМ</x:v>
      </x:c>
      <x:c r="F18" s="30" t="n">
        <x:v>0.48</x:v>
      </x:c>
      <x:c r="G18" s="17" t="n">
        <x:v>8123.492</x:v>
      </x:c>
      <x:c r="H18" s="17" t="n">
        <x:f>G18*F18</x:f>
        <x:v>3899.27616</x:v>
      </x:c>
      <x:c r="I18" s="26" t="str">
        <x:f>HYPERLINK("https://etp-aktiv.ru/catalog/materialy/kabelno-provodnikovaya-produkciya/2000067270-W111/","Открыть позицию")</x:f>
        <x:v>Открыть позицию</x:v>
      </x:c>
    </x:row>
    <x:row r="19" ht="28" customHeight="1">
      <x:c r="A19" s="16" t="str">
        <x:v>Барнаульская ТЭЦ-2</x:v>
      </x:c>
      <x:c r="B19" s="16" t="str">
        <x:v>2000011927-W111</x:v>
      </x:c>
      <x:c r="C19" s="16" t="str">
        <x:v>ПРОВОД ПВ-3 1</x:v>
      </x:c>
      <x:c r="D19" s="16" t="str">
        <x:v>Кабель общ и провод</x:v>
      </x:c>
      <x:c r="E19" s="16" t="str">
        <x:v>КМ</x:v>
      </x:c>
      <x:c r="F19" s="25" t="n">
        <x:v>1</x:v>
      </x:c>
      <x:c r="G19" s="17" t="n">
        <x:v>76402.5</x:v>
      </x:c>
      <x:c r="H19" s="17" t="n">
        <x:f>G19*F19</x:f>
        <x:v>76402.5</x:v>
      </x:c>
      <x:c r="I19" s="26" t="str">
        <x:f>HYPERLINK("https://etp-aktiv.ru/catalog/materialy/kabelno-provodnikovaya-produkciya/2000011927-W111/","Открыть позицию")</x:f>
        <x:v>Открыть позицию</x:v>
      </x:c>
    </x:row>
    <x:row r="20" ht="28" customHeight="1">
      <x:c r="A20" s="16" t="str">
        <x:v>Барнаульская ТЭЦ-2</x:v>
      </x:c>
      <x:c r="B20" s="16" t="str">
        <x:v>2000331825-W111</x:v>
      </x:c>
      <x:c r="C20" s="16" t="str">
        <x:v>ПРОВОД ПВ-3 1*4</x:v>
      </x:c>
      <x:c r="D20" s="16" t="str">
        <x:v>Кабель общ и провод</x:v>
      </x:c>
      <x:c r="E20" s="16" t="str">
        <x:v>КМ</x:v>
      </x:c>
      <x:c r="F20" s="30" t="n">
        <x:v>0.02</x:v>
      </x:c>
      <x:c r="G20" s="17" t="n">
        <x:v>31476</x:v>
      </x:c>
      <x:c r="H20" s="17" t="n">
        <x:f>G20*F20</x:f>
        <x:v>629.52</x:v>
      </x:c>
      <x:c r="I20" s="26" t="str">
        <x:f>HYPERLINK("https://etp-aktiv.ru/catalog/materialy/kabelno-provodnikovaya-produkciya/2000331825-W111/","Открыть позицию")</x:f>
        <x:v>Открыть позицию</x:v>
      </x:c>
    </x:row>
    <x:row r="21" ht="28" customHeight="1">
      <x:c r="A21" s="16" t="str">
        <x:v>Барнаульская ТЭЦ-2</x:v>
      </x:c>
      <x:c r="B21" s="16" t="str">
        <x:v>2000531599-W111</x:v>
      </x:c>
      <x:c r="C21" s="16" t="str">
        <x:v>ПРОВОД ПВСнг-LS 3*0,75</x:v>
      </x:c>
      <x:c r="D21" s="16" t="str">
        <x:v>Кабель общ и провод</x:v>
      </x:c>
      <x:c r="E21" s="16" t="str">
        <x:v>М</x:v>
      </x:c>
      <x:c r="F21" s="25" t="n">
        <x:v>1000</x:v>
      </x:c>
      <x:c r="G21" s="17" t="n">
        <x:v>67.34400000000001</x:v>
      </x:c>
      <x:c r="H21" s="17" t="n">
        <x:f>G21*F21</x:f>
        <x:v>67344.00000000001</x:v>
      </x:c>
      <x:c r="I21" s="26" t="str">
        <x:f>HYPERLINK("https://etp-aktiv.ru/catalog/materialy/kabelno-provodnikovaya-produkciya/2000531599-W111/","Открыть позицию")</x:f>
        <x:v>Открыть позицию</x:v>
      </x:c>
    </x:row>
    <x:row r="22" ht="28" customHeight="1">
      <x:c r="A22" s="16" t="str">
        <x:v>Барнаульская ТЭЦ-2</x:v>
      </x:c>
      <x:c r="B22" s="16" t="str">
        <x:v>2000565002-W111</x:v>
      </x:c>
      <x:c r="C22" s="16" t="str">
        <x:v>ПРОВОД ПУГВ 2,5 (М)</x:v>
      </x:c>
      <x:c r="D22" s="16" t="str">
        <x:v>Кабель общ и провод</x:v>
      </x:c>
      <x:c r="E22" s="16" t="str">
        <x:v>М</x:v>
      </x:c>
      <x:c r="F22" s="25" t="n">
        <x:v>20</x:v>
      </x:c>
      <x:c r="G22" s="17" t="n">
        <x:v>23.5094</x:v>
      </x:c>
      <x:c r="H22" s="17" t="n">
        <x:f>G22*F22</x:f>
        <x:v>470.188</x:v>
      </x:c>
      <x:c r="I22" s="26" t="str">
        <x:f>HYPERLINK("https://etp-aktiv.ru/catalog/materialy/kabelno-provodnikovaya-produkciya/2000565002-W111/","Открыть позицию")</x:f>
        <x:v>Открыть позицию</x:v>
      </x:c>
    </x:row>
    <x:row r="23" ht="28" customHeight="1">
      <x:c r="A23" s="16" t="str">
        <x:v>Барнаульская ТЭЦ-2</x:v>
      </x:c>
      <x:c r="B23" s="16" t="str">
        <x:v>2000326498-W111</x:v>
      </x:c>
      <x:c r="C23" s="16" t="str">
        <x:v>ПРОВОД ПУГВ 70</x:v>
      </x:c>
      <x:c r="D23" s="16" t="str">
        <x:v>Кабель общ и провод</x:v>
      </x:c>
      <x:c r="E23" s="16" t="str">
        <x:v>КМ</x:v>
      </x:c>
      <x:c r="F23" s="30" t="n">
        <x:v>0.006</x:v>
      </x:c>
      <x:c r="G23" s="17" t="n">
        <x:v>557052</x:v>
      </x:c>
      <x:c r="H23" s="17" t="n">
        <x:f>G23*F23</x:f>
        <x:v>3342.312</x:v>
      </x:c>
      <x:c r="I23" s="26" t="str">
        <x:f>HYPERLINK("https://etp-aktiv.ru/catalog/materialy/kabelno-provodnikovaya-produkciya/2000326498-W111/","Открыть позицию")</x:f>
        <x:v>Открыть позицию</x:v>
      </x:c>
    </x:row>
    <x:row r="24" ht="28" customHeight="1">
      <x:c r="A24" s="16" t="str">
        <x:v>Барнаульская ТЭЦ-2</x:v>
      </x:c>
      <x:c r="B24" s="16" t="str">
        <x:v>2000007284-W111</x:v>
      </x:c>
      <x:c r="C24" s="16" t="str">
        <x:v>ПРОВОД ПЭТВ-2 0,28</x:v>
      </x:c>
      <x:c r="D24" s="16" t="str">
        <x:v>Кабель общ и провод</x:v>
      </x:c>
      <x:c r="E24" s="16" t="str">
        <x:v>КГ</x:v>
      </x:c>
      <x:c r="F24" s="30" t="n">
        <x:v>0.15</x:v>
      </x:c>
      <x:c r="G24" s="17" t="n">
        <x:v>1082.9086</x:v>
      </x:c>
      <x:c r="H24" s="17" t="n">
        <x:f>G24*F24</x:f>
        <x:v>162.43628999999999</x:v>
      </x:c>
      <x:c r="I24" s="26" t="str">
        <x:f>HYPERLINK("https://etp-aktiv.ru/catalog/materialy/kabelno-provodnikovaya-produkciya/2000007284-W111/","Открыть позицию")</x:f>
        <x:v>Открыть позицию</x:v>
      </x:c>
    </x:row>
    <x:row r="25" ht="28" customHeight="1">
      <x:c r="A25" s="16" t="str">
        <x:v>Барнаульская ТЭЦ-2</x:v>
      </x:c>
      <x:c r="B25" s="16" t="str">
        <x:v>2000007191-W111</x:v>
      </x:c>
      <x:c r="C25" s="16" t="str">
        <x:v>ПРОВОД ПЭТВ-2 0,315</x:v>
      </x:c>
      <x:c r="D25" s="16" t="str">
        <x:v>Кабель общ и провод</x:v>
      </x:c>
      <x:c r="E25" s="16" t="str">
        <x:v>КГ</x:v>
      </x:c>
      <x:c r="F25" s="24" t="n">
        <x:v>1.75</x:v>
      </x:c>
      <x:c r="G25" s="17" t="n">
        <x:v>965.7276</x:v>
      </x:c>
      <x:c r="H25" s="17" t="n">
        <x:f>G25*F25</x:f>
        <x:v>1690.0233</x:v>
      </x:c>
      <x:c r="I25" s="26" t="str">
        <x:f>HYPERLINK("https://etp-aktiv.ru/catalog/materialy/kabelno-provodnikovaya-produkciya/2000007191-W111/","Открыть позицию")</x:f>
        <x:v>Открыть позицию</x:v>
      </x:c>
    </x:row>
    <x:row r="26" ht="28" customHeight="1">
      <x:c r="A26" s="16" t="str">
        <x:v>Барнаульская ТЭЦ-2</x:v>
      </x:c>
      <x:c r="B26" s="16" t="str">
        <x:v>2000006436-W111</x:v>
      </x:c>
      <x:c r="C26" s="16" t="str">
        <x:v>ПРОВОД ПЭТВ-2 0,75</x:v>
      </x:c>
      <x:c r="D26" s="16" t="str">
        <x:v>Кабель общ и провод</x:v>
      </x:c>
      <x:c r="E26" s="16" t="str">
        <x:v>КГ</x:v>
      </x:c>
      <x:c r="F26" s="24" t="n">
        <x:v>6.28</x:v>
      </x:c>
      <x:c r="G26" s="17" t="n">
        <x:v>874.862</x:v>
      </x:c>
      <x:c r="H26" s="17" t="n">
        <x:f>G26*F26</x:f>
        <x:v>5494.13336</x:v>
      </x:c>
      <x:c r="I26" s="26" t="str">
        <x:f>HYPERLINK("https://etp-aktiv.ru/catalog/materialy/kabelno-provodnikovaya-produkciya/2000006436-W111/","Открыть позицию")</x:f>
        <x:v>Открыть позицию</x:v>
      </x:c>
    </x:row>
    <x:row r="27" ht="28" customHeight="1">
      <x:c r="A27" s="16" t="str">
        <x:v>Барнаульская ТЭЦ-2</x:v>
      </x:c>
      <x:c r="B27" s="16" t="str">
        <x:v>2000006757-W111</x:v>
      </x:c>
      <x:c r="C27" s="16" t="str">
        <x:v>ПРОВОД ПЭТВ-2 0,9</x:v>
      </x:c>
      <x:c r="D27" s="16" t="str">
        <x:v>Кабель общ и провод</x:v>
      </x:c>
      <x:c r="E27" s="16" t="str">
        <x:v>КГ</x:v>
      </x:c>
      <x:c r="F27" s="24" t="n">
        <x:v>4.57</x:v>
      </x:c>
      <x:c r="G27" s="17" t="n">
        <x:v>891.1245999999999</x:v>
      </x:c>
      <x:c r="H27" s="17" t="n">
        <x:f>G27*F27</x:f>
        <x:v>4072.4394219999995</x:v>
      </x:c>
      <x:c r="I27" s="26" t="str">
        <x:f>HYPERLINK("https://etp-aktiv.ru/catalog/materialy/kabelno-provodnikovaya-produkciya/2000006757-W111/","Открыть позицию")</x:f>
        <x:v>Открыть позицию</x:v>
      </x:c>
    </x:row>
    <x:row r="28" ht="28" customHeight="1">
      <x:c r="A28" s="16" t="str">
        <x:v>Барнаульская ТЭЦ-2</x:v>
      </x:c>
      <x:c r="B28" s="16" t="str">
        <x:v>2000009936-W111</x:v>
      </x:c>
      <x:c r="C28" s="16" t="str">
        <x:v>ПРОВОД ТРП 1*2*0,4</x:v>
      </x:c>
      <x:c r="D28" s="16" t="str">
        <x:v>@Кабел-проводн проду</x:v>
      </x:c>
      <x:c r="E28" s="16" t="str">
        <x:v>КМ</x:v>
      </x:c>
      <x:c r="F28" s="24" t="n">
        <x:v>1.5</x:v>
      </x:c>
      <x:c r="G28" s="17" t="n">
        <x:v>5856</x:v>
      </x:c>
      <x:c r="H28" s="17" t="n">
        <x:f>G28*F28</x:f>
        <x:v>8784</x:v>
      </x:c>
      <x:c r="I28" s="26" t="str">
        <x:f>HYPERLINK("https://etp-aktiv.ru/catalog/materialy/kabelno-provodnikovaya-produkciya/2000009936-W111/","Открыть позицию")</x:f>
        <x:v>Открыть позицию</x:v>
      </x:c>
    </x:row>
    <x:row r="29" ht="28" customHeight="1">
      <x:c r="A29" s="16" t="str">
        <x:v>Бийскэнерго</x:v>
      </x:c>
      <x:c r="B29" s="16" t="str">
        <x:v>2000502677-W113</x:v>
      </x:c>
      <x:c r="C29" s="16" t="str">
        <x:v>КАБЕЛЬ ААШВ 3*120 10КВ</x:v>
      </x:c>
      <x:c r="D29" s="16" t="str">
        <x:v>Кабель общ и провод</x:v>
      </x:c>
      <x:c r="E29" s="16" t="str">
        <x:v>КМ</x:v>
      </x:c>
      <x:c r="F29" s="30" t="n">
        <x:v>0.56</x:v>
      </x:c>
      <x:c r="G29" s="17" t="n">
        <x:v>652330.95</x:v>
      </x:c>
      <x:c r="H29" s="17" t="n">
        <x:f>G29*F29</x:f>
        <x:v>365305.332</x:v>
      </x:c>
      <x:c r="I29" s="26" t="str">
        <x:f>HYPERLINK("https://etp-aktiv.ru/catalog/materialy/kabelno-provodnikovaya-produkciya/2000502677-W113/","Открыть позицию")</x:f>
        <x:v>Открыть позицию</x:v>
      </x:c>
    </x:row>
    <x:row r="30" ht="28" customHeight="1">
      <x:c r="A30" s="16" t="str">
        <x:v>Бийскэнерго</x:v>
      </x:c>
      <x:c r="B30" s="16" t="str">
        <x:v>2000014761-W113</x:v>
      </x:c>
      <x:c r="C30" s="16" t="str">
        <x:v>КАБЕЛЬ ВВГ 3*1,5 0,66КВ</x:v>
      </x:c>
      <x:c r="D30" s="16" t="str">
        <x:v>Кабель общ и провод</x:v>
      </x:c>
      <x:c r="E30" s="16" t="str">
        <x:v>КМ</x:v>
      </x:c>
      <x:c r="F30" s="24" t="n">
        <x:v>1.092</x:v>
      </x:c>
      <x:c r="G30" s="17" t="n">
        <x:v>81252</x:v>
      </x:c>
      <x:c r="H30" s="17" t="n">
        <x:f>G30*F30</x:f>
        <x:v>88727.18400000001</x:v>
      </x:c>
      <x:c r="I30" s="26" t="str">
        <x:f>HYPERLINK("https://etp-aktiv.ru/catalog/materialy/kabelno-provodnikovaya-produkciya/2000014761-W113/","Открыть позицию")</x:f>
        <x:v>Открыть позицию</x:v>
      </x:c>
    </x:row>
    <x:row r="31" ht="28" customHeight="1">
      <x:c r="A31" s="16" t="str">
        <x:v>Бийскэнерго</x:v>
      </x:c>
      <x:c r="B31" s="16" t="str">
        <x:v>2000017398-W113</x:v>
      </x:c>
      <x:c r="C31" s="16" t="str">
        <x:v>КАБЕЛЬ ВВГ 4*6 0,66КВ</x:v>
      </x:c>
      <x:c r="D31" s="16" t="str">
        <x:v>Кабель общ и провод</x:v>
      </x:c>
      <x:c r="E31" s="16" t="str">
        <x:v>КМ</x:v>
      </x:c>
      <x:c r="F31" s="30" t="n">
        <x:v>0.1</x:v>
      </x:c>
      <x:c r="G31" s="17" t="n">
        <x:v>262788</x:v>
      </x:c>
      <x:c r="H31" s="17" t="n">
        <x:f>G31*F31</x:f>
        <x:v>26278.800000000003</x:v>
      </x:c>
      <x:c r="I31" s="26" t="str">
        <x:f>HYPERLINK("https://etp-aktiv.ru/catalog/materialy/kabelno-provodnikovaya-produkciya/2000017398-W113/","Открыть позицию")</x:f>
        <x:v>Открыть позицию</x:v>
      </x:c>
    </x:row>
    <x:row r="32" ht="28" customHeight="1">
      <x:c r="A32" s="16" t="str">
        <x:v>Бийскэнерго</x:v>
      </x:c>
      <x:c r="B32" s="16" t="str">
        <x:v>2000142797-W113</x:v>
      </x:c>
      <x:c r="C32" s="16" t="str">
        <x:v>КАБЕЛЬ ВВГНГ 4*4 1КВ</x:v>
      </x:c>
      <x:c r="D32" s="16" t="str">
        <x:v>Кабель общ и провод</x:v>
      </x:c>
      <x:c r="E32" s="16" t="str">
        <x:v>КМ</x:v>
      </x:c>
      <x:c r="F32" s="30" t="n">
        <x:v>0.18</x:v>
      </x:c>
      <x:c r="G32" s="17" t="n">
        <x:v>246440</x:v>
      </x:c>
      <x:c r="H32" s="17" t="n">
        <x:f>G32*F32</x:f>
        <x:v>44359.2</x:v>
      </x:c>
      <x:c r="I32" s="26" t="str">
        <x:f>HYPERLINK("https://etp-aktiv.ru/catalog/materialy/kabelno-provodnikovaya-produkciya/2000142797-W113/","Открыть позицию")</x:f>
        <x:v>Открыть позицию</x:v>
      </x:c>
    </x:row>
    <x:row r="33" ht="28" customHeight="1">
      <x:c r="A33" s="16" t="str">
        <x:v>Бийскэнерго</x:v>
      </x:c>
      <x:c r="B33" s="16" t="str">
        <x:v>2000472129-W113</x:v>
      </x:c>
      <x:c r="C33" s="16" t="str">
        <x:v>КАБЕЛЬ ВВГНГ(А)-LS 4*16 1КВ</x:v>
      </x:c>
      <x:c r="D33" s="16" t="str">
        <x:v>Кабель общ и провод</x:v>
      </x:c>
      <x:c r="E33" s="16" t="str">
        <x:v>КМ</x:v>
      </x:c>
      <x:c r="F33" s="30" t="n">
        <x:v>0.48</x:v>
      </x:c>
      <x:c r="G33" s="17" t="n">
        <x:v>710040</x:v>
      </x:c>
      <x:c r="H33" s="17" t="n">
        <x:f>G33*F33</x:f>
        <x:v>340819.2</x:v>
      </x:c>
      <x:c r="I33" s="26" t="str">
        <x:f>HYPERLINK("https://etp-aktiv.ru/catalog/materialy/kabelno-provodnikovaya-produkciya/2000472129-W113/","Открыть позицию")</x:f>
        <x:v>Открыть позицию</x:v>
      </x:c>
    </x:row>
    <x:row r="34" ht="28" customHeight="1">
      <x:c r="A34" s="16" t="str">
        <x:v>Бийскэнерго</x:v>
      </x:c>
      <x:c r="B34" s="16" t="str">
        <x:v>2000531183-W113</x:v>
      </x:c>
      <x:c r="C34" s="16" t="str">
        <x:v>КАБЕЛЬ ВВГНГ(А)-LS 4*2,5 1КВ</x:v>
      </x:c>
      <x:c r="D34" s="16" t="str">
        <x:v>Кабель общ и провод</x:v>
      </x:c>
      <x:c r="E34" s="16" t="str">
        <x:v>КМ</x:v>
      </x:c>
      <x:c r="F34" s="30" t="n">
        <x:v>0.2</x:v>
      </x:c>
      <x:c r="G34" s="17" t="n">
        <x:v>159820</x:v>
      </x:c>
      <x:c r="H34" s="17" t="n">
        <x:f>G34*F34</x:f>
        <x:v>31964</x:v>
      </x:c>
      <x:c r="I34" s="26" t="str">
        <x:f>HYPERLINK("https://etp-aktiv.ru/catalog/materialy/kabelno-provodnikovaya-produkciya/2000531183-W113/","Открыть позицию")</x:f>
        <x:v>Открыть позицию</x:v>
      </x:c>
    </x:row>
    <x:row r="35" ht="28" customHeight="1">
      <x:c r="A35" s="16" t="str">
        <x:v>Бийскэнерго</x:v>
      </x:c>
      <x:c r="B35" s="16" t="str">
        <x:v>2000472127-W113</x:v>
      </x:c>
      <x:c r="C35" s="16" t="str">
        <x:v>КАБЕЛЬ ВВГНГ(А)-LS 4*70 1КВ</x:v>
      </x:c>
      <x:c r="D35" s="16" t="str">
        <x:v>Кабель общ и провод</x:v>
      </x:c>
      <x:c r="E35" s="16" t="str">
        <x:v>КМ</x:v>
      </x:c>
      <x:c r="F35" s="30" t="n">
        <x:v>0.04</x:v>
      </x:c>
      <x:c r="G35" s="17" t="n">
        <x:v>3243406.6</x:v>
      </x:c>
      <x:c r="H35" s="17" t="n">
        <x:f>G35*F35</x:f>
        <x:v>129736.26400000001</x:v>
      </x:c>
      <x:c r="I35" s="26" t="str">
        <x:f>HYPERLINK("https://etp-aktiv.ru/catalog/materialy/kabelno-provodnikovaya-produkciya/2000472127-W113/","Открыть позицию")</x:f>
        <x:v>Открыть позицию</x:v>
      </x:c>
    </x:row>
    <x:row r="36" ht="28" customHeight="1">
      <x:c r="A36" s="16" t="str">
        <x:v>Бийскэнерго</x:v>
      </x:c>
      <x:c r="B36" s="16" t="str">
        <x:v>2000259950-W113</x:v>
      </x:c>
      <x:c r="C36" s="16" t="str">
        <x:v>КАБЕЛЬ ВВГНГ-FRLS 3*2,5 1КВ</x:v>
      </x:c>
      <x:c r="D36" s="16" t="str">
        <x:v>Кабель общ и провод</x:v>
      </x:c>
      <x:c r="E36" s="16" t="str">
        <x:v>КМ</x:v>
      </x:c>
      <x:c r="F36" s="30" t="n">
        <x:v>0.65</x:v>
      </x:c>
      <x:c r="G36" s="17" t="n">
        <x:v>252540</x:v>
      </x:c>
      <x:c r="H36" s="17" t="n">
        <x:f>G36*F36</x:f>
        <x:v>164151</x:v>
      </x:c>
      <x:c r="I36" s="26" t="str">
        <x:f>HYPERLINK("https://etp-aktiv.ru/catalog/materialy/kabelno-provodnikovaya-produkciya/2000259950-W113/","Открыть позицию")</x:f>
        <x:v>Открыть позицию</x:v>
      </x:c>
    </x:row>
    <x:row r="37" ht="28" customHeight="1">
      <x:c r="A37" s="16" t="str">
        <x:v>Бийскэнерго</x:v>
      </x:c>
      <x:c r="B37" s="16" t="str">
        <x:v>2000067168-W113</x:v>
      </x:c>
      <x:c r="C37" s="16" t="str">
        <x:v>КАБЕЛЬ КВВГНГ 7*1,5 0,66КВ</x:v>
      </x:c>
      <x:c r="D37" s="16" t="str">
        <x:v>Кабель общ и провод</x:v>
      </x:c>
      <x:c r="E37" s="16" t="str">
        <x:v>КМ</x:v>
      </x:c>
      <x:c r="F37" s="30" t="n">
        <x:v>0.4</x:v>
      </x:c>
      <x:c r="G37" s="17" t="n">
        <x:v>145463.04</x:v>
      </x:c>
      <x:c r="H37" s="17" t="n">
        <x:f>G37*F37</x:f>
        <x:v>58185.21600000001</x:v>
      </x:c>
      <x:c r="I37" s="26" t="str">
        <x:f>HYPERLINK("https://etp-aktiv.ru/catalog/materialy/kabelno-provodnikovaya-produkciya/2000067168-W113/","Открыть позицию")</x:f>
        <x:v>Открыть позицию</x:v>
      </x:c>
    </x:row>
    <x:row r="38" ht="28" customHeight="1">
      <x:c r="A38" s="16" t="str">
        <x:v>Бийскэнерго</x:v>
      </x:c>
      <x:c r="B38" s="16" t="str">
        <x:v>2001116572-W113</x:v>
      </x:c>
      <x:c r="C38" s="16" t="str">
        <x:v>КАБЕЛЬ КВВГНГ(А)-LS 7*2,5 0,66КВ</x:v>
      </x:c>
      <x:c r="D38" s="16" t="str">
        <x:v>Кабель общ и провод</x:v>
      </x:c>
      <x:c r="E38" s="16" t="str">
        <x:v>КМ</x:v>
      </x:c>
      <x:c r="F38" s="30" t="n">
        <x:v>0.15</x:v>
      </x:c>
      <x:c r="G38" s="17" t="n">
        <x:v>207888</x:v>
      </x:c>
      <x:c r="H38" s="17" t="n">
        <x:f>G38*F38</x:f>
        <x:v>31183.199999999997</x:v>
      </x:c>
      <x:c r="I38" s="26" t="str">
        <x:f>HYPERLINK("https://etp-aktiv.ru/catalog/materialy/kabelno-provodnikovaya-produkciya/2001116572-W113/","Открыть позицию")</x:f>
        <x:v>Открыть позицию</x:v>
      </x:c>
    </x:row>
    <x:row r="39" ht="28" customHeight="1">
      <x:c r="A39" s="16" t="str">
        <x:v>Бийскэнерго</x:v>
      </x:c>
      <x:c r="B39" s="16" t="str">
        <x:v>2001084167-W113</x:v>
      </x:c>
      <x:c r="C39" s="16" t="str">
        <x:v>КАБЕЛЬ КВВГЭНГ(А)-LS 4*1,5 0,66КВ</x:v>
      </x:c>
      <x:c r="D39" s="16" t="str">
        <x:v>Кабель общ и провод</x:v>
      </x:c>
      <x:c r="E39" s="16" t="str">
        <x:v>КМ</x:v>
      </x:c>
      <x:c r="F39" s="30" t="n">
        <x:v>0.322</x:v>
      </x:c>
      <x:c r="G39" s="17" t="n">
        <x:v>140544</x:v>
      </x:c>
      <x:c r="H39" s="17" t="n">
        <x:f>G39*F39</x:f>
        <x:v>45255.168</x:v>
      </x:c>
      <x:c r="I39" s="26" t="str">
        <x:f>HYPERLINK("https://etp-aktiv.ru/catalog/materialy/kabelno-provodnikovaya-produkciya/2001084167-W113/","Открыть позицию")</x:f>
        <x:v>Открыть позицию</x:v>
      </x:c>
    </x:row>
    <x:row r="40" ht="28" customHeight="1">
      <x:c r="A40" s="16" t="str">
        <x:v>Бийскэнерго</x:v>
      </x:c>
      <x:c r="B40" s="16" t="str">
        <x:v>2000654701-W113</x:v>
      </x:c>
      <x:c r="C40" s="16" t="str">
        <x:v>КАБЕЛЬ КИС-РВНГ(А)-FRLS 2*2*0,64 0,3КВ</x:v>
      </x:c>
      <x:c r="D40" s="16" t="str">
        <x:v>Расходные материалы</x:v>
      </x:c>
      <x:c r="E40" s="16" t="str">
        <x:v>КМ</x:v>
      </x:c>
      <x:c r="F40" s="30" t="n">
        <x:v>0.1</x:v>
      </x:c>
      <x:c r="G40" s="17" t="n">
        <x:v>147379.05</x:v>
      </x:c>
      <x:c r="H40" s="17" t="n">
        <x:f>G40*F40</x:f>
        <x:v>14737.904999999999</x:v>
      </x:c>
      <x:c r="I40" s="26" t="str">
        <x:f>HYPERLINK("https://etp-aktiv.ru/catalog/materialy/komplektuyushchie-i-zapasnye-chasti-k-kompyuternomu-i-ofisnomu-oborudovaniyu/2000654701-W113/","Открыть позицию")</x:f>
        <x:v>Открыть позицию</x:v>
      </x:c>
    </x:row>
    <x:row r="41" ht="28" customHeight="1">
      <x:c r="A41" s="16" t="str">
        <x:v>Бийскэнерго</x:v>
      </x:c>
      <x:c r="B41" s="16" t="str">
        <x:v>2000532650-W113</x:v>
      </x:c>
      <x:c r="C41" s="16" t="str">
        <x:v>КОРОБ КАБЕЛЬНЫЙ СТАЛЬНОЙ СУ 100*200</x:v>
      </x:c>
      <x:c r="D41" s="16" t="str">
        <x:v>Монтажн изд д/кабел</x:v>
      </x:c>
      <x:c r="E41" s="16" t="str">
        <x:v>ШТ</x:v>
      </x:c>
      <x:c r="F41" s="25" t="n">
        <x:v>5</x:v>
      </x:c>
      <x:c r="G41" s="17" t="n">
        <x:v>570.96</x:v>
      </x:c>
      <x:c r="H41" s="17" t="n">
        <x:f>G41*F41</x:f>
        <x:v>2854.8</x:v>
      </x:c>
      <x:c r="I41" s="26" t="str">
        <x:f>HYPERLINK("https://etp-aktiv.ru/catalog/materialy/ehlektrotekhnicheskie-materialy/2000532650-W113/","Открыть позицию")</x:f>
        <x:v>Открыть позицию</x:v>
      </x:c>
    </x:row>
    <x:row r="42" ht="28" customHeight="1">
      <x:c r="A42" s="16" t="str">
        <x:v>Бийскэнерго</x:v>
      </x:c>
      <x:c r="B42" s="16" t="str">
        <x:v>2000532651-W113</x:v>
      </x:c>
      <x:c r="C42" s="16" t="str">
        <x:v>КОРОБ КАБЕЛЬНЫЙ СТАЛЬНОЙ СУВ 100*200</x:v>
      </x:c>
      <x:c r="D42" s="16" t="str">
        <x:v>Монтажн изд д/кабел</x:v>
      </x:c>
      <x:c r="E42" s="16" t="str">
        <x:v>ШТ</x:v>
      </x:c>
      <x:c r="F42" s="25" t="n">
        <x:v>2</x:v>
      </x:c>
      <x:c r="G42" s="17" t="n">
        <x:v>215.1348</x:v>
      </x:c>
      <x:c r="H42" s="17" t="n">
        <x:f>G42*F42</x:f>
        <x:v>430.2696</x:v>
      </x:c>
      <x:c r="I42" s="26" t="str">
        <x:f>HYPERLINK("https://etp-aktiv.ru/catalog/materialy/ehlektrotekhnicheskie-materialy/2000532651-W113/","Открыть позицию")</x:f>
        <x:v>Открыть позицию</x:v>
      </x:c>
    </x:row>
    <x:row r="43" ht="28" customHeight="1">
      <x:c r="A43" s="16" t="str">
        <x:v>Бийскэнерго</x:v>
      </x:c>
      <x:c r="B43" s="16" t="str">
        <x:v>2000635872-W113</x:v>
      </x:c>
      <x:c r="C43" s="16" t="str">
        <x:v>КРЫШКА ЛОТКА 200*3000 3552415HDZ</x:v>
      </x:c>
      <x:c r="D43" s="16" t="str">
        <x:v>Монтажн изд д/кабел</x:v>
      </x:c>
      <x:c r="E43" s="16" t="str">
        <x:v>ШТ</x:v>
      </x:c>
      <x:c r="F43" s="25" t="n">
        <x:v>1</x:v>
      </x:c>
      <x:c r="G43" s="17" t="n">
        <x:v>3393.6495999999997</x:v>
      </x:c>
      <x:c r="H43" s="17" t="n">
        <x:f>G43*F43</x:f>
        <x:v>3393.6495999999997</x:v>
      </x:c>
      <x:c r="I43" s="26" t="str">
        <x:f>HYPERLINK("https://etp-aktiv.ru/catalog/materialy/ehlektrotekhnicheskie-materialy/2000635872-W113/","Открыть позицию")</x:f>
        <x:v>Открыть позицию</x:v>
      </x:c>
    </x:row>
    <x:row r="44" ht="28" customHeight="1">
      <x:c r="A44" s="16" t="str">
        <x:v>Бийскэнерго</x:v>
      </x:c>
      <x:c r="B44" s="16" t="str">
        <x:v>2000384377-W113</x:v>
      </x:c>
      <x:c r="C44" s="16" t="str">
        <x:v>МЕТАЛЛОРУКАВ РЗ ЦПНГ 25</x:v>
      </x:c>
      <x:c r="D44" s="16" t="str">
        <x:v>Монтажн изд д/кабел</x:v>
      </x:c>
      <x:c r="E44" s="16" t="str">
        <x:v>М</x:v>
      </x:c>
      <x:c r="F44" s="25" t="n">
        <x:v>5</x:v>
      </x:c>
      <x:c r="G44" s="17" t="n">
        <x:v>102.48</x:v>
      </x:c>
      <x:c r="H44" s="17" t="n">
        <x:f>G44*F44</x:f>
        <x:v>512.4</x:v>
      </x:c>
      <x:c r="I44" s="26" t="str">
        <x:f>HYPERLINK("https://etp-aktiv.ru/catalog/materialy/ehlektrotekhnicheskie-materialy/2000384377-W113/","Открыть позицию")</x:f>
        <x:v>Открыть позицию</x:v>
      </x:c>
    </x:row>
    <x:row r="45" ht="28" customHeight="1">
      <x:c r="A45" s="16" t="str">
        <x:v>Бийскэнерго</x:v>
      </x:c>
      <x:c r="B45" s="16" t="str">
        <x:v>2000532919-W113</x:v>
      </x:c>
      <x:c r="C45" s="16" t="str">
        <x:v>НАКОНЕЧНИК АЛЮМИНИЕВЫЙ ТА 35-8</x:v>
      </x:c>
      <x:c r="D45" s="16" t="str">
        <x:v>Монтажн изд д/кабел</x:v>
      </x:c>
      <x:c r="E45" s="16" t="str">
        <x:v>ШТ</x:v>
      </x:c>
      <x:c r="F45" s="25" t="n">
        <x:v>16</x:v>
      </x:c>
      <x:c r="G45" s="17" t="n">
        <x:v>4.0748</x:v>
      </x:c>
      <x:c r="H45" s="17" t="n">
        <x:f>G45*F45</x:f>
        <x:v>65.1968</x:v>
      </x:c>
      <x:c r="I45" s="26" t="str">
        <x:f>HYPERLINK("https://etp-aktiv.ru/catalog/materialy/ehlektrotekhnicheskie-materialy/2000532919-W113/","Открыть позицию")</x:f>
        <x:v>Открыть позицию</x:v>
      </x:c>
    </x:row>
    <x:row r="46" ht="28" customHeight="1">
      <x:c r="A46" s="16" t="str">
        <x:v>Бийскэнерго</x:v>
      </x:c>
      <x:c r="B46" s="16" t="str">
        <x:v>2000031805-W113</x:v>
      </x:c>
      <x:c r="C46" s="16" t="str">
        <x:v>НАКОНЕЧНИК АЛЮМИНИЕВЫЙ ТА 50-10-9</x:v>
      </x:c>
      <x:c r="D46" s="16" t="str">
        <x:v>Монтажн изд д/кабел</x:v>
      </x:c>
      <x:c r="E46" s="16" t="str">
        <x:v>ШТ</x:v>
      </x:c>
      <x:c r="F46" s="25" t="n">
        <x:v>8</x:v>
      </x:c>
      <x:c r="G46" s="17" t="n">
        <x:v>1.9154</x:v>
      </x:c>
      <x:c r="H46" s="17" t="n">
        <x:f>G46*F46</x:f>
        <x:v>15.3232</x:v>
      </x:c>
      <x:c r="I46" s="26" t="str">
        <x:f>HYPERLINK("https://etp-aktiv.ru/catalog/materialy/ehlektrotekhnicheskie-materialy/2000031805-W113/","Открыть позицию")</x:f>
        <x:v>Открыть позицию</x:v>
      </x:c>
    </x:row>
    <x:row r="47" ht="28" customHeight="1">
      <x:c r="A47" s="16" t="str">
        <x:v>Бийскэнерго</x:v>
      </x:c>
      <x:c r="B47" s="16" t="str">
        <x:v>2000031835-W113</x:v>
      </x:c>
      <x:c r="C47" s="16" t="str">
        <x:v>НАКОНЕЧНИК МЕДНО-АЛЮМИН ТАМ 70-10-11</x:v>
      </x:c>
      <x:c r="D47" s="16" t="str">
        <x:v>Монтажн изд д/кабел</x:v>
      </x:c>
      <x:c r="E47" s="16" t="str">
        <x:v>ШТ</x:v>
      </x:c>
      <x:c r="F47" s="25" t="n">
        <x:v>20</x:v>
      </x:c>
      <x:c r="G47" s="17" t="n">
        <x:v>19.7884</x:v>
      </x:c>
      <x:c r="H47" s="17" t="n">
        <x:f>G47*F47</x:f>
        <x:v>395.768</x:v>
      </x:c>
      <x:c r="I47" s="26" t="str">
        <x:f>HYPERLINK("https://etp-aktiv.ru/catalog/materialy/ehlektrotekhnicheskie-materialy/2000031835-W113/","Открыть позицию")</x:f>
        <x:v>Открыть позицию</x:v>
      </x:c>
    </x:row>
    <x:row r="48" ht="28" customHeight="1">
      <x:c r="A48" s="16" t="str">
        <x:v>Бийскэнерго</x:v>
      </x:c>
      <x:c r="B48" s="16" t="str">
        <x:v>2000532974-W113</x:v>
      </x:c>
      <x:c r="C48" s="16" t="str">
        <x:v>НАКОНЕЧНИК МЕДНЫЙ ТМ 6-5-4</x:v>
      </x:c>
      <x:c r="D48" s="16" t="str">
        <x:v>Монтажн изд д/кабел</x:v>
      </x:c>
      <x:c r="E48" s="16" t="str">
        <x:v>ШТ</x:v>
      </x:c>
      <x:c r="F48" s="25" t="n">
        <x:v>199</x:v>
      </x:c>
      <x:c r="G48" s="17" t="n">
        <x:v>0.854</x:v>
      </x:c>
      <x:c r="H48" s="17" t="n">
        <x:f>G48*F48</x:f>
        <x:v>169.946</x:v>
      </x:c>
      <x:c r="I48" s="26" t="str">
        <x:f>HYPERLINK("https://etp-aktiv.ru/catalog/materialy/ehlektrotekhnicheskie-materialy/2000532974-W113/","Открыть позицию")</x:f>
        <x:v>Открыть позицию</x:v>
      </x:c>
    </x:row>
    <x:row r="49" ht="28" customHeight="1">
      <x:c r="A49" s="16" t="str">
        <x:v>Бийскэнерго</x:v>
      </x:c>
      <x:c r="B49" s="16" t="str">
        <x:v>2000141248-W113</x:v>
      </x:c>
      <x:c r="C49" s="16" t="str">
        <x:v>НАКОНЕЧНИК ТА 120-12-14</x:v>
      </x:c>
      <x:c r="D49" s="16" t="str">
        <x:v>Монтажн изд д/кабел</x:v>
      </x:c>
      <x:c r="E49" s="16" t="str">
        <x:v>ШТ</x:v>
      </x:c>
      <x:c r="F49" s="25" t="n">
        <x:v>132</x:v>
      </x:c>
      <x:c r="G49" s="17" t="n">
        <x:v>7.2956</x:v>
      </x:c>
      <x:c r="H49" s="17" t="n">
        <x:f>G49*F49</x:f>
        <x:v>963.0192000000001</x:v>
      </x:c>
      <x:c r="I49" s="26" t="str">
        <x:f>HYPERLINK("https://etp-aktiv.ru/catalog/materialy/ehlektrotekhnicheskie-materialy/2000141248-W113/","Открыть позицию")</x:f>
        <x:v>Открыть позицию</x:v>
      </x:c>
    </x:row>
    <x:row r="50" ht="28" customHeight="1">
      <x:c r="A50" s="16" t="str">
        <x:v>Бийскэнерго</x:v>
      </x:c>
      <x:c r="B50" s="16" t="str">
        <x:v>2000141249-W113</x:v>
      </x:c>
      <x:c r="C50" s="16" t="str">
        <x:v>НАКОНЕЧНИК ТА 150-12-17</x:v>
      </x:c>
      <x:c r="D50" s="16" t="str">
        <x:v>Монтажн изд д/кабел</x:v>
      </x:c>
      <x:c r="E50" s="16" t="str">
        <x:v>ШТ</x:v>
      </x:c>
      <x:c r="F50" s="25" t="n">
        <x:v>10</x:v>
      </x:c>
      <x:c r="G50" s="17" t="n">
        <x:v>7.8202</x:v>
      </x:c>
      <x:c r="H50" s="17" t="n">
        <x:f>G50*F50</x:f>
        <x:v>78.202</x:v>
      </x:c>
      <x:c r="I50" s="26" t="str">
        <x:f>HYPERLINK("https://etp-aktiv.ru/catalog/materialy/ehlektrotekhnicheskie-materialy/2000141249-W113/","Открыть позицию")</x:f>
        <x:v>Открыть позицию</x:v>
      </x:c>
    </x:row>
    <x:row r="51" ht="28" customHeight="1">
      <x:c r="A51" s="16" t="str">
        <x:v>Бийскэнерго</x:v>
      </x:c>
      <x:c r="B51" s="16" t="str">
        <x:v>2000532996-W113</x:v>
      </x:c>
      <x:c r="C51" s="16" t="str">
        <x:v>НАКОНЕЧНИК ТА 16-8-5,4</x:v>
      </x:c>
      <x:c r="D51" s="16" t="str">
        <x:v>Монтажн изд д/кабел</x:v>
      </x:c>
      <x:c r="E51" s="16" t="str">
        <x:v>ШТ</x:v>
      </x:c>
      <x:c r="F51" s="25" t="n">
        <x:v>40</x:v>
      </x:c>
      <x:c r="G51" s="17" t="n">
        <x:v>0.854</x:v>
      </x:c>
      <x:c r="H51" s="17" t="n">
        <x:f>G51*F51</x:f>
        <x:v>34.16</x:v>
      </x:c>
      <x:c r="I51" s="26" t="str">
        <x:f>HYPERLINK("https://etp-aktiv.ru/catalog/materialy/ehlektrotekhnicheskie-materialy/2000532996-W113/","Открыть позицию")</x:f>
        <x:v>Открыть позицию</x:v>
      </x:c>
    </x:row>
    <x:row r="52" ht="28" customHeight="1">
      <x:c r="A52" s="16" t="str">
        <x:v>Бийскэнерго</x:v>
      </x:c>
      <x:c r="B52" s="16" t="str">
        <x:v>2000158181-W113</x:v>
      </x:c>
      <x:c r="C52" s="16" t="str">
        <x:v>НАКОНЕЧНИК ТА 185-16-19</x:v>
      </x:c>
      <x:c r="D52" s="16" t="str">
        <x:v>Монтажн изд д/кабел</x:v>
      </x:c>
      <x:c r="E52" s="16" t="str">
        <x:v>ШТ</x:v>
      </x:c>
      <x:c r="F52" s="25" t="n">
        <x:v>10</x:v>
      </x:c>
      <x:c r="G52" s="17" t="n">
        <x:v>7.9422</x:v>
      </x:c>
      <x:c r="H52" s="17" t="n">
        <x:f>G52*F52</x:f>
        <x:v>79.422</x:v>
      </x:c>
      <x:c r="I52" s="26" t="str">
        <x:f>HYPERLINK("https://etp-aktiv.ru/catalog/materialy/ehlektrotekhnicheskie-materialy/2000158181-W113/","Открыть позицию")</x:f>
        <x:v>Открыть позицию</x:v>
      </x:c>
    </x:row>
    <x:row r="53" ht="28" customHeight="1">
      <x:c r="A53" s="16" t="str">
        <x:v>Бийскэнерго</x:v>
      </x:c>
      <x:c r="B53" s="16" t="str">
        <x:v>2000532997-W113</x:v>
      </x:c>
      <x:c r="C53" s="16" t="str">
        <x:v>НАКОНЕЧНИК ТА 240-20-20</x:v>
      </x:c>
      <x:c r="D53" s="16" t="str">
        <x:v>Монтажн изд д/кабел</x:v>
      </x:c>
      <x:c r="E53" s="16" t="str">
        <x:v>ШТ</x:v>
      </x:c>
      <x:c r="F53" s="25" t="n">
        <x:v>8</x:v>
      </x:c>
      <x:c r="G53" s="17" t="n">
        <x:v>12.2</x:v>
      </x:c>
      <x:c r="H53" s="17" t="n">
        <x:f>G53*F53</x:f>
        <x:v>97.6</x:v>
      </x:c>
      <x:c r="I53" s="26" t="str">
        <x:f>HYPERLINK("https://etp-aktiv.ru/catalog/materialy/ehlektrotekhnicheskie-materialy/2000532997-W113/","Открыть позицию")</x:f>
        <x:v>Открыть позицию</x:v>
      </x:c>
    </x:row>
    <x:row r="54" ht="28" customHeight="1">
      <x:c r="A54" s="16" t="str">
        <x:v>Бийскэнерго</x:v>
      </x:c>
      <x:c r="B54" s="16" t="str">
        <x:v>2000141256-W113</x:v>
      </x:c>
      <x:c r="C54" s="16" t="str">
        <x:v>НАКОНЕЧНИК ТА 95-12-13</x:v>
      </x:c>
      <x:c r="D54" s="16" t="str">
        <x:v>Монтажн изд д/кабел</x:v>
      </x:c>
      <x:c r="E54" s="16" t="str">
        <x:v>ШТ</x:v>
      </x:c>
      <x:c r="F54" s="25" t="n">
        <x:v>8</x:v>
      </x:c>
      <x:c r="G54" s="17" t="n">
        <x:v>4.026</x:v>
      </x:c>
      <x:c r="H54" s="17" t="n">
        <x:f>G54*F54</x:f>
        <x:v>32.208</x:v>
      </x:c>
      <x:c r="I54" s="26" t="str">
        <x:f>HYPERLINK("https://etp-aktiv.ru/catalog/materialy/ehlektrotekhnicheskie-materialy/2000141256-W113/","Открыть позицию")</x:f>
        <x:v>Открыть позицию</x:v>
      </x:c>
    </x:row>
    <x:row r="55" ht="28" customHeight="1">
      <x:c r="A55" s="16" t="str">
        <x:v>Бийскэнерго</x:v>
      </x:c>
      <x:c r="B55" s="16" t="str">
        <x:v>2000158183-W113</x:v>
      </x:c>
      <x:c r="C55" s="16" t="str">
        <x:v>НАКОНЕЧНИК ТАМ 70-10-12</x:v>
      </x:c>
      <x:c r="D55" s="16" t="str">
        <x:v>Монтажн изд д/кабел</x:v>
      </x:c>
      <x:c r="E55" s="16" t="str">
        <x:v>ШТ</x:v>
      </x:c>
      <x:c r="F55" s="25" t="n">
        <x:v>16</x:v>
      </x:c>
      <x:c r="G55" s="17" t="n">
        <x:v>52.5698</x:v>
      </x:c>
      <x:c r="H55" s="17" t="n">
        <x:f>G55*F55</x:f>
        <x:v>841.1168</x:v>
      </x:c>
      <x:c r="I55" s="26" t="str">
        <x:f>HYPERLINK("https://etp-aktiv.ru/catalog/materialy/ehlektrotekhnicheskie-materialy/2000158183-W113/","Открыть позицию")</x:f>
        <x:v>Открыть позицию</x:v>
      </x:c>
    </x:row>
    <x:row r="56" ht="28" customHeight="1">
      <x:c r="A56" s="16" t="str">
        <x:v>Бийскэнерго</x:v>
      </x:c>
      <x:c r="B56" s="16" t="str">
        <x:v>2000157931-W113</x:v>
      </x:c>
      <x:c r="C56" s="16" t="str">
        <x:v>НАКОНЕЧНИК ТМЛ 150-12-18</x:v>
      </x:c>
      <x:c r="D56" s="16" t="str">
        <x:v>Монтажн изд д/кабел</x:v>
      </x:c>
      <x:c r="E56" s="16" t="str">
        <x:v>ШТ</x:v>
      </x:c>
      <x:c r="F56" s="25" t="n">
        <x:v>20</x:v>
      </x:c>
      <x:c r="G56" s="17" t="n">
        <x:v>176.9732</x:v>
      </x:c>
      <x:c r="H56" s="17" t="n">
        <x:f>G56*F56</x:f>
        <x:v>3539.464</x:v>
      </x:c>
      <x:c r="I56" s="26" t="str">
        <x:f>HYPERLINK("https://etp-aktiv.ru/catalog/materialy/ehlektrotekhnicheskie-materialy/2000157931-W113/","Открыть позицию")</x:f>
        <x:v>Открыть позицию</x:v>
      </x:c>
    </x:row>
    <x:row r="57" ht="28" customHeight="1">
      <x:c r="A57" s="16" t="str">
        <x:v>Бийскэнерго</x:v>
      </x:c>
      <x:c r="B57" s="16" t="str">
        <x:v>2000126399-W113</x:v>
      </x:c>
      <x:c r="C57" s="16" t="str">
        <x:v>НАКОНЕЧНИК ТМЛ 2,5-6-2,6</x:v>
      </x:c>
      <x:c r="D57" s="16" t="str">
        <x:v>Монтажн изд д/кабел</x:v>
      </x:c>
      <x:c r="E57" s="16" t="str">
        <x:v>ШТ</x:v>
      </x:c>
      <x:c r="F57" s="25" t="n">
        <x:v>50</x:v>
      </x:c>
      <x:c r="G57" s="17" t="n">
        <x:v>1.83</x:v>
      </x:c>
      <x:c r="H57" s="17" t="n">
        <x:f>G57*F57</x:f>
        <x:v>91.5</x:v>
      </x:c>
      <x:c r="I57" s="26" t="str">
        <x:f>HYPERLINK("https://etp-aktiv.ru/catalog/materialy/ehlektrotekhnicheskie-materialy/2000126399-W113/","Открыть позицию")</x:f>
        <x:v>Открыть позицию</x:v>
      </x:c>
    </x:row>
    <x:row r="58" ht="28" customHeight="1">
      <x:c r="A58" s="16" t="str">
        <x:v>Бийскэнерго</x:v>
      </x:c>
      <x:c r="B58" s="16" t="str">
        <x:v>2000126548-W113</x:v>
      </x:c>
      <x:c r="C58" s="16" t="str">
        <x:v>НАКОНЕЧНИК ТМЛ 50-10-11</x:v>
      </x:c>
      <x:c r="D58" s="16" t="str">
        <x:v>Монтажн изд д/кабел</x:v>
      </x:c>
      <x:c r="E58" s="16" t="str">
        <x:v>ШТ</x:v>
      </x:c>
      <x:c r="F58" s="25" t="n">
        <x:v>9</x:v>
      </x:c>
      <x:c r="G58" s="17" t="n">
        <x:v>53.5946</x:v>
      </x:c>
      <x:c r="H58" s="17" t="n">
        <x:f>G58*F58</x:f>
        <x:v>482.3514</x:v>
      </x:c>
      <x:c r="I58" s="26" t="str">
        <x:f>HYPERLINK("https://etp-aktiv.ru/catalog/materialy/ehlektrotekhnicheskie-materialy/2000126548-W113/","Открыть позицию")</x:f>
        <x:v>Открыть позицию</x:v>
      </x:c>
    </x:row>
    <x:row r="59" ht="28" customHeight="1">
      <x:c r="A59" s="16" t="str">
        <x:v>Бийскэнерго</x:v>
      </x:c>
      <x:c r="B59" s="16" t="str">
        <x:v>2000157902-W113</x:v>
      </x:c>
      <x:c r="C59" s="16" t="str">
        <x:v>НАКОНЕЧНИК ТМЛ 6-5-4</x:v>
      </x:c>
      <x:c r="D59" s="16" t="str">
        <x:v>Монтажн изд д/кабел</x:v>
      </x:c>
      <x:c r="E59" s="16" t="str">
        <x:v>ШТ</x:v>
      </x:c>
      <x:c r="F59" s="25" t="n">
        <x:v>50</x:v>
      </x:c>
      <x:c r="G59" s="17" t="n">
        <x:v>3.1964</x:v>
      </x:c>
      <x:c r="H59" s="17" t="n">
        <x:f>G59*F59</x:f>
        <x:v>159.82</x:v>
      </x:c>
      <x:c r="I59" s="26" t="str">
        <x:f>HYPERLINK("https://etp-aktiv.ru/catalog/materialy/ehlektrotekhnicheskie-materialy/2000157902-W113/","Открыть позицию")</x:f>
        <x:v>Открыть позицию</x:v>
      </x:c>
    </x:row>
    <x:row r="60" ht="28" customHeight="1">
      <x:c r="A60" s="16" t="str">
        <x:v>Бийскэнерго</x:v>
      </x:c>
      <x:c r="B60" s="16" t="str">
        <x:v>2000126353-W113</x:v>
      </x:c>
      <x:c r="C60" s="16" t="str">
        <x:v>НАКОНЕЧНИК ТМЛ 6-6-4</x:v>
      </x:c>
      <x:c r="D60" s="16" t="str">
        <x:v>Монтажн изд д/кабел</x:v>
      </x:c>
      <x:c r="E60" s="16" t="str">
        <x:v>ШТ</x:v>
      </x:c>
      <x:c r="F60" s="25" t="n">
        <x:v>80</x:v>
      </x:c>
      <x:c r="G60" s="17" t="n">
        <x:v>1.6835999999999998</x:v>
      </x:c>
      <x:c r="H60" s="17" t="n">
        <x:f>G60*F60</x:f>
        <x:v>134.688</x:v>
      </x:c>
      <x:c r="I60" s="26" t="str">
        <x:f>HYPERLINK("https://etp-aktiv.ru/catalog/materialy/ehlektrotekhnicheskie-materialy/2000126353-W113/","Открыть позицию")</x:f>
        <x:v>Открыть позицию</x:v>
      </x:c>
    </x:row>
    <x:row r="61" ht="28" customHeight="1">
      <x:c r="A61" s="16" t="str">
        <x:v>Бийскэнерго</x:v>
      </x:c>
      <x:c r="B61" s="16" t="str">
        <x:v>2000583650-W113</x:v>
      </x:c>
      <x:c r="C61" s="16" t="str">
        <x:v>ПРОВОД ЖЕСТКИЙ ПИТАЮЩИЙ 851-01-4547</x:v>
      </x:c>
      <x:c r="D61" s="16" t="str">
        <x:v>ЗЧ к ДСТ менее 20т</x:v>
      </x:c>
      <x:c r="E61" s="16" t="str">
        <x:v>ШТ</x:v>
      </x:c>
      <x:c r="F61" s="25" t="n">
        <x:v>1</x:v>
      </x:c>
      <x:c r="G61" s="17" t="n">
        <x:v>24705</x:v>
      </x:c>
      <x:c r="H61" s="17" t="n">
        <x:f>G61*F61</x:f>
        <x:v>24705</x:v>
      </x:c>
      <x:c r="I61" s="26" t="str">
        <x:f>HYPERLINK("https://etp-aktiv.ru/catalog/materialy/zapasnye-chasti-k-dorozhno-stroitelnoj-tekhnike/2000583650-W113/","Открыть позицию")</x:f>
        <x:v>Открыть позицию</x:v>
      </x:c>
    </x:row>
    <x:row r="62" ht="28" customHeight="1">
      <x:c r="A62" s="16" t="str">
        <x:v>Бийскэнерго</x:v>
      </x:c>
      <x:c r="B62" s="16" t="str">
        <x:v>2000259903-W113</x:v>
      </x:c>
      <x:c r="C62" s="16" t="str">
        <x:v>ПРОВОД ПВ-3 1*2,5</x:v>
      </x:c>
      <x:c r="D62" s="16" t="str">
        <x:v>Кабель общ и провод</x:v>
      </x:c>
      <x:c r="E62" s="16" t="str">
        <x:v>КМ</x:v>
      </x:c>
      <x:c r="F62" s="30" t="n">
        <x:v>0.03</x:v>
      </x:c>
      <x:c r="G62" s="17" t="n">
        <x:v>20496</x:v>
      </x:c>
      <x:c r="H62" s="17" t="n">
        <x:f>G62*F62</x:f>
        <x:v>614.88</x:v>
      </x:c>
      <x:c r="I62" s="26" t="str">
        <x:f>HYPERLINK("https://etp-aktiv.ru/catalog/materialy/kabelno-provodnikovaya-produkciya/2000259903-W113/","Открыть позицию")</x:f>
        <x:v>Открыть позицию</x:v>
      </x:c>
    </x:row>
    <x:row r="63" ht="28" customHeight="1">
      <x:c r="A63" s="16" t="str">
        <x:v>Бийскэнерго</x:v>
      </x:c>
      <x:c r="B63" s="16" t="str">
        <x:v>2000533116-W113</x:v>
      </x:c>
      <x:c r="C63" s="16" t="str">
        <x:v>СОЕДИНИТЕЛЬ БОЛТОВОЙ ГВКП-1 70/120ММ</x:v>
      </x:c>
      <x:c r="D63" s="16" t="str">
        <x:v>Монтажн изд д/кабел</x:v>
      </x:c>
      <x:c r="E63" s="16" t="str">
        <x:v>ШТ</x:v>
      </x:c>
      <x:c r="F63" s="25" t="n">
        <x:v>25</x:v>
      </x:c>
      <x:c r="G63" s="17" t="n">
        <x:v>24.6684</x:v>
      </x:c>
      <x:c r="H63" s="17" t="n">
        <x:f>G63*F63</x:f>
        <x:v>616.7099999999999</x:v>
      </x:c>
      <x:c r="I63" s="26" t="str">
        <x:f>HYPERLINK("https://etp-aktiv.ru/catalog/materialy/ehlektrotekhnicheskie-materialy/2000533116-W113/","Открыть позицию")</x:f>
        <x:v>Открыть позицию</x:v>
      </x:c>
    </x:row>
    <x:row r="64" ht="28" customHeight="1">
      <x:c r="A64" s="16" t="str">
        <x:v>Бийскэнерго</x:v>
      </x:c>
      <x:c r="B64" s="16" t="str">
        <x:v>2000533318-W113</x:v>
      </x:c>
      <x:c r="C64" s="16" t="str">
        <x:v>СТЯЖКА НЕЙЛОН 2,5*120</x:v>
      </x:c>
      <x:c r="D64" s="16" t="str">
        <x:v>Монтажн изд д/кабел</x:v>
      </x:c>
      <x:c r="E64" s="16" t="str">
        <x:v>ШТ</x:v>
      </x:c>
      <x:c r="F64" s="25" t="n">
        <x:v>500</x:v>
      </x:c>
      <x:c r="G64" s="17" t="n">
        <x:v>0.4392</x:v>
      </x:c>
      <x:c r="H64" s="17" t="n">
        <x:f>G64*F64</x:f>
        <x:v>219.6</x:v>
      </x:c>
      <x:c r="I64" s="26" t="str">
        <x:f>HYPERLINK("https://etp-aktiv.ru/catalog/materialy/ehlektrotekhnicheskie-materialy/2000533318-W113/","Открыть позицию")</x:f>
        <x:v>Открыть позицию</x:v>
      </x:c>
    </x:row>
    <x:row r="65" ht="28" customHeight="1">
      <x:c r="A65" s="16" t="str">
        <x:v>Бийскэнерго</x:v>
      </x:c>
      <x:c r="B65" s="16" t="str">
        <x:v>2000533276-W113</x:v>
      </x:c>
      <x:c r="C65" s="16" t="str">
        <x:v>ХОМУТ 2,6*200 БЕЛЫЙ 25207 100ШТ</x:v>
      </x:c>
      <x:c r="D65" s="16" t="str">
        <x:v>Монтажн изд д/кабел</x:v>
      </x:c>
      <x:c r="E65" s="16" t="str">
        <x:v>УПК</x:v>
      </x:c>
      <x:c r="F65" s="25" t="n">
        <x:v>1</x:v>
      </x:c>
      <x:c r="G65" s="17" t="n">
        <x:v>53.2408</x:v>
      </x:c>
      <x:c r="H65" s="17" t="n">
        <x:f>G65*F65</x:f>
        <x:v>53.2408</x:v>
      </x:c>
      <x:c r="I65" s="26" t="str">
        <x:f>HYPERLINK("https://etp-aktiv.ru/catalog/materialy/ehlektrotekhnicheskie-materialy/2000533276-W113/","Открыть позицию")</x:f>
        <x:v>Открыть позицию</x:v>
      </x:c>
    </x:row>
    <x:row r="66" ht="28" customHeight="1">
      <x:c r="A66" s="16" t="str">
        <x:v>Бийскэнерго</x:v>
      </x:c>
      <x:c r="B66" s="16" t="str">
        <x:v>2000246386-W113</x:v>
      </x:c>
      <x:c r="C66" s="16" t="str">
        <x:v>ХОМУТ КАБЕЛЬНЫЙ 3,6*200 (ШТ)</x:v>
      </x:c>
      <x:c r="D66" s="16" t="str">
        <x:v>Монтажн изд д/кабел</x:v>
      </x:c>
      <x:c r="E66" s="16" t="str">
        <x:v>ШТ</x:v>
      </x:c>
      <x:c r="F66" s="25" t="n">
        <x:v>300</x:v>
      </x:c>
      <x:c r="G66" s="17" t="n">
        <x:v>0.5733999999999999</x:v>
      </x:c>
      <x:c r="H66" s="17" t="n">
        <x:f>G66*F66</x:f>
        <x:v>172.01999999999998</x:v>
      </x:c>
      <x:c r="I66" s="26" t="str">
        <x:f>HYPERLINK("https://etp-aktiv.ru/catalog/materialy/ehlektrotekhnicheskie-materialy/2000246386-W113/","Открыть позицию")</x:f>
        <x:v>Открыть позицию</x:v>
      </x:c>
    </x:row>
    <x:row r="67" ht="28" customHeight="1">
      <x:c r="A67" s="16" t="str">
        <x:v>Бийскэнерго</x:v>
      </x:c>
      <x:c r="B67" s="16" t="str">
        <x:v>2000044914-W113</x:v>
      </x:c>
      <x:c r="C67" s="16" t="str">
        <x:v>ХОМУТ КАБЕЛЬНЫЙ 4,8*300</x:v>
      </x:c>
      <x:c r="D67" s="16" t="str">
        <x:v>Монтажн изд д/кабел</x:v>
      </x:c>
      <x:c r="E67" s="16" t="str">
        <x:v>ШТ</x:v>
      </x:c>
      <x:c r="F67" s="25" t="n">
        <x:v>300</x:v>
      </x:c>
      <x:c r="G67" s="17" t="n">
        <x:v>1.5493999999999999</x:v>
      </x:c>
      <x:c r="H67" s="17" t="n">
        <x:f>G67*F67</x:f>
        <x:v>464.82</x:v>
      </x:c>
      <x:c r="I67" s="26" t="str">
        <x:f>HYPERLINK("https://etp-aktiv.ru/catalog/materialy/ehlektrotekhnicheskie-materialy/2000044914-W113/","Открыть позицию")</x:f>
        <x:v>Открыть позицию</x:v>
      </x:c>
    </x:row>
    <x:row r="68" ht="28" customHeight="1">
      <x:c r="A68" s="16" t="str">
        <x:v>Бийскэнерго</x:v>
      </x:c>
      <x:c r="B68" s="16" t="str">
        <x:v>2000726511-W113</x:v>
      </x:c>
      <x:c r="C68" s="16" t="str">
        <x:v>ХОМУТ ЧЕРВЯЧНЫЙ 16-27/9S NORMA</x:v>
      </x:c>
      <x:c r="D68" s="16" t="str">
        <x:v>Монтажн изд д/кабел</x:v>
      </x:c>
      <x:c r="E68" s="16" t="str">
        <x:v>ШТ</x:v>
      </x:c>
      <x:c r="F68" s="25" t="n">
        <x:v>90</x:v>
      </x:c>
      <x:c r="G68" s="17" t="n">
        <x:v>14.554599999999999</x:v>
      </x:c>
      <x:c r="H68" s="17" t="n">
        <x:f>G68*F68</x:f>
        <x:v>1309.914</x:v>
      </x:c>
      <x:c r="I68" s="26" t="str">
        <x:f>HYPERLINK("https://etp-aktiv.ru/catalog/materialy/ehlektrotekhnicheskie-materialy/2000726511-W113/","Открыть позицию")</x:f>
        <x:v>Открыть позицию</x:v>
      </x:c>
    </x:row>
    <x:row r="69" ht="28" customHeight="1">
      <x:c r="A69" s="16" t="str">
        <x:v>Бийскэнерго</x:v>
      </x:c>
      <x:c r="B69" s="16" t="str">
        <x:v>2000658358-W113</x:v>
      </x:c>
      <x:c r="C69" s="16" t="str">
        <x:v>ХОМУТ ЧЕРВЯЧНЫЙ 8-16/S9 NORMA</x:v>
      </x:c>
      <x:c r="D69" s="16" t="str">
        <x:v>Монтажн изд д/кабел</x:v>
      </x:c>
      <x:c r="E69" s="16" t="str">
        <x:v>ШТ</x:v>
      </x:c>
      <x:c r="F69" s="25" t="n">
        <x:v>10</x:v>
      </x:c>
      <x:c r="G69" s="17" t="n">
        <x:v>68.80799999999999</x:v>
      </x:c>
      <x:c r="H69" s="17" t="n">
        <x:f>G69*F69</x:f>
        <x:v>688.0799999999999</x:v>
      </x:c>
      <x:c r="I69" s="26" t="str">
        <x:f>HYPERLINK("https://etp-aktiv.ru/catalog/materialy/ehlektrotekhnicheskie-materialy/2000658358-W113/","Открыть позицию")</x:f>
        <x:v>Открыть позицию</x:v>
      </x:c>
    </x:row>
    <x:row r="70" ht="28" customHeight="1">
      <x:c r="A70" s="16" t="str">
        <x:v>БийскэнергоТеплоТранзит</x:v>
      </x:c>
      <x:c r="B70" s="16" t="str">
        <x:v>2000566801-W123</x:v>
      </x:c>
      <x:c r="C70" s="16" t="str">
        <x:v>КАБЕЛЬ АВББШВНГ(А)-LS 4*185 МК 2КЛ 1КВ</x:v>
      </x:c>
      <x:c r="D70" s="16" t="str">
        <x:v>Кабель общ и провод</x:v>
      </x:c>
      <x:c r="E70" s="16" t="str">
        <x:v>М</x:v>
      </x:c>
      <x:c r="F70" s="24" t="n">
        <x:v>92.99</x:v>
      </x:c>
      <x:c r="G70" s="17" t="n">
        <x:v>1411.357</x:v>
      </x:c>
      <x:c r="H70" s="17" t="n">
        <x:f>G70*F70</x:f>
        <x:v>131242.08742999999</x:v>
      </x:c>
      <x:c r="I70" s="26" t="str">
        <x:f>HYPERLINK("https://etp-aktiv.ru/catalog/materialy/kabelno-provodnikovaya-produkciya/2000566801-W123/","Открыть позицию")</x:f>
        <x:v>Открыть позицию</x:v>
      </x:c>
    </x:row>
    <x:row r="71" ht="28" customHeight="1">
      <x:c r="A71" s="16" t="str">
        <x:v>БийскэнергоТеплоТранзит</x:v>
      </x:c>
      <x:c r="B71" s="16" t="str">
        <x:v>2000792164-W123</x:v>
      </x:c>
      <x:c r="C71" s="16" t="str">
        <x:v>КАБЕЛЬ АСБ2Л 3*185 10КВ</x:v>
      </x:c>
      <x:c r="D71" s="16" t="str">
        <x:v>Кабель общ и провод</x:v>
      </x:c>
      <x:c r="E71" s="16" t="str">
        <x:v>КМ</x:v>
      </x:c>
      <x:c r="F71" s="30" t="n">
        <x:v>0.118</x:v>
      </x:c>
      <x:c r="G71" s="17" t="n">
        <x:v>1954440</x:v>
      </x:c>
      <x:c r="H71" s="17" t="n">
        <x:f>G71*F71</x:f>
        <x:v>230623.91999999998</x:v>
      </x:c>
      <x:c r="I71" s="26" t="str">
        <x:f>HYPERLINK("https://etp-aktiv.ru/catalog/materialy/kabelno-provodnikovaya-produkciya/2000792164-W123/","Открыть позицию")</x:f>
        <x:v>Открыть позицию</x:v>
      </x:c>
    </x:row>
    <x:row r="72" ht="28" customHeight="1">
      <x:c r="A72" s="16" t="str">
        <x:v>БийскэнергоТеплоТранзит</x:v>
      </x:c>
      <x:c r="B72" s="16" t="str">
        <x:v>2000692828-W123</x:v>
      </x:c>
      <x:c r="C72" s="16" t="str">
        <x:v>КАБЕЛЬ АСБЛ 3*120 6КВ</x:v>
      </x:c>
      <x:c r="D72" s="16" t="str">
        <x:v>Кабель общ и провод</x:v>
      </x:c>
      <x:c r="E72" s="16" t="str">
        <x:v>КМ</x:v>
      </x:c>
      <x:c r="F72" s="30" t="n">
        <x:v>0.068</x:v>
      </x:c>
      <x:c r="G72" s="17" t="n">
        <x:v>1138922.5698</x:v>
      </x:c>
      <x:c r="H72" s="17" t="n">
        <x:f>G72*F72</x:f>
        <x:v>77446.7347464</x:v>
      </x:c>
      <x:c r="I72" s="26" t="str">
        <x:f>HYPERLINK("https://etp-aktiv.ru/catalog/materialy/kabelno-provodnikovaya-produkciya/2000692828-W123/","Открыть позицию")</x:f>
        <x:v>Открыть позицию</x:v>
      </x:c>
    </x:row>
    <x:row r="73" ht="28" customHeight="1">
      <x:c r="A73" s="16" t="str">
        <x:v>БийскэнергоТеплоТранзит</x:v>
      </x:c>
      <x:c r="B73" s="16" t="str">
        <x:v>2000531142-W123</x:v>
      </x:c>
      <x:c r="C73" s="16" t="str">
        <x:v>КАБЕЛЬ АСБЛ 3*150 6КВ</x:v>
      </x:c>
      <x:c r="D73" s="16" t="str">
        <x:v>Кабель общ и провод</x:v>
      </x:c>
      <x:c r="E73" s="16" t="str">
        <x:v>М</x:v>
      </x:c>
      <x:c r="F73" s="24" t="n">
        <x:v>36.5</x:v>
      </x:c>
      <x:c r="G73" s="17" t="n">
        <x:v>692.7159999999999</x:v>
      </x:c>
      <x:c r="H73" s="17" t="n">
        <x:f>G73*F73</x:f>
        <x:v>25284.133999999995</x:v>
      </x:c>
      <x:c r="I73" s="26" t="str">
        <x:f>HYPERLINK("https://etp-aktiv.ru/catalog/materialy/kabelno-provodnikovaya-produkciya/2000531142-W123/","Открыть позицию")</x:f>
        <x:v>Открыть позицию</x:v>
      </x:c>
    </x:row>
    <x:row r="74" ht="28" customHeight="1">
      <x:c r="A74" s="16" t="str">
        <x:v>БийскэнергоТеплоТранзит</x:v>
      </x:c>
      <x:c r="B74" s="16" t="str">
        <x:v>2000531143-W123</x:v>
      </x:c>
      <x:c r="C74" s="16" t="str">
        <x:v>КАБЕЛЬ АСБЛ 3*185 6КВ</x:v>
      </x:c>
      <x:c r="D74" s="16" t="str">
        <x:v>Кабель общ и провод</x:v>
      </x:c>
      <x:c r="E74" s="16" t="str">
        <x:v>М</x:v>
      </x:c>
      <x:c r="F74" s="24" t="n">
        <x:v>22.23</x:v>
      </x:c>
      <x:c r="G74" s="17" t="n">
        <x:v>694.4118000000001</x:v>
      </x:c>
      <x:c r="H74" s="17" t="n">
        <x:f>G74*F74</x:f>
        <x:v>15436.774314000002</x:v>
      </x:c>
      <x:c r="I74" s="26" t="str">
        <x:f>HYPERLINK("https://etp-aktiv.ru/catalog/materialy/kabelno-provodnikovaya-produkciya/2000531143-W123/","Открыть позицию")</x:f>
        <x:v>Открыть позицию</x:v>
      </x:c>
    </x:row>
    <x:row r="75" ht="28" customHeight="1">
      <x:c r="A75" s="16" t="str">
        <x:v>Рубцовский ТЭК</x:v>
      </x:c>
      <x:c r="B75" s="16" t="str">
        <x:v>2000320617-W122</x:v>
      </x:c>
      <x:c r="C75" s="16" t="str">
        <x:v>КРЫШКА ЛОТКА С ЗАЗЕМЛ 35520 50 L3000</x:v>
      </x:c>
      <x:c r="D75" s="16" t="str">
        <x:v>Монтажн изд д/кабел</x:v>
      </x:c>
      <x:c r="E75" s="16" t="str">
        <x:v>М</x:v>
      </x:c>
      <x:c r="F75" s="25" t="n">
        <x:v>60</x:v>
      </x:c>
      <x:c r="G75" s="17" t="n">
        <x:v>15.433</x:v>
      </x:c>
      <x:c r="H75" s="17" t="n">
        <x:f>G75*F75</x:f>
        <x:v>925.98</x:v>
      </x:c>
      <x:c r="I75" s="26" t="str">
        <x:f>HYPERLINK("https://etp-aktiv.ru/catalog/materialy/ehlektrotekhnicheskie-materialy/2000320617-W122/","Открыть позицию")</x:f>
        <x:v>Открыть позицию</x:v>
      </x:c>
    </x:row>
    <x:row r="76" ht="28" customHeight="1">
      <x:c r="A76" s="16" t="str">
        <x:v>Рубцовский ТЭК</x:v>
      </x:c>
      <x:c r="B76" s="16" t="str">
        <x:v>2000532762-W122</x:v>
      </x:c>
      <x:c r="C76" s="16" t="str">
        <x:v>МЕТАЛЛОРУКАВ РЗ-ЦП 20ММ</x:v>
      </x:c>
      <x:c r="D76" s="16" t="str">
        <x:v>Монтажн изд д/кабел</x:v>
      </x:c>
      <x:c r="E76" s="16" t="str">
        <x:v>М</x:v>
      </x:c>
      <x:c r="F76" s="25" t="n">
        <x:v>200</x:v>
      </x:c>
      <x:c r="G76" s="17" t="n">
        <x:v>60.2924</x:v>
      </x:c>
      <x:c r="H76" s="17" t="n">
        <x:f>G76*F76</x:f>
        <x:v>12058.48</x:v>
      </x:c>
      <x:c r="I76" s="26" t="str">
        <x:f>HYPERLINK("https://etp-aktiv.ru/catalog/materialy/ehlektrotekhnicheskie-materialy/2000532762-W122/","Открыть позицию")</x:f>
        <x:v>Открыть позицию</x:v>
      </x:c>
    </x:row>
    <x:row r="77" ht="28" customHeight="1">
      <x:c r="A77" s="16" t="str">
        <x:v>Рубцовский ТЭК</x:v>
      </x:c>
      <x:c r="B77" s="16" t="str">
        <x:v>2000222913-W122</x:v>
      </x:c>
      <x:c r="C77" s="16" t="str">
        <x:v>НАКОНЕЧНИК КАБЕЛЬНЫЙ МЕДНЫЙ 50-10-16-М</x:v>
      </x:c>
      <x:c r="D77" s="16" t="str">
        <x:v>Монтажн изд д/кабел</x:v>
      </x:c>
      <x:c r="E77" s="16" t="str">
        <x:v>ШТ</x:v>
      </x:c>
      <x:c r="F77" s="25" t="n">
        <x:v>6</x:v>
      </x:c>
      <x:c r="G77" s="17" t="n">
        <x:v>58.3282</x:v>
      </x:c>
      <x:c r="H77" s="17" t="n">
        <x:f>G77*F77</x:f>
        <x:v>349.9692</x:v>
      </x:c>
      <x:c r="I77" s="26" t="str">
        <x:f>HYPERLINK("https://etp-aktiv.ru/catalog/materialy/ehlektrotekhnicheskie-materialy/2000222913-W122/","Открыть позицию")</x:f>
        <x:v>Открыть позицию</x:v>
      </x:c>
    </x:row>
    <x:row r="78" ht="28" customHeight="1">
      <x:c r="A78" s="16" t="str">
        <x:v>Рубцовский ТЭК</x:v>
      </x:c>
      <x:c r="B78" s="16" t="str">
        <x:v>2000531617-W122</x:v>
      </x:c>
      <x:c r="C78" s="16" t="str">
        <x:v>ПРОВОД ПСД 9*1,5</x:v>
      </x:c>
      <x:c r="D78" s="16" t="str">
        <x:v>Кабель общ и провод</x:v>
      </x:c>
      <x:c r="E78" s="16" t="str">
        <x:v>КГ</x:v>
      </x:c>
      <x:c r="F78" s="24" t="n">
        <x:v>303.4</x:v>
      </x:c>
      <x:c r="G78" s="17" t="n">
        <x:v>802.9186</x:v>
      </x:c>
      <x:c r="H78" s="17" t="n">
        <x:f>G78*F78</x:f>
        <x:v>243605.50323999996</x:v>
      </x:c>
      <x:c r="I78" s="26" t="str">
        <x:f>HYPERLINK("https://etp-aktiv.ru/catalog/materialy/kabelno-provodnikovaya-produkciya/2000531617-W122/","Открыть позицию")</x:f>
        <x:v>Открыть позицию</x:v>
      </x:c>
    </x:row>
    <x:row r="79" ht="28" customHeight="1">
      <x:c r="A79" s="16" t="str">
        <x:v>Рубцовский ТЭК</x:v>
      </x:c>
      <x:c r="B79" s="16" t="str">
        <x:v>2000569892-W122</x:v>
      </x:c>
      <x:c r="C79" s="16" t="str">
        <x:v>ПРОВОД ПУГВ 1*1,5 (М)</x:v>
      </x:c>
      <x:c r="D79" s="16" t="str">
        <x:v>Кабель общ и провод</x:v>
      </x:c>
      <x:c r="E79" s="16" t="str">
        <x:v>М</x:v>
      </x:c>
      <x:c r="F79" s="25" t="n">
        <x:v>3</x:v>
      </x:c>
      <x:c r="G79" s="17" t="n">
        <x:v>15.433</x:v>
      </x:c>
      <x:c r="H79" s="17" t="n">
        <x:f>G79*F79</x:f>
        <x:v>46.299</x:v>
      </x:c>
      <x:c r="I79" s="26" t="str">
        <x:f>HYPERLINK("https://etp-aktiv.ru/catalog/materialy/kabelno-provodnikovaya-produkciya/2000569892-W122/","Открыть позицию")</x:f>
        <x:v>Открыть позицию</x:v>
      </x:c>
    </x:row>
    <x:row r="80" ht="28" customHeight="1">
      <x:c r="A80" s="16" t="str">
        <x:v>Рубцовский ТЭК</x:v>
      </x:c>
      <x:c r="B80" s="16" t="str">
        <x:v>2000531637-W122</x:v>
      </x:c>
      <x:c r="C80" s="16" t="str">
        <x:v>ПРОВОД ПУГВ 1*50 Б</x:v>
      </x:c>
      <x:c r="D80" s="16" t="str">
        <x:v>Кабель общ и провод</x:v>
      </x:c>
      <x:c r="E80" s="16" t="str">
        <x:v>М</x:v>
      </x:c>
      <x:c r="F80" s="25" t="n">
        <x:v>6</x:v>
      </x:c>
      <x:c r="G80" s="17" t="n">
        <x:v>483.16880000000003</x:v>
      </x:c>
      <x:c r="H80" s="17" t="n">
        <x:f>G80*F80</x:f>
        <x:v>2899.0128000000004</x:v>
      </x:c>
      <x:c r="I80" s="26" t="str">
        <x:f>HYPERLINK("https://etp-aktiv.ru/catalog/materialy/kabelno-provodnikovaya-produkciya/2000531637-W122/","Открыть позицию")</x:f>
        <x:v>Открыть позицию</x:v>
      </x:c>
    </x:row>
    <x:row r="81" ht="28" customHeight="1">
      <x:c r="A81" s="16" t="str">
        <x:v>Рубцовский ТЭК</x:v>
      </x:c>
      <x:c r="B81" s="16" t="str">
        <x:v>2000531638-W122</x:v>
      </x:c>
      <x:c r="C81" s="16" t="str">
        <x:v>ПРОВОД ПУГВ 1*6 Б</x:v>
      </x:c>
      <x:c r="D81" s="16" t="str">
        <x:v>Кабель общ и провод</x:v>
      </x:c>
      <x:c r="E81" s="16" t="str">
        <x:v>М</x:v>
      </x:c>
      <x:c r="F81" s="25" t="n">
        <x:v>11</x:v>
      </x:c>
      <x:c r="G81" s="17" t="n">
        <x:v>59.657999999999994</x:v>
      </x:c>
      <x:c r="H81" s="17" t="n">
        <x:f>G81*F81</x:f>
        <x:v>656.2379999999999</x:v>
      </x:c>
      <x:c r="I81" s="26" t="str">
        <x:f>HYPERLINK("https://etp-aktiv.ru/catalog/materialy/kabelno-provodnikovaya-produkciya/2000531638-W122/","Открыть позицию")</x:f>
        <x:v>Открыть позицию</x:v>
      </x:c>
    </x:row>
    <x:row r="82" ht="28" customHeight="1">
      <x:c r="A82" s="16" t="str">
        <x:v>Рубцовский ТЭК</x:v>
      </x:c>
      <x:c r="B82" s="16" t="str">
        <x:v>2000565002-W122</x:v>
      </x:c>
      <x:c r="C82" s="16" t="str">
        <x:v>ПРОВОД ПУГВ 2,5 (М)</x:v>
      </x:c>
      <x:c r="D82" s="16" t="str">
        <x:v>Кабель общ и провод</x:v>
      </x:c>
      <x:c r="E82" s="16" t="str">
        <x:v>М</x:v>
      </x:c>
      <x:c r="F82" s="25" t="n">
        <x:v>2</x:v>
      </x:c>
      <x:c r="G82" s="17" t="n">
        <x:v>33.184</x:v>
      </x:c>
      <x:c r="H82" s="17" t="n">
        <x:f>G82*F82</x:f>
        <x:v>66.368</x:v>
      </x:c>
      <x:c r="I82" s="26" t="str">
        <x:f>HYPERLINK("https://etp-aktiv.ru/catalog/materialy/kabelno-provodnikovaya-produkciya/2000565002-W122/","Открыть позицию")</x:f>
        <x:v>Открыть позицию</x:v>
      </x:c>
    </x:row>
    <x:row r="83" ht="28" customHeight="1">
      <x:c r="A83" s="16" t="str">
        <x:v>Рубцовский ТЭК</x:v>
      </x:c>
      <x:c r="B83" s="16" t="str">
        <x:v>2000007188-W122</x:v>
      </x:c>
      <x:c r="C83" s="16" t="str">
        <x:v>ПРОВОД ПЭТВ-2 0,4</x:v>
      </x:c>
      <x:c r="D83" s="16" t="str">
        <x:v>Кабель общ и провод</x:v>
      </x:c>
      <x:c r="E83" s="16" t="str">
        <x:v>КГ</x:v>
      </x:c>
      <x:c r="F83" s="24" t="n">
        <x:v>19.98</x:v>
      </x:c>
      <x:c r="G83" s="17" t="n">
        <x:v>2143.8084</x:v>
      </x:c>
      <x:c r="H83" s="17" t="n">
        <x:f>G83*F83</x:f>
        <x:v>42833.291831999995</x:v>
      </x:c>
      <x:c r="I83" s="26" t="str">
        <x:f>HYPERLINK("https://etp-aktiv.ru/catalog/materialy/kabelno-provodnikovaya-produkciya/2000007188-W122/","Открыть позицию")</x:f>
        <x:v>Открыть позицию</x:v>
      </x:c>
    </x:row>
    <x:row r="84" ht="28" customHeight="1">
      <x:c r="A84" s="16" t="str">
        <x:v>Рубцовский ТЭК</x:v>
      </x:c>
      <x:c r="B84" s="16" t="str">
        <x:v>2000007167-W122</x:v>
      </x:c>
      <x:c r="C84" s="16" t="str">
        <x:v>ПРОВОД ПЭТВ-2 0,45</x:v>
      </x:c>
      <x:c r="D84" s="16" t="str">
        <x:v>Кабель общ и провод</x:v>
      </x:c>
      <x:c r="E84" s="16" t="str">
        <x:v>КГ</x:v>
      </x:c>
      <x:c r="F84" s="24" t="n">
        <x:v>20.14</x:v>
      </x:c>
      <x:c r="G84" s="17" t="n">
        <x:v>2185.5080000000003</x:v>
      </x:c>
      <x:c r="H84" s="17" t="n">
        <x:f>G84*F84</x:f>
        <x:v>44016.131120000005</x:v>
      </x:c>
      <x:c r="I84" s="26" t="str">
        <x:f>HYPERLINK("https://etp-aktiv.ru/catalog/materialy/kabelno-provodnikovaya-produkciya/2000007167-W122/","Открыть позицию")</x:f>
        <x:v>Открыть позицию</x:v>
      </x:c>
    </x:row>
    <x:row r="85" ht="28" customHeight="1">
      <x:c r="A85" s="16" t="str">
        <x:v>Рубцовский ТЭК</x:v>
      </x:c>
      <x:c r="B85" s="16" t="str">
        <x:v>2000006757-W122</x:v>
      </x:c>
      <x:c r="C85" s="16" t="str">
        <x:v>ПРОВОД ПЭТВ-2 0,9</x:v>
      </x:c>
      <x:c r="D85" s="16" t="str">
        <x:v>Кабель общ и провод</x:v>
      </x:c>
      <x:c r="E85" s="16" t="str">
        <x:v>КГ</x:v>
      </x:c>
      <x:c r="F85" s="24" t="n">
        <x:v>2.116</x:v>
      </x:c>
      <x:c r="G85" s="17" t="n">
        <x:v>1013.759</x:v>
      </x:c>
      <x:c r="H85" s="17" t="n">
        <x:f>G85*F85</x:f>
        <x:v>2145.114044</x:v>
      </x:c>
      <x:c r="I85" s="26" t="str">
        <x:f>HYPERLINK("https://etp-aktiv.ru/catalog/materialy/kabelno-provodnikovaya-produkciya/2000006757-W122/","Открыть позицию")</x:f>
        <x:v>Открыть позицию</x:v>
      </x:c>
    </x:row>
    <x:row r="86" ht="28" customHeight="1">
      <x:c r="A86" s="16" t="str">
        <x:v>Рубцовский ТЭК</x:v>
      </x:c>
      <x:c r="B86" s="16" t="str">
        <x:v>2000006430-W122</x:v>
      </x:c>
      <x:c r="C86" s="16" t="str">
        <x:v>ПРОВОД ПЭТВ-2 1</x:v>
      </x:c>
      <x:c r="D86" s="16" t="str">
        <x:v>Кабель общ и провод</x:v>
      </x:c>
      <x:c r="E86" s="16" t="str">
        <x:v>КГ</x:v>
      </x:c>
      <x:c r="F86" s="24" t="n">
        <x:v>4.186</x:v>
      </x:c>
      <x:c r="G86" s="17" t="n">
        <x:v>1365.7046</x:v>
      </x:c>
      <x:c r="H86" s="17" t="n">
        <x:f>G86*F86</x:f>
        <x:v>5716.8394556</x:v>
      </x:c>
      <x:c r="I86" s="26" t="str">
        <x:f>HYPERLINK("https://etp-aktiv.ru/catalog/materialy/kabelno-provodnikovaya-produkciya/2000006430-W122/","Открыть позицию")</x:f>
        <x:v>Открыть позицию</x:v>
      </x:c>
    </x:row>
    <x:row r="87" ht="28" customHeight="1">
      <x:c r="A87" s="16" t="str">
        <x:v>Рубцовский ТЭК</x:v>
      </x:c>
      <x:c r="B87" s="16" t="str">
        <x:v>2000006773-W122</x:v>
      </x:c>
      <x:c r="C87" s="16" t="str">
        <x:v>ПРОВОД ПЭТВ-2 1,06</x:v>
      </x:c>
      <x:c r="D87" s="16" t="str">
        <x:v>Кабель общ и провод</x:v>
      </x:c>
      <x:c r="E87" s="16" t="str">
        <x:v>КГ</x:v>
      </x:c>
      <x:c r="F87" s="24" t="n">
        <x:v>11.362</x:v>
      </x:c>
      <x:c r="G87" s="17" t="n">
        <x:v>1215.547</x:v>
      </x:c>
      <x:c r="H87" s="17" t="n">
        <x:f>G87*F87</x:f>
        <x:v>13811.045014000001</x:v>
      </x:c>
      <x:c r="I87" s="26" t="str">
        <x:f>HYPERLINK("https://etp-aktiv.ru/catalog/materialy/kabelno-provodnikovaya-produkciya/2000006773-W122/","Открыть позицию")</x:f>
        <x:v>Открыть позицию</x:v>
      </x:c>
    </x:row>
    <x:row r="88" ht="28" customHeight="1">
      <x:c r="A88" s="16" t="str">
        <x:v>Рубцовский ТЭК</x:v>
      </x:c>
      <x:c r="B88" s="16" t="str">
        <x:v>2000006767-W122</x:v>
      </x:c>
      <x:c r="C88" s="16" t="str">
        <x:v>ПРОВОД ПЭТВ-2 1,18</x:v>
      </x:c>
      <x:c r="D88" s="16" t="str">
        <x:v>Кабель общ и провод</x:v>
      </x:c>
      <x:c r="E88" s="16" t="str">
        <x:v>КГ</x:v>
      </x:c>
      <x:c r="F88" s="24" t="n">
        <x:v>9.332</x:v>
      </x:c>
      <x:c r="G88" s="17" t="n">
        <x:v>1166.7957999999999</x:v>
      </x:c>
      <x:c r="H88" s="17" t="n">
        <x:f>G88*F88</x:f>
        <x:v>10888.5384056</x:v>
      </x:c>
      <x:c r="I88" s="26" t="str">
        <x:f>HYPERLINK("https://etp-aktiv.ru/catalog/materialy/kabelno-provodnikovaya-produkciya/2000006767-W122/","Открыть позицию")</x:f>
        <x:v>Открыть позицию</x:v>
      </x:c>
    </x:row>
    <x:row r="89" ht="28" customHeight="1">
      <x:c r="A89" s="16" t="str">
        <x:v>Рубцовский ТЭК</x:v>
      </x:c>
      <x:c r="B89" s="16" t="str">
        <x:v>2000006425-W122</x:v>
      </x:c>
      <x:c r="C89" s="16" t="str">
        <x:v>ПРОВОД ПЭТВ-2 1,32</x:v>
      </x:c>
      <x:c r="D89" s="16" t="str">
        <x:v>Кабель общ и провод</x:v>
      </x:c>
      <x:c r="E89" s="16" t="str">
        <x:v>КГ</x:v>
      </x:c>
      <x:c r="F89" s="24" t="n">
        <x:v>127.64</x:v>
      </x:c>
      <x:c r="G89" s="17" t="n">
        <x:v>1425.4358000000002</x:v>
      </x:c>
      <x:c r="H89" s="17" t="n">
        <x:f>G89*F89</x:f>
        <x:v>181942.62551200003</x:v>
      </x:c>
      <x:c r="I89" s="26" t="str">
        <x:f>HYPERLINK("https://etp-aktiv.ru/catalog/materialy/kabelno-provodnikovaya-produkciya/2000006425-W122/","Открыть позицию")</x:f>
        <x:v>Открыть позицию</x:v>
      </x:c>
    </x:row>
    <x:row r="90" ht="28" customHeight="1">
      <x:c r="A90" s="16" t="str">
        <x:v>Рубцовский ТЭК</x:v>
      </x:c>
      <x:c r="B90" s="16" t="str">
        <x:v>2000533097-W122</x:v>
      </x:c>
      <x:c r="C90" s="16" t="str">
        <x:v>СКОБА 2-Х ЛАПКОВАЯ 21-22ММ CMA11-21-100</x:v>
      </x:c>
      <x:c r="D90" s="16" t="str">
        <x:v>Монтажн изд д/кабел</x:v>
      </x:c>
      <x:c r="E90" s="16" t="str">
        <x:v>ШТ</x:v>
      </x:c>
      <x:c r="F90" s="25" t="n">
        <x:v>200</x:v>
      </x:c>
      <x:c r="G90" s="17" t="n">
        <x:v>2.3668</x:v>
      </x:c>
      <x:c r="H90" s="17" t="n">
        <x:f>G90*F90</x:f>
        <x:v>473.36</x:v>
      </x:c>
      <x:c r="I90" s="26" t="str">
        <x:f>HYPERLINK("https://etp-aktiv.ru/catalog/materialy/ehlektrotekhnicheskie-materialy/2000533097-W122/","Открыть позицию")</x:f>
        <x:v>Открыть позицию</x:v>
      </x:c>
    </x:row>
    <x:row r="91" ht="28" customHeight="1">
      <x:c r="A91" s="16" t="str">
        <x:v>Филиал БТСК</x:v>
      </x:c>
      <x:c r="B91" s="16" t="str">
        <x:v>2000015757-W121</x:v>
      </x:c>
      <x:c r="C91" s="16" t="str">
        <x:v>КАБЕЛЬ АВВГ 3*10+1*6 0,66КВ</x:v>
      </x:c>
      <x:c r="D91" s="16" t="str">
        <x:v>Кабель общ и провод</x:v>
      </x:c>
      <x:c r="E91" s="16" t="str">
        <x:v>КМ</x:v>
      </x:c>
      <x:c r="F91" s="30" t="n">
        <x:v>0.007</x:v>
      </x:c>
      <x:c r="G91" s="17" t="n">
        <x:v>11858.4</x:v>
      </x:c>
      <x:c r="H91" s="17" t="n">
        <x:f>G91*F91</x:f>
        <x:v>83.0088</x:v>
      </x:c>
      <x:c r="I91" s="26" t="str">
        <x:f>HYPERLINK("https://etp-aktiv.ru/catalog/materialy/kabelno-provodnikovaya-produkciya/2000015757-W121/","Открыть позицию")</x:f>
        <x:v>Открыть позицию</x:v>
      </x:c>
    </x:row>
    <x:row r="92" ht="28" customHeight="1">
      <x:c r="A92" s="16" t="str">
        <x:v>Филиал БТСК</x:v>
      </x:c>
      <x:c r="B92" s="16" t="str">
        <x:v>2000286836-W121</x:v>
      </x:c>
      <x:c r="C92" s="16" t="str">
        <x:v>КАБЕЛЬ КВВГЭ 10*1,5/0,66КВ</x:v>
      </x:c>
      <x:c r="D92" s="16" t="str">
        <x:v>Кабель общ и провод</x:v>
      </x:c>
      <x:c r="E92" s="16" t="str">
        <x:v>КМ</x:v>
      </x:c>
      <x:c r="F92" s="30" t="n">
        <x:v>0.1</x:v>
      </x:c>
      <x:c r="G92" s="17" t="n">
        <x:v>105865.5</x:v>
      </x:c>
      <x:c r="H92" s="17" t="n">
        <x:f>G92*F92</x:f>
        <x:v>10586.550000000001</x:v>
      </x:c>
      <x:c r="I92" s="26" t="str">
        <x:f>HYPERLINK("https://etp-aktiv.ru/catalog/materialy/kabelno-provodnikovaya-produkciya/2000286836-W121/","Открыть позицию")</x:f>
        <x:v>Открыть позицию</x:v>
      </x:c>
    </x:row>
    <x:row r="93" ht="28" customHeight="1">
      <x:c r="A93" s="16" t="str">
        <x:v>Филиал БТСК</x:v>
      </x:c>
      <x:c r="B93" s="16" t="str">
        <x:v>2000462916-W121</x:v>
      </x:c>
      <x:c r="C93" s="16" t="str">
        <x:v>КАБЕЛЬ КВВГЭНГ(А)-LS 10*2,5 0,66КВ</x:v>
      </x:c>
      <x:c r="D93" s="16" t="str">
        <x:v>Кабель общ и провод</x:v>
      </x:c>
      <x:c r="E93" s="16" t="str">
        <x:v>КМ</x:v>
      </x:c>
      <x:c r="F93" s="30" t="n">
        <x:v>0.2</x:v>
      </x:c>
      <x:c r="G93" s="17" t="n">
        <x:v>176442.5</x:v>
      </x:c>
      <x:c r="H93" s="17" t="n">
        <x:f>G93*F93</x:f>
        <x:v>35288.5</x:v>
      </x:c>
      <x:c r="I93" s="26" t="str">
        <x:f>HYPERLINK("https://etp-aktiv.ru/catalog/materialy/kabelno-provodnikovaya-produkciya/2000462916-W121/","Открыть позицию")</x:f>
        <x:v>Открыть позицию</x:v>
      </x:c>
    </x:row>
    <x:row r="94" ht="28" customHeight="1">
      <x:c r="A94" s="16" t="str">
        <x:v>Филиал БТСК</x:v>
      </x:c>
      <x:c r="B94" s="16" t="str">
        <x:v>2000532620-W121</x:v>
      </x:c>
      <x:c r="C94" s="16" t="str">
        <x:v>КМП УДЛИНЕНИЯ КАБЕЛЯ КУК-3*1,5</x:v>
      </x:c>
      <x:c r="D94" s="16" t="str">
        <x:v>Монтажн изд д/кабел</x:v>
      </x:c>
      <x:c r="E94" s="16" t="str">
        <x:v>ШТ</x:v>
      </x:c>
      <x:c r="F94" s="25" t="n">
        <x:v>6</x:v>
      </x:c>
      <x:c r="G94" s="17" t="n">
        <x:v>864.675</x:v>
      </x:c>
      <x:c r="H94" s="17" t="n">
        <x:f>G94*F94</x:f>
        <x:v>5188.049999999999</x:v>
      </x:c>
      <x:c r="I94" s="26" t="str">
        <x:f>HYPERLINK("https://etp-aktiv.ru/catalog/materialy/ehlektrotekhnicheskie-materialy/2000532620-W121/","Открыть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80ccd7bfb1b948e1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Электрооборудование, КИПиА и связь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2000564645-W111</x:v>
      </x:c>
      <x:c r="C5" s="16" t="str">
        <x:v>АМПЕРМЕТР Э365-1-1 0-5А НЕПОСР ВКЛ</x:v>
      </x:c>
      <x:c r="D5" s="16" t="str">
        <x:v>ЗЧ КИПиА</x:v>
      </x:c>
      <x:c r="E5" s="16" t="str">
        <x:v>ШТ</x:v>
      </x:c>
      <x:c r="F5" s="25" t="n">
        <x:v>8</x:v>
      </x:c>
      <x:c r="G5" s="17" t="n">
        <x:v>239.547</x:v>
      </x:c>
      <x:c r="H5" s="17" t="n">
        <x:f>G5*F5</x:f>
        <x:v>1916.376</x:v>
      </x:c>
      <x:c r="I5" s="26" t="str">
        <x:f>HYPERLINK("https://etp-aktiv.ru/catalog/materialy/zapasnye-chasti-i-prinadlezhnosti-dlya-priborov-kipia/2000564645-W111/","Открыть позицию")</x:f>
        <x:v>Открыть позицию</x:v>
      </x:c>
    </x:row>
    <x:row r="6" ht="28" customHeight="1">
      <x:c r="A6" s="16" t="str">
        <x:v>Барнаульская ТЭЦ-2</x:v>
      </x:c>
      <x:c r="B6" s="16" t="str">
        <x:v>2000177801-W111</x:v>
      </x:c>
      <x:c r="C6" s="16" t="str">
        <x:v>БЛОК РЕЛЕЙНЫЙ С2000-СП2</x:v>
      </x:c>
      <x:c r="D6" s="16" t="str">
        <x:v>Низковол апп-ра и ЗЧ</x:v>
      </x:c>
      <x:c r="E6" s="16" t="str">
        <x:v>ШТ</x:v>
      </x:c>
      <x:c r="F6" s="25" t="n">
        <x:v>1</x:v>
      </x:c>
      <x:c r="G6" s="17" t="n">
        <x:v>737.0386</x:v>
      </x:c>
      <x:c r="H6" s="17" t="n">
        <x:f>G6*F6</x:f>
        <x:v>737.0386</x:v>
      </x:c>
      <x:c r="I6" s="26" t="str">
        <x:f>HYPERLINK("https://etp-aktiv.ru/catalog/materialy/nizkovoltnaya-apparatura-i-zapasnye-chasti/2000177801-W111/","Открыть позицию")</x:f>
        <x:v>Открыть позицию</x:v>
      </x:c>
    </x:row>
    <x:row r="7" ht="28" customHeight="1">
      <x:c r="A7" s="16" t="str">
        <x:v>Барнаульская ТЭЦ-2</x:v>
      </x:c>
      <x:c r="B7" s="16" t="str">
        <x:v>2000333247-W111</x:v>
      </x:c>
      <x:c r="C7" s="16" t="str">
        <x:v>БЛОК С2000-КПБ 181334</x:v>
      </x:c>
      <x:c r="D7" s="16" t="str">
        <x:v>Низковол апп-ра и ЗЧ</x:v>
      </x:c>
      <x:c r="E7" s="16" t="str">
        <x:v>ШТ</x:v>
      </x:c>
      <x:c r="F7" s="25" t="n">
        <x:v>9</x:v>
      </x:c>
      <x:c r="G7" s="17" t="n">
        <x:v>4593.3</x:v>
      </x:c>
      <x:c r="H7" s="17" t="n">
        <x:f>G7*F7</x:f>
        <x:v>41339.700000000004</x:v>
      </x:c>
      <x:c r="I7" s="26" t="str">
        <x:f>HYPERLINK("https://etp-aktiv.ru/catalog/materialy/nizkovoltnaya-apparatura-i-zapasnye-chasti/2000333247-W111/","Открыть позицию")</x:f>
        <x:v>Открыть позицию</x:v>
      </x:c>
    </x:row>
    <x:row r="8" ht="28" customHeight="1">
      <x:c r="A8" s="16" t="str">
        <x:v>Барнаульская ТЭЦ-2</x:v>
      </x:c>
      <x:c r="B8" s="16" t="str">
        <x:v>5000058601-W111</x:v>
      </x:c>
      <x:c r="C8" s="16" t="str">
        <x:v>ВИДЕОКАМЕРА GERMIKOM F450EVOLUTION НАРУЖ</x:v>
      </x:c>
      <x:c r="D8" s="16" t="str">
        <x:v>Аппар-ра наблюдения</x:v>
      </x:c>
      <x:c r="E8" s="16" t="str">
        <x:v>ШТ</x:v>
      </x:c>
      <x:c r="F8" s="25" t="n">
        <x:v>1</x:v>
      </x:c>
      <x:c r="G8" s="17" t="n">
        <x:v>4457.1968</x:v>
      </x:c>
      <x:c r="H8" s="17" t="n">
        <x:f>G8*F8</x:f>
        <x:v>4457.1968</x:v>
      </x:c>
      <x:c r="I8" s="26" t="str">
        <x:f>HYPERLINK("https://etp-aktiv.ru/catalog/materialy/prochie-materialy/5000058601-W111/","Открыть позицию")</x:f>
        <x:v>Открыть позицию</x:v>
      </x:c>
    </x:row>
    <x:row r="9" ht="28" customHeight="1">
      <x:c r="A9" s="16" t="str">
        <x:v>Барнаульская ТЭЦ-2</x:v>
      </x:c>
      <x:c r="B9" s="16" t="str">
        <x:v>2000535143-W111</x:v>
      </x:c>
      <x:c r="C9" s="16" t="str">
        <x:v>ВЫКЛЮЧАТЕЛЬ AZ-7124 10А 250В</x:v>
      </x:c>
      <x:c r="D9" s="16" t="str">
        <x:v>Низковол апп-ра и ЗЧ</x:v>
      </x:c>
      <x:c r="E9" s="16" t="str">
        <x:v>ШТ</x:v>
      </x:c>
      <x:c r="F9" s="25" t="n">
        <x:v>12</x:v>
      </x:c>
      <x:c r="G9" s="17" t="n">
        <x:v>152.7928</x:v>
      </x:c>
      <x:c r="H9" s="17" t="n">
        <x:f>G9*F9</x:f>
        <x:v>1833.5136</x:v>
      </x:c>
      <x:c r="I9" s="26" t="str">
        <x:f>HYPERLINK("https://etp-aktiv.ru/catalog/materialy/nizkovoltnaya-apparatura-i-zapasnye-chasti/2000535143-W111/","Открыть позицию")</x:f>
        <x:v>Открыть позицию</x:v>
      </x:c>
    </x:row>
    <x:row r="10" ht="28" customHeight="1">
      <x:c r="A10" s="16" t="str">
        <x:v>Барнаульская ТЭЦ-2</x:v>
      </x:c>
      <x:c r="B10" s="16" t="str">
        <x:v>2000696513-W111</x:v>
      </x:c>
      <x:c r="C10" s="16" t="str">
        <x:v>ВЫКЛЮЧАТЕЛЬ ВКО-35 I=240 У3 2,5А</x:v>
      </x:c>
      <x:c r="D10" s="16" t="str">
        <x:v>Низковол апп-ра и ЗЧ</x:v>
      </x:c>
      <x:c r="E10" s="16" t="str">
        <x:v>ШТ</x:v>
      </x:c>
      <x:c r="F10" s="25" t="n">
        <x:v>7</x:v>
      </x:c>
      <x:c r="G10" s="17" t="n">
        <x:v>8640.162</x:v>
      </x:c>
      <x:c r="H10" s="17" t="n">
        <x:f>G10*F10</x:f>
        <x:v>60481.134000000005</x:v>
      </x:c>
      <x:c r="I10" s="26" t="str">
        <x:f>HYPERLINK("https://etp-aktiv.ru/catalog/materialy/nizkovoltnaya-apparatura-i-zapasnye-chasti/2000696513-W111/","Открыть позицию")</x:f>
        <x:v>Открыть позицию</x:v>
      </x:c>
    </x:row>
    <x:row r="11" ht="28" customHeight="1">
      <x:c r="A11" s="16" t="str">
        <x:v>Барнаульская ТЭЦ-2</x:v>
      </x:c>
      <x:c r="B11" s="16" t="str">
        <x:v>5000066979-W111</x:v>
      </x:c>
      <x:c r="C11" s="16" t="str">
        <x:v>ГАЗОАНАЛИЗАТОР АВП-02ГМ</x:v>
      </x:c>
      <x:c r="D11" s="16" t="str">
        <x:v>Приборы КИПиА</x:v>
      </x:c>
      <x:c r="E11" s="16" t="str">
        <x:v>ШТ</x:v>
      </x:c>
      <x:c r="F11" s="25" t="n">
        <x:v>1</x:v>
      </x:c>
      <x:c r="G11" s="17" t="n">
        <x:v>18605.915</x:v>
      </x:c>
      <x:c r="H11" s="17" t="n">
        <x:f>G11*F11</x:f>
        <x:v>18605.915</x:v>
      </x:c>
      <x:c r="I11" s="26" t="str">
        <x:f>HYPERLINK("https://etp-aktiv.ru/catalog/materialy/zapasnye-chasti-i-prinadlezhnosti-dlya-priborov-kipia/5000066979-W111/","Открыть позицию")</x:f>
        <x:v>Открыть позицию</x:v>
      </x:c>
    </x:row>
    <x:row r="12" ht="28" customHeight="1">
      <x:c r="A12" s="16" t="str">
        <x:v>Барнаульская ТЭЦ-2</x:v>
      </x:c>
      <x:c r="B12" s="16" t="str">
        <x:v>2000011062-W111</x:v>
      </x:c>
      <x:c r="C12" s="16" t="str">
        <x:v>ДАТЧИК КТВ-2М</x:v>
      </x:c>
      <x:c r="D12" s="16" t="str">
        <x:v>ЗЧ КИПиА</x:v>
      </x:c>
      <x:c r="E12" s="16" t="str">
        <x:v>ШТ</x:v>
      </x:c>
      <x:c r="F12" s="25" t="n">
        <x:v>4</x:v>
      </x:c>
      <x:c r="G12" s="17" t="n">
        <x:v>2883.897</x:v>
      </x:c>
      <x:c r="H12" s="17" t="n">
        <x:f>G12*F12</x:f>
        <x:v>11535.588</x:v>
      </x:c>
      <x:c r="I12" s="26" t="str">
        <x:f>HYPERLINK("https://etp-aktiv.ru/catalog/materialy/zapasnye-chasti-i-prinadlezhnosti-dlya-priborov-kipia/2000011062-W111/","Открыть позицию")</x:f>
        <x:v>Открыть позицию</x:v>
      </x:c>
    </x:row>
    <x:row r="13" ht="28" customHeight="1">
      <x:c r="A13" s="16" t="str">
        <x:v>Барнаульская ТЭЦ-2</x:v>
      </x:c>
      <x:c r="B13" s="16" t="str">
        <x:v>2000558724-W111</x:v>
      </x:c>
      <x:c r="C13" s="16" t="str">
        <x:v>ДИСПЛЕЙ ИНФОРМАЦИОН АВТОГРАФ-INFO MINI</x:v>
      </x:c>
      <x:c r="D13" s="16" t="str">
        <x:v>ЗЧ КИПиА</x:v>
      </x:c>
      <x:c r="E13" s="16" t="str">
        <x:v>ШТ</x:v>
      </x:c>
      <x:c r="F13" s="25" t="n">
        <x:v>5</x:v>
      </x:c>
      <x:c r="G13" s="17" t="n">
        <x:v>4681.6036</x:v>
      </x:c>
      <x:c r="H13" s="17" t="n">
        <x:f>G13*F13</x:f>
        <x:v>23408.018000000004</x:v>
      </x:c>
      <x:c r="I13" s="26" t="str">
        <x:f>HYPERLINK("https://etp-aktiv.ru/catalog/materialy/zapasnye-chasti-i-prinadlezhnosti-dlya-priborov-kipia/2000558724-W111/","Открыть позицию")</x:f>
        <x:v>Открыть позицию</x:v>
      </x:c>
    </x:row>
    <x:row r="14" ht="28" customHeight="1">
      <x:c r="A14" s="16" t="str">
        <x:v>Барнаульская ТЭЦ-2</x:v>
      </x:c>
      <x:c r="B14" s="16" t="str">
        <x:v>2000931263-W111</x:v>
      </x:c>
      <x:c r="C14" s="16" t="str">
        <x:v>ЗАТВОР ЗДП-80-0,63-А-УХЛ1 DN80 PN6,3</x:v>
      </x:c>
      <x:c r="D14" s="16" t="str">
        <x:v>ЗЧ трансформаторов</x:v>
      </x:c>
      <x:c r="E14" s="16" t="str">
        <x:v>ШТ</x:v>
      </x:c>
      <x:c r="F14" s="25" t="n">
        <x:v>4</x:v>
      </x:c>
      <x:c r="G14" s="17" t="n">
        <x:v>6290.625</x:v>
      </x:c>
      <x:c r="H14" s="17" t="n">
        <x:f>G14*F14</x:f>
        <x:v>25162.5</x:v>
      </x:c>
      <x:c r="I14" s="26" t="str">
        <x:f>HYPERLINK("https://etp-aktiv.ru/catalog/materialy/ehlektrotekhnicheskie-materialy/2000931263-W111/","Открыть позицию")</x:f>
        <x:v>Открыть позицию</x:v>
      </x:c>
    </x:row>
    <x:row r="15" ht="28" customHeight="1">
      <x:c r="A15" s="16" t="str">
        <x:v>Барнаульская ТЭЦ-2</x:v>
      </x:c>
      <x:c r="B15" s="16" t="str">
        <x:v>2000337975-W111</x:v>
      </x:c>
      <x:c r="C15" s="16" t="str">
        <x:v>ИЗВЕЩАТЕЛЬ ПОЖАРНЫЙ РУЧНОЙ ИПР-К</x:v>
      </x:c>
      <x:c r="D15" s="16" t="str">
        <x:v>ЗЧ КИПиА</x:v>
      </x:c>
      <x:c r="E15" s="16" t="str">
        <x:v>ШТ</x:v>
      </x:c>
      <x:c r="F15" s="25" t="n">
        <x:v>1</x:v>
      </x:c>
      <x:c r="G15" s="17" t="n">
        <x:v>301.95</x:v>
      </x:c>
      <x:c r="H15" s="17" t="n">
        <x:f>G15*F15</x:f>
        <x:v>301.95</x:v>
      </x:c>
      <x:c r="I15" s="26" t="str">
        <x:f>HYPERLINK("https://etp-aktiv.ru/catalog/materialy/zapasnye-chasti-i-prinadlezhnosti-dlya-priborov-kipia/2000337975-W111/","Открыть позицию")</x:f>
        <x:v>Открыть позицию</x:v>
      </x:c>
    </x:row>
    <x:row r="16" ht="28" customHeight="1">
      <x:c r="A16" s="16" t="str">
        <x:v>Барнаульская ТЭЦ-2</x:v>
      </x:c>
      <x:c r="B16" s="16" t="str">
        <x:v>2000592883-W111</x:v>
      </x:c>
      <x:c r="C16" s="16" t="str">
        <x:v>ИНДИКАТОР-КОММУНИКАТОР ИК 4-20М</x:v>
      </x:c>
      <x:c r="D16" s="16" t="str">
        <x:v>ЗЧ КИПиА</x:v>
      </x:c>
      <x:c r="E16" s="16" t="str">
        <x:v>ШТ</x:v>
      </x:c>
      <x:c r="F16" s="25" t="n">
        <x:v>3</x:v>
      </x:c>
      <x:c r="G16" s="17" t="n">
        <x:v>3318.0218</x:v>
      </x:c>
      <x:c r="H16" s="17" t="n">
        <x:f>G16*F16</x:f>
        <x:v>9954.0654</x:v>
      </x:c>
      <x:c r="I16" s="26" t="str">
        <x:f>HYPERLINK("https://etp-aktiv.ru/catalog/materialy/zapasnye-chasti-i-prinadlezhnosti-dlya-priborov-kipia/2000592883-W111/","Открыть позицию")</x:f>
        <x:v>Открыть позицию</x:v>
      </x:c>
    </x:row>
    <x:row r="17" ht="28" customHeight="1">
      <x:c r="A17" s="16" t="str">
        <x:v>Барнаульская ТЭЦ-2</x:v>
      </x:c>
      <x:c r="B17" s="16" t="str">
        <x:v>2000541380-W111</x:v>
      </x:c>
      <x:c r="C17" s="16" t="str">
        <x:v>ИСТОЧНИК ПИТАНИЯ РЕЗЕРВИР РИП-24 ИСП.06</x:v>
      </x:c>
      <x:c r="D17" s="16" t="str">
        <x:v>ЗЧ КИПиА</x:v>
      </x:c>
      <x:c r="E17" s="16" t="str">
        <x:v>ШТ</x:v>
      </x:c>
      <x:c r="F17" s="25" t="n">
        <x:v>1</x:v>
      </x:c>
      <x:c r="G17" s="17" t="n">
        <x:v>4678.1632</x:v>
      </x:c>
      <x:c r="H17" s="17" t="n">
        <x:f>G17*F17</x:f>
        <x:v>4678.1632</x:v>
      </x:c>
      <x:c r="I17" s="26" t="str">
        <x:f>HYPERLINK("https://etp-aktiv.ru/catalog/materialy/zapasnye-chasti-i-prinadlezhnosti-dlya-priborov-kipia/2000541380-W111/","Открыть позицию")</x:f>
        <x:v>Открыть позицию</x:v>
      </x:c>
    </x:row>
    <x:row r="18" ht="28" customHeight="1">
      <x:c r="A18" s="16" t="str">
        <x:v>Барнаульская ТЭЦ-2</x:v>
      </x:c>
      <x:c r="B18" s="16" t="str">
        <x:v>2000536419-W111</x:v>
      </x:c>
      <x:c r="C18" s="16" t="str">
        <x:v>КАТУШКА КОНТАКТОРА КТ-6043 400А 380В</x:v>
      </x:c>
      <x:c r="D18" s="16" t="str">
        <x:v>Низковол апп-ра и ЗЧ</x:v>
      </x:c>
      <x:c r="E18" s="16" t="str">
        <x:v>ШТ</x:v>
      </x:c>
      <x:c r="F18" s="25" t="n">
        <x:v>2</x:v>
      </x:c>
      <x:c r="G18" s="17" t="n">
        <x:v>4408.6408</x:v>
      </x:c>
      <x:c r="H18" s="17" t="n">
        <x:f>G18*F18</x:f>
        <x:v>8817.2816</x:v>
      </x:c>
      <x:c r="I18" s="26" t="str">
        <x:f>HYPERLINK("https://etp-aktiv.ru/catalog/materialy/nizkovoltnaya-apparatura-i-zapasnye-chasti/2000536419-W111/","Открыть позицию")</x:f>
        <x:v>Открыть позицию</x:v>
      </x:c>
    </x:row>
    <x:row r="19" ht="28" customHeight="1">
      <x:c r="A19" s="16" t="str">
        <x:v>Барнаульская ТЭЦ-2</x:v>
      </x:c>
      <x:c r="B19" s="16" t="str">
        <x:v>2000382597-W111</x:v>
      </x:c>
      <x:c r="C19" s="16" t="str">
        <x:v>КОНТРОЛЛЕР СЕТЕВОЙ СИГМА-ИС СКУП-01</x:v>
      </x:c>
      <x:c r="D19" s="16" t="str">
        <x:v>Компл,ЗЧ Оф/КомпОб</x:v>
      </x:c>
      <x:c r="E19" s="16" t="str">
        <x:v>ШТ</x:v>
      </x:c>
      <x:c r="F19" s="25" t="n">
        <x:v>3</x:v>
      </x:c>
      <x:c r="G19" s="17" t="n">
        <x:v>9352.910399999999</x:v>
      </x:c>
      <x:c r="H19" s="17" t="n">
        <x:f>G19*F19</x:f>
        <x:v>28058.731199999995</x:v>
      </x:c>
      <x:c r="I19" s="26" t="str">
        <x:f>HYPERLINK("https://etp-aktiv.ru/catalog/materialy/komplektuyushchie-i-zapasnye-chasti-k-kompyuternomu-i-ofisnomu-oborudovaniyu/2000382597-W111/","Открыть позицию")</x:f>
        <x:v>Открыть позицию</x:v>
      </x:c>
    </x:row>
    <x:row r="20" ht="28" customHeight="1">
      <x:c r="A20" s="16" t="str">
        <x:v>Барнаульская ТЭЦ-2</x:v>
      </x:c>
      <x:c r="B20" s="16" t="str">
        <x:v>2000151675-W111</x:v>
      </x:c>
      <x:c r="C20" s="16" t="str">
        <x:v>КОНТРОЛЛЕР СЕТЕВОЙ СКШС-01 IP-65</x:v>
      </x:c>
      <x:c r="D20" s="16" t="str">
        <x:v>Компл,ЗЧ Оф/КомпОб</x:v>
      </x:c>
      <x:c r="E20" s="16" t="str">
        <x:v>ШТ</x:v>
      </x:c>
      <x:c r="F20" s="25" t="n">
        <x:v>6</x:v>
      </x:c>
      <x:c r="G20" s="17" t="n">
        <x:v>7201.1232</x:v>
      </x:c>
      <x:c r="H20" s="17" t="n">
        <x:f>G20*F20</x:f>
        <x:v>43206.739199999996</x:v>
      </x:c>
      <x:c r="I20" s="26" t="str">
        <x:f>HYPERLINK("https://etp-aktiv.ru/catalog/materialy/komplektuyushchie-i-zapasnye-chasti-k-kompyuternomu-i-ofisnomu-oborudovaniyu/2000151675-W111/","Открыть позицию")</x:f>
        <x:v>Открыть позицию</x:v>
      </x:c>
    </x:row>
    <x:row r="21" ht="28" customHeight="1">
      <x:c r="A21" s="16" t="str">
        <x:v>Барнаульская ТЭЦ-2</x:v>
      </x:c>
      <x:c r="B21" s="16" t="str">
        <x:v>2000382546-W111</x:v>
      </x:c>
      <x:c r="C21" s="16" t="str">
        <x:v>КОНТРОЛЛЕР СЕТЕВОЙ СКШС-03-08</x:v>
      </x:c>
      <x:c r="D21" s="16" t="str">
        <x:v>Компл,ЗЧ Оф/КомпОб</x:v>
      </x:c>
      <x:c r="E21" s="16" t="str">
        <x:v>ШТ</x:v>
      </x:c>
      <x:c r="F21" s="25" t="n">
        <x:v>3</x:v>
      </x:c>
      <x:c r="G21" s="17" t="n">
        <x:v>5860.6482000000005</x:v>
      </x:c>
      <x:c r="H21" s="17" t="n">
        <x:f>G21*F21</x:f>
        <x:v>17581.944600000003</x:v>
      </x:c>
      <x:c r="I21" s="26" t="str">
        <x:f>HYPERLINK("https://etp-aktiv.ru/catalog/materialy/komplektuyushchie-i-zapasnye-chasti-k-kompyuternomu-i-ofisnomu-oborudovaniyu/2000382546-W111/","Открыть позицию")</x:f>
        <x:v>Открыть позицию</x:v>
      </x:c>
    </x:row>
    <x:row r="22" ht="28" customHeight="1">
      <x:c r="A22" s="16" t="str">
        <x:v>Барнаульская ТЭЦ-2</x:v>
      </x:c>
      <x:c r="B22" s="16" t="str">
        <x:v>2000282466-W111</x:v>
      </x:c>
      <x:c r="C22" s="16" t="str">
        <x:v>КОНТРОЛЛЕР СКИУ-02</x:v>
      </x:c>
      <x:c r="D22" s="16" t="str">
        <x:v>ЗЧ КИПиА</x:v>
      </x:c>
      <x:c r="E22" s="16" t="str">
        <x:v>ШТ</x:v>
      </x:c>
      <x:c r="F22" s="25" t="n">
        <x:v>1</x:v>
      </x:c>
      <x:c r="G22" s="17" t="n">
        <x:v>5674.0736</x:v>
      </x:c>
      <x:c r="H22" s="17" t="n">
        <x:f>G22*F22</x:f>
        <x:v>5674.0736</x:v>
      </x:c>
      <x:c r="I22" s="26" t="str">
        <x:f>HYPERLINK("https://etp-aktiv.ru/catalog/materialy/zapasnye-chasti-i-prinadlezhnosti-dlya-priborov-kipia/2000282466-W111/","Открыть позицию")</x:f>
        <x:v>Открыть позицию</x:v>
      </x:c>
    </x:row>
    <x:row r="23" ht="28" customHeight="1">
      <x:c r="A23" s="16" t="str">
        <x:v>Барнаульская ТЭЦ-2</x:v>
      </x:c>
      <x:c r="B23" s="16" t="str">
        <x:v>2000545107-W111</x:v>
      </x:c>
      <x:c r="C23" s="16" t="str">
        <x:v>ЛАМПА ERA SP-23-842 12/48 23ВТ E27</x:v>
      </x:c>
      <x:c r="D23" s="16" t="str">
        <x:v>Освет и э/установоч</x:v>
      </x:c>
      <x:c r="E23" s="16" t="str">
        <x:v>ШТ</x:v>
      </x:c>
      <x:c r="F23" s="25" t="n">
        <x:v>306</x:v>
      </x:c>
      <x:c r="G23" s="17" t="n">
        <x:v>50.0932</x:v>
      </x:c>
      <x:c r="H23" s="17" t="n">
        <x:f>G23*F23</x:f>
        <x:v>15328.5192</x:v>
      </x:c>
      <x:c r="I23" s="26" t="str">
        <x:f>HYPERLINK("https://etp-aktiv.ru/catalog/materialy/ehlektrotekhnicheskie-materialy/2000545107-W111/","Открыть позицию")</x:f>
        <x:v>Открыть позицию</x:v>
      </x:c>
    </x:row>
    <x:row r="24" ht="28" customHeight="1">
      <x:c r="A24" s="16" t="str">
        <x:v>Барнаульская ТЭЦ-2</x:v>
      </x:c>
      <x:c r="B24" s="16" t="str">
        <x:v>5000028231-W111</x:v>
      </x:c>
      <x:c r="C24" s="16" t="str">
        <x:v>МОДЕМ SIEMENS MC35I</x:v>
      </x:c>
      <x:c r="D24" s="16" t="str">
        <x:v>@Комп и ОфисноОборуд</x:v>
      </x:c>
      <x:c r="E24" s="16" t="str">
        <x:v>ШТ</x:v>
      </x:c>
      <x:c r="F24" s="25" t="n">
        <x:v>1</x:v>
      </x:c>
      <x:c r="G24" s="17" t="n">
        <x:v>3605.7222</x:v>
      </x:c>
      <x:c r="H24" s="17" t="n">
        <x:f>G24*F24</x:f>
        <x:v>3605.7222</x:v>
      </x:c>
      <x:c r="I24" s="26" t="str">
        <x:f>HYPERLINK("https://etp-aktiv.ru/catalog/materialy/komplektuyushchie-i-zapasnye-chasti-k-kompyuternomu-i-ofisnomu-oborudovaniyu/5000028231-W111/","Открыть позицию")</x:f>
        <x:v>Открыть позицию</x:v>
      </x:c>
    </x:row>
    <x:row r="25" ht="28" customHeight="1">
      <x:c r="A25" s="16" t="str">
        <x:v>Барнаульская ТЭЦ-2</x:v>
      </x:c>
      <x:c r="B25" s="16" t="str">
        <x:v>2000033316-W111</x:v>
      </x:c>
      <x:c r="C25" s="16" t="str">
        <x:v>ПЕРЕКЛЮЧАТЕЛЬ ПВ-3 16А</x:v>
      </x:c>
      <x:c r="D25" s="16" t="str">
        <x:v>Низковол апп-ра и ЗЧ</x:v>
      </x:c>
      <x:c r="E25" s="16" t="str">
        <x:v>ШТ</x:v>
      </x:c>
      <x:c r="F25" s="25" t="n">
        <x:v>34</x:v>
      </x:c>
      <x:c r="G25" s="17" t="n">
        <x:v>153.7078</x:v>
      </x:c>
      <x:c r="H25" s="17" t="n">
        <x:f>G25*F25</x:f>
        <x:v>5226.0652</x:v>
      </x:c>
      <x:c r="I25" s="26" t="str">
        <x:f>HYPERLINK("https://etp-aktiv.ru/catalog/materialy/nizkovoltnaya-apparatura-i-zapasnye-chasti/2000033316-W111/","Открыть позицию")</x:f>
        <x:v>Открыть позицию</x:v>
      </x:c>
    </x:row>
    <x:row r="26" ht="28" customHeight="1">
      <x:c r="A26" s="16" t="str">
        <x:v>Барнаульская ТЭЦ-2</x:v>
      </x:c>
      <x:c r="B26" s="16" t="str">
        <x:v>2000538416-W111</x:v>
      </x:c>
      <x:c r="C26" s="16" t="str">
        <x:v>ПРЕОБРАЗОВАТЕЛЬ MOXA NPORT-5130</x:v>
      </x:c>
      <x:c r="D26" s="16" t="str">
        <x:v>Компл,ЗЧ Оф/КомпОб</x:v>
      </x:c>
      <x:c r="E26" s="16" t="str">
        <x:v>ШТ</x:v>
      </x:c>
      <x:c r="F26" s="25" t="n">
        <x:v>1</x:v>
      </x:c>
      <x:c r="G26" s="17" t="n">
        <x:v>5220.6484</x:v>
      </x:c>
      <x:c r="H26" s="17" t="n">
        <x:f>G26*F26</x:f>
        <x:v>5220.6484</x:v>
      </x:c>
      <x:c r="I26" s="26" t="str">
        <x:f>HYPERLINK("https://etp-aktiv.ru/catalog/materialy/komplektuyushchie-i-zapasnye-chasti-k-kompyuternomu-i-ofisnomu-oborudovaniyu/2000538416-W111/","Открыть позицию")</x:f>
        <x:v>Открыть позицию</x:v>
      </x:c>
    </x:row>
    <x:row r="27" ht="28" customHeight="1">
      <x:c r="A27" s="16" t="str">
        <x:v>Барнаульская ТЭЦ-2</x:v>
      </x:c>
      <x:c r="B27" s="16" t="str">
        <x:v>2000636509-W111</x:v>
      </x:c>
      <x:c r="C27" s="16" t="str">
        <x:v>ПРЕОБРАЗОВАТЕЛЬ Е849В1 0..5А</x:v>
      </x:c>
      <x:c r="D27" s="16" t="str">
        <x:v>ЗЧ КИПиА</x:v>
      </x:c>
      <x:c r="E27" s="16" t="str">
        <x:v>ШТ</x:v>
      </x:c>
      <x:c r="F27" s="25" t="n">
        <x:v>1</x:v>
      </x:c>
      <x:c r="G27" s="17" t="n">
        <x:v>14461.3432</x:v>
      </x:c>
      <x:c r="H27" s="17" t="n">
        <x:f>G27*F27</x:f>
        <x:v>14461.3432</x:v>
      </x:c>
      <x:c r="I27" s="26" t="str">
        <x:f>HYPERLINK("https://etp-aktiv.ru/catalog/materialy/zapasnye-chasti-i-prinadlezhnosti-dlya-priborov-kipia/2000636509-W111/","Открыть позицию")</x:f>
        <x:v>Открыть позицию</x:v>
      </x:c>
    </x:row>
    <x:row r="28" ht="28" customHeight="1">
      <x:c r="A28" s="16" t="str">
        <x:v>Барнаульская ТЭЦ-2</x:v>
      </x:c>
      <x:c r="B28" s="16" t="str">
        <x:v>2000524702-W111</x:v>
      </x:c>
      <x:c r="C28" s="16" t="str">
        <x:v>ПРИВОД ЧЕРВЯЧНЫЙ ПЧ-50</x:v>
      </x:c>
      <x:c r="D28" s="16" t="str">
        <x:v>ЗЧ высоковоль оборуд</x:v>
      </x:c>
      <x:c r="E28" s="16" t="str">
        <x:v>ШТ</x:v>
      </x:c>
      <x:c r="F28" s="25" t="n">
        <x:v>1</x:v>
      </x:c>
      <x:c r="G28" s="17" t="n">
        <x:v>5309.2936</x:v>
      </x:c>
      <x:c r="H28" s="17" t="n">
        <x:f>G28*F28</x:f>
        <x:v>5309.2936</x:v>
      </x:c>
      <x:c r="I28" s="26" t="str">
        <x:f>HYPERLINK("https://etp-aktiv.ru/catalog/materialy/ehlektrotekhnicheskie-materialy/2000524702-W111/","Открыть позицию")</x:f>
        <x:v>Открыть позицию</x:v>
      </x:c>
    </x:row>
    <x:row r="29" ht="28" customHeight="1">
      <x:c r="A29" s="16" t="str">
        <x:v>Барнаульская ТЭЦ-2</x:v>
      </x:c>
      <x:c r="B29" s="16" t="str">
        <x:v>2000617758-W111</x:v>
      </x:c>
      <x:c r="C29" s="16" t="str">
        <x:v>СВЕТОФОР КРАСН-КРАСН СП-2 МАЧТА ИЗВЕЩАТ</x:v>
      </x:c>
      <x:c r="D29" s="16" t="str">
        <x:v>ЗЧ КИПиА</x:v>
      </x:c>
      <x:c r="E29" s="16" t="str">
        <x:v>ШТ</x:v>
      </x:c>
      <x:c r="F29" s="25" t="n">
        <x:v>2</x:v>
      </x:c>
      <x:c r="G29" s="17" t="n">
        <x:v>15847.8</x:v>
      </x:c>
      <x:c r="H29" s="17" t="n">
        <x:f>G29*F29</x:f>
        <x:v>31695.6</x:v>
      </x:c>
      <x:c r="I29" s="26" t="str">
        <x:f>HYPERLINK("https://etp-aktiv.ru/catalog/materialy/zapasnye-chasti-i-prinadlezhnosti-dlya-priborov-kipia/2000617758-W111/","Открыть позицию")</x:f>
        <x:v>Открыть позицию</x:v>
      </x:c>
    </x:row>
    <x:row r="30" ht="28" customHeight="1">
      <x:c r="A30" s="16" t="str">
        <x:v>Барнаульская ТЭЦ-2</x:v>
      </x:c>
      <x:c r="B30" s="16" t="str">
        <x:v>2000541263-W111</x:v>
      </x:c>
      <x:c r="C30" s="16" t="str">
        <x:v>УЗЕЛ КРЕПЛЕНИЯ УФГИ 320 ДАТЧИКА ДС 72</x:v>
      </x:c>
      <x:c r="D30" s="16" t="str">
        <x:v>ЗЧ КИПиА</x:v>
      </x:c>
      <x:c r="E30" s="16" t="str">
        <x:v>ШТ</x:v>
      </x:c>
      <x:c r="F30" s="25" t="n">
        <x:v>2</x:v>
      </x:c>
      <x:c r="G30" s="17" t="n">
        <x:v>21277.178200000002</x:v>
      </x:c>
      <x:c r="H30" s="17" t="n">
        <x:f>G30*F30</x:f>
        <x:v>42554.356400000004</x:v>
      </x:c>
      <x:c r="I30" s="26" t="str">
        <x:f>HYPERLINK("https://etp-aktiv.ru/catalog/materialy/zapasnye-chasti-i-prinadlezhnosti-dlya-priborov-kipia/2000541263-W111/","Открыть позицию")</x:f>
        <x:v>Открыть позицию</x:v>
      </x:c>
    </x:row>
    <x:row r="31" ht="28" customHeight="1">
      <x:c r="A31" s="16" t="str">
        <x:v>Барнаульская ТЭЦ-2</x:v>
      </x:c>
      <x:c r="B31" s="16" t="str">
        <x:v>2000242699-W111</x:v>
      </x:c>
      <x:c r="C31" s="16" t="str">
        <x:v>ШАЙБА АЛЮМОМЕДНАЯ ШАМ 17/8,5</x:v>
      </x:c>
      <x:c r="D31" s="16" t="str">
        <x:v>Проч э/технич мат-лы</x:v>
      </x:c>
      <x:c r="E31" s="16" t="str">
        <x:v>ШТ</x:v>
      </x:c>
      <x:c r="F31" s="25" t="n">
        <x:v>28</x:v>
      </x:c>
      <x:c r="G31" s="17" t="n">
        <x:v>28.5968</x:v>
      </x:c>
      <x:c r="H31" s="17" t="n">
        <x:f>G31*F31</x:f>
        <x:v>800.7104</x:v>
      </x:c>
      <x:c r="I31" s="26" t="str">
        <x:f>HYPERLINK("https://etp-aktiv.ru/catalog/materialy/ehlektrotekhnicheskie-materialy/2000242699-W111/","Открыть позицию")</x:f>
        <x:v>Открыть позицию</x:v>
      </x:c>
    </x:row>
    <x:row r="32" ht="28" customHeight="1">
      <x:c r="A32" s="16" t="str">
        <x:v>Барнаульская ТЭЦ-2</x:v>
      </x:c>
      <x:c r="B32" s="16" t="str">
        <x:v>2000046878-W111</x:v>
      </x:c>
      <x:c r="C32" s="16" t="str">
        <x:v>ЭЛЕКТРОКАРТОН ЭВ 0,5ММ</x:v>
      </x:c>
      <x:c r="D32" s="16" t="str">
        <x:v>Э/изоляцион мат-лы</x:v>
      </x:c>
      <x:c r="E32" s="16" t="str">
        <x:v>КГ</x:v>
      </x:c>
      <x:c r="F32" s="24" t="n">
        <x:v>17.7</x:v>
      </x:c>
      <x:c r="G32" s="17" t="n">
        <x:v>215.3178</x:v>
      </x:c>
      <x:c r="H32" s="17" t="n">
        <x:f>G32*F32</x:f>
        <x:v>3811.12506</x:v>
      </x:c>
      <x:c r="I32" s="26" t="str">
        <x:f>HYPERLINK("https://etp-aktiv.ru/catalog/materialy/ehlektroizolyacionnye-materialy/2000046878-W111/","Открыть позицию")</x:f>
        <x:v>Открыть позицию</x:v>
      </x:c>
    </x:row>
    <x:row r="33" ht="28" customHeight="1">
      <x:c r="A33" s="16" t="str">
        <x:v>Барнаульская ТЭЦ-2</x:v>
      </x:c>
      <x:c r="B33" s="16" t="str">
        <x:v>2000162946-W111</x:v>
      </x:c>
      <x:c r="C33" s="16" t="str">
        <x:v>ЭЛЕКТРОКАРТОН ЭВ 1ММ</x:v>
      </x:c>
      <x:c r="D33" s="16" t="str">
        <x:v>Э/изоляцион мат-лы</x:v>
      </x:c>
      <x:c r="E33" s="16" t="str">
        <x:v>КГ</x:v>
      </x:c>
      <x:c r="F33" s="24" t="n">
        <x:v>8.18</x:v>
      </x:c>
      <x:c r="G33" s="17" t="n">
        <x:v>226.798</x:v>
      </x:c>
      <x:c r="H33" s="17" t="n">
        <x:f>G33*F33</x:f>
        <x:v>1855.2076399999999</x:v>
      </x:c>
      <x:c r="I33" s="26" t="str">
        <x:f>HYPERLINK("https://etp-aktiv.ru/catalog/materialy/ehlektroizolyacionnye-materialy/2000162946-W111/","Открыть позицию")</x:f>
        <x:v>Открыть позицию</x:v>
      </x:c>
    </x:row>
    <x:row r="34" ht="28" customHeight="1">
      <x:c r="A34" s="16" t="str">
        <x:v>Барнаульская ТЭЦ-3</x:v>
      </x:c>
      <x:c r="B34" s="16" t="str">
        <x:v>2000228190-W112</x:v>
      </x:c>
      <x:c r="C34" s="16" t="str">
        <x:v>КАТУШКА Э/МАГ ИЖМ В684432.003</x:v>
      </x:c>
      <x:c r="D34" s="16" t="str">
        <x:v>Проч э/технич мат-лы</x:v>
      </x:c>
      <x:c r="E34" s="16" t="str">
        <x:v>ШТ</x:v>
      </x:c>
      <x:c r="F34" s="25" t="n">
        <x:v>2</x:v>
      </x:c>
      <x:c r="G34" s="17" t="n">
        <x:v>434.3932</x:v>
      </x:c>
      <x:c r="H34" s="17" t="n">
        <x:f>G34*F34</x:f>
        <x:v>868.7864</x:v>
      </x:c>
      <x:c r="I34" s="26" t="str">
        <x:f>HYPERLINK("https://etp-aktiv.ru/catalog/materialy/ehlektrotekhnicheskie-materialy/2000228190-W112/","Открыть позицию")</x:f>
        <x:v>Открыть позицию</x:v>
      </x:c>
    </x:row>
    <x:row r="35" ht="28" customHeight="1">
      <x:c r="A35" s="16" t="str">
        <x:v>Барнаульская ТЭЦ-3</x:v>
      </x:c>
      <x:c r="B35" s="16" t="str">
        <x:v>2000219246-W112</x:v>
      </x:c>
      <x:c r="C35" s="16" t="str">
        <x:v>КАТУШКА ЭЛЕКТРОМАГНИТА МИС 3100 380В</x:v>
      </x:c>
      <x:c r="D35" s="16" t="str">
        <x:v>Низковол апп-ра и ЗЧ</x:v>
      </x:c>
      <x:c r="E35" s="16" t="str">
        <x:v>ШТ</x:v>
      </x:c>
      <x:c r="F35" s="25" t="n">
        <x:v>2</x:v>
      </x:c>
      <x:c r="G35" s="17" t="n">
        <x:v>228.5182</x:v>
      </x:c>
      <x:c r="H35" s="17" t="n">
        <x:f>G35*F35</x:f>
        <x:v>457.0364</x:v>
      </x:c>
      <x:c r="I35" s="26" t="str">
        <x:f>HYPERLINK("https://etp-aktiv.ru/catalog/materialy/nizkovoltnaya-apparatura-i-zapasnye-chasti/2000219246-W112/","Открыть позицию")</x:f>
        <x:v>Открыть позицию</x:v>
      </x:c>
    </x:row>
    <x:row r="36" ht="28" customHeight="1">
      <x:c r="A36" s="16" t="str">
        <x:v>Барнаульская ТЭЦ-3</x:v>
      </x:c>
      <x:c r="B36" s="16" t="str">
        <x:v>2000007377-W112</x:v>
      </x:c>
      <x:c r="C36" s="16" t="str">
        <x:v>ЛАМПА ГАЛОГЕННАЯ Н4 24-75*70</x:v>
      </x:c>
      <x:c r="D36" s="16" t="str">
        <x:v>Освет и э/установоч</x:v>
      </x:c>
      <x:c r="E36" s="16" t="str">
        <x:v>ШТ</x:v>
      </x:c>
      <x:c r="F36" s="25" t="n">
        <x:v>6</x:v>
      </x:c>
      <x:c r="G36" s="17" t="n">
        <x:v>263.0198</x:v>
      </x:c>
      <x:c r="H36" s="17" t="n">
        <x:f>G36*F36</x:f>
        <x:v>1578.1187999999997</x:v>
      </x:c>
      <x:c r="I36" s="26" t="str">
        <x:f>HYPERLINK("https://etp-aktiv.ru/catalog/materialy/ehlektrotekhnicheskie-materialy/2000007377-W112/","Открыть позицию")</x:f>
        <x:v>Открыть позицию</x:v>
      </x:c>
    </x:row>
    <x:row r="37" ht="28" customHeight="1">
      <x:c r="A37" s="16" t="str">
        <x:v>Барнаульская ТЭЦ-3</x:v>
      </x:c>
      <x:c r="B37" s="16" t="str">
        <x:v>2000545220-W112</x:v>
      </x:c>
      <x:c r="C37" s="16" t="str">
        <x:v>ЛАМПА ЛД-36 36ВТ G13</x:v>
      </x:c>
      <x:c r="D37" s="16" t="str">
        <x:v>Освет и э/установоч</x:v>
      </x:c>
      <x:c r="E37" s="16" t="str">
        <x:v>ШТ</x:v>
      </x:c>
      <x:c r="F37" s="25" t="n">
        <x:v>100</x:v>
      </x:c>
      <x:c r="G37" s="17" t="n">
        <x:v>27.7062</x:v>
      </x:c>
      <x:c r="H37" s="17" t="n">
        <x:f>G37*F37</x:f>
        <x:v>2770.62</x:v>
      </x:c>
      <x:c r="I37" s="26" t="str">
        <x:f>HYPERLINK("https://etp-aktiv.ru/catalog/materialy/ehlektrotekhnicheskie-materialy/2000545220-W112/","Открыть позицию")</x:f>
        <x:v>Открыть позицию</x:v>
      </x:c>
    </x:row>
    <x:row r="38" ht="28" customHeight="1">
      <x:c r="A38" s="16" t="str">
        <x:v>Барнаульская ТЭЦ-3</x:v>
      </x:c>
      <x:c r="B38" s="16" t="str">
        <x:v>2000548537-W112</x:v>
      </x:c>
      <x:c r="C38" s="16" t="str">
        <x:v>ЛЕНТА КИПЕРНАЯ ЛК 25ММ</x:v>
      </x:c>
      <x:c r="D38" s="16" t="str">
        <x:v>Э/изоляцион мат-лы</x:v>
      </x:c>
      <x:c r="E38" s="16" t="str">
        <x:v>М</x:v>
      </x:c>
      <x:c r="F38" s="25" t="n">
        <x:v>500</x:v>
      </x:c>
      <x:c r="G38" s="17" t="n">
        <x:v>1.2932000000000001</x:v>
      </x:c>
      <x:c r="H38" s="17" t="n">
        <x:f>G38*F38</x:f>
        <x:v>646.6</x:v>
      </x:c>
      <x:c r="I38" s="26" t="str">
        <x:f>HYPERLINK("https://etp-aktiv.ru/catalog/materialy/ehlektroizolyacionnye-materialy/2000548537-W112/","Открыть позицию")</x:f>
        <x:v>Открыть позицию</x:v>
      </x:c>
    </x:row>
    <x:row r="39" ht="28" customHeight="1">
      <x:c r="A39" s="16" t="str">
        <x:v>Барнаульская ТЭЦ-3</x:v>
      </x:c>
      <x:c r="B39" s="16" t="str">
        <x:v>2000284059-W112</x:v>
      </x:c>
      <x:c r="C39" s="16" t="str">
        <x:v>ЛЕНТА КИПЕРНАЯ ЛЭ-20-24 20ММ</x:v>
      </x:c>
      <x:c r="D39" s="16" t="str">
        <x:v>Э/изоляцион мат-лы</x:v>
      </x:c>
      <x:c r="E39" s="16" t="str">
        <x:v>М</x:v>
      </x:c>
      <x:c r="F39" s="25" t="n">
        <x:v>384</x:v>
      </x:c>
      <x:c r="G39" s="17" t="n">
        <x:v>1.7446</x:v>
      </x:c>
      <x:c r="H39" s="17" t="n">
        <x:f>G39*F39</x:f>
        <x:v>669.9264</x:v>
      </x:c>
      <x:c r="I39" s="26" t="str">
        <x:f>HYPERLINK("https://etp-aktiv.ru/catalog/materialy/ehlektroizolyacionnye-materialy/2000284059-W112/","Открыть позицию")</x:f>
        <x:v>Открыть позицию</x:v>
      </x:c>
    </x:row>
    <x:row r="40" ht="28" customHeight="1">
      <x:c r="A40" s="16" t="str">
        <x:v>Барнаульская ТЭЦ-3</x:v>
      </x:c>
      <x:c r="B40" s="16" t="str">
        <x:v>2000070031-W112</x:v>
      </x:c>
      <x:c r="C40" s="16" t="str">
        <x:v>МИКРОСХЕМА К561 ЛЕ5</x:v>
      </x:c>
      <x:c r="D40" s="16" t="str">
        <x:v>Изделия радиоэл/техн</x:v>
      </x:c>
      <x:c r="E40" s="16" t="str">
        <x:v>ШТ</x:v>
      </x:c>
      <x:c r="F40" s="25" t="n">
        <x:v>25</x:v>
      </x:c>
      <x:c r="G40" s="17" t="n">
        <x:v>24.8758</x:v>
      </x:c>
      <x:c r="H40" s="17" t="n">
        <x:f>G40*F40</x:f>
        <x:v>621.8950000000001</x:v>
      </x:c>
      <x:c r="I40" s="26" t="str">
        <x:f>HYPERLINK("https://etp-aktiv.ru/catalog/materialy/prochie-materialy/2000070031-W112/","Открыть позицию")</x:f>
        <x:v>Открыть позицию</x:v>
      </x:c>
    </x:row>
    <x:row r="41" ht="28" customHeight="1">
      <x:c r="A41" s="16" t="str">
        <x:v>Барнаульская ТЭЦ-3</x:v>
      </x:c>
      <x:c r="B41" s="16" t="str">
        <x:v>2000654739-W112</x:v>
      </x:c>
      <x:c r="C41" s="16" t="str">
        <x:v>РАЗЪЕМ ВИЛКА ШР20ПК2НШ6 850В 20А</x:v>
      </x:c>
      <x:c r="D41" s="16" t="str">
        <x:v>Освет и э/установоч</x:v>
      </x:c>
      <x:c r="E41" s="16" t="str">
        <x:v>ШТ</x:v>
      </x:c>
      <x:c r="F41" s="25" t="n">
        <x:v>8</x:v>
      </x:c>
      <x:c r="G41" s="17" t="n">
        <x:v>1338.1936</x:v>
      </x:c>
      <x:c r="H41" s="17" t="n">
        <x:f>G41*F41</x:f>
        <x:v>10705.5488</x:v>
      </x:c>
      <x:c r="I41" s="26" t="str">
        <x:f>HYPERLINK("https://etp-aktiv.ru/catalog/materialy/ehlektrotekhnicheskie-materialy/2000654739-W112/","Открыть позицию")</x:f>
        <x:v>Открыть позицию</x:v>
      </x:c>
    </x:row>
    <x:row r="42" ht="28" customHeight="1">
      <x:c r="A42" s="16" t="str">
        <x:v>Барнаульская ТЭЦ-3</x:v>
      </x:c>
      <x:c r="B42" s="16" t="str">
        <x:v>2000332212-W112</x:v>
      </x:c>
      <x:c r="C42" s="16" t="str">
        <x:v>РАЗЪЕМ ВИЛКА ШР32П12ЭШ1</x:v>
      </x:c>
      <x:c r="D42" s="16" t="str">
        <x:v>Низковол апп-ра и ЗЧ</x:v>
      </x:c>
      <x:c r="E42" s="16" t="str">
        <x:v>ШТ</x:v>
      </x:c>
      <x:c r="F42" s="25" t="n">
        <x:v>12</x:v>
      </x:c>
      <x:c r="G42" s="17" t="n">
        <x:v>629.0686</x:v>
      </x:c>
      <x:c r="H42" s="17" t="n">
        <x:f>G42*F42</x:f>
        <x:v>7548.823199999999</x:v>
      </x:c>
      <x:c r="I42" s="26" t="str">
        <x:f>HYPERLINK("https://etp-aktiv.ru/catalog/materialy/nizkovoltnaya-apparatura-i-zapasnye-chasti/2000332212-W112/","Открыть позицию")</x:f>
        <x:v>Открыть позицию</x:v>
      </x:c>
    </x:row>
    <x:row r="43" ht="28" customHeight="1">
      <x:c r="A43" s="16" t="str">
        <x:v>Барнаульская ТЭЦ-3</x:v>
      </x:c>
      <x:c r="B43" s="16" t="str">
        <x:v>2000259262-W112</x:v>
      </x:c>
      <x:c r="C43" s="16" t="str">
        <x:v>РЕЛЕ МИНИ РМ-15 230В</x:v>
      </x:c>
      <x:c r="D43" s="16" t="str">
        <x:v>Низковол апп-ра и ЗЧ</x:v>
      </x:c>
      <x:c r="E43" s="16" t="str">
        <x:v>ШТ</x:v>
      </x:c>
      <x:c r="F43" s="25" t="n">
        <x:v>4</x:v>
      </x:c>
      <x:c r="G43" s="17" t="n">
        <x:v>168.8236</x:v>
      </x:c>
      <x:c r="H43" s="17" t="n">
        <x:f>G43*F43</x:f>
        <x:v>675.2944</x:v>
      </x:c>
      <x:c r="I43" s="26" t="str">
        <x:f>HYPERLINK("https://etp-aktiv.ru/catalog/materialy/nizkovoltnaya-apparatura-i-zapasnye-chasti/2000259262-W112/","Открыть позицию")</x:f>
        <x:v>Открыть позицию</x:v>
      </x:c>
    </x:row>
    <x:row r="44" ht="28" customHeight="1">
      <x:c r="A44" s="16" t="str">
        <x:v>Барнаульская ТЭЦ-3</x:v>
      </x:c>
      <x:c r="B44" s="16" t="str">
        <x:v>2000037679-W112</x:v>
      </x:c>
      <x:c r="C44" s="16" t="str">
        <x:v>РЕЛЕ РВ-248 220В</x:v>
      </x:c>
      <x:c r="D44" s="16" t="str">
        <x:v>Низковол апп-ра и ЗЧ</x:v>
      </x:c>
      <x:c r="E44" s="16" t="str">
        <x:v>ШТ</x:v>
      </x:c>
      <x:c r="F44" s="25" t="n">
        <x:v>5</x:v>
      </x:c>
      <x:c r="G44" s="17" t="n">
        <x:v>3502.7298</x:v>
      </x:c>
      <x:c r="H44" s="17" t="n">
        <x:f>G44*F44</x:f>
        <x:v>17513.649</x:v>
      </x:c>
      <x:c r="I44" s="26" t="str">
        <x:f>HYPERLINK("https://etp-aktiv.ru/catalog/materialy/nizkovoltnaya-apparatura-i-zapasnye-chasti/2000037679-W112/","Открыть позицию")</x:f>
        <x:v>Открыть позицию</x:v>
      </x:c>
    </x:row>
    <x:row r="45" ht="28" customHeight="1">
      <x:c r="A45" s="16" t="str">
        <x:v>Барнаульская ТЭЦ-3</x:v>
      </x:c>
      <x:c r="B45" s="16" t="str">
        <x:v>2000072166-W112</x:v>
      </x:c>
      <x:c r="C45" s="16" t="str">
        <x:v>РЕЛЕ РВ248 УХЛ4 220В</x:v>
      </x:c>
      <x:c r="D45" s="16" t="str">
        <x:v>Низковол апп-ра и ЗЧ</x:v>
      </x:c>
      <x:c r="E45" s="16" t="str">
        <x:v>ШТ</x:v>
      </x:c>
      <x:c r="F45" s="25" t="n">
        <x:v>2</x:v>
      </x:c>
      <x:c r="G45" s="17" t="n">
        <x:v>5647.2702</x:v>
      </x:c>
      <x:c r="H45" s="17" t="n">
        <x:f>G45*F45</x:f>
        <x:v>11294.5404</x:v>
      </x:c>
      <x:c r="I45" s="26" t="str">
        <x:f>HYPERLINK("https://etp-aktiv.ru/catalog/materialy/nizkovoltnaya-apparatura-i-zapasnye-chasti/2000072166-W112/","Открыть позицию")</x:f>
        <x:v>Открыть позицию</x:v>
      </x:c>
    </x:row>
    <x:row r="46" ht="28" customHeight="1">
      <x:c r="A46" s="16" t="str">
        <x:v>Барнаульская ТЭЦ-3</x:v>
      </x:c>
      <x:c r="B46" s="16" t="str">
        <x:v>2000621120-W112</x:v>
      </x:c>
      <x:c r="C46" s="16" t="str">
        <x:v>РЕЛЕ РН55/130 УХЛ4 З.П.ШП. 220550532</x:v>
      </x:c>
      <x:c r="D46" s="16" t="str">
        <x:v>Низковол апп-ра и ЗЧ</x:v>
      </x:c>
      <x:c r="E46" s="16" t="str"/>
      <x:c r="F46" s="25" t="n">
        <x:v>5</x:v>
      </x:c>
      <x:c r="G46" s="17" t="n">
        <x:v>3574.2218</x:v>
      </x:c>
      <x:c r="H46" s="17" t="n">
        <x:f>G46*F46</x:f>
        <x:v>17871.109</x:v>
      </x:c>
      <x:c r="I46" s="26" t="str">
        <x:f>HYPERLINK("https://etp-aktiv.ru/catalog/materialy/nizkovoltnaya-apparatura-i-zapasnye-chasti/2000621120-W112/","Открыть позицию")</x:f>
        <x:v>Открыть позицию</x:v>
      </x:c>
    </x:row>
    <x:row r="47" ht="28" customHeight="1">
      <x:c r="A47" s="16" t="str">
        <x:v>Барнаульская ТЭЦ-3</x:v>
      </x:c>
      <x:c r="B47" s="16" t="str">
        <x:v>2000037809-W112</x:v>
      </x:c>
      <x:c r="C47" s="16" t="str">
        <x:v>РЕЛЕ РП-12 220В</x:v>
      </x:c>
      <x:c r="D47" s="16" t="str">
        <x:v>Низковол апп-ра и ЗЧ</x:v>
      </x:c>
      <x:c r="E47" s="16" t="str">
        <x:v>ШТ</x:v>
      </x:c>
      <x:c r="F47" s="25" t="n">
        <x:v>2</x:v>
      </x:c>
      <x:c r="G47" s="17" t="n">
        <x:v>1778.0768</x:v>
      </x:c>
      <x:c r="H47" s="17" t="n">
        <x:f>G47*F47</x:f>
        <x:v>3556.1536</x:v>
      </x:c>
      <x:c r="I47" s="26" t="str">
        <x:f>HYPERLINK("https://etp-aktiv.ru/catalog/materialy/nizkovoltnaya-apparatura-i-zapasnye-chasti/2000037809-W112/","Открыть позицию")</x:f>
        <x:v>Открыть позицию</x:v>
      </x:c>
    </x:row>
    <x:row r="48" ht="28" customHeight="1">
      <x:c r="A48" s="16" t="str">
        <x:v>Барнаульская ТЭЦ-3</x:v>
      </x:c>
      <x:c r="B48" s="16" t="str">
        <x:v>2000536066-W112</x:v>
      </x:c>
      <x:c r="C48" s="16" t="str">
        <x:v>РЕЛЕ РТ-40/2 220В УХЛ4 П/П</x:v>
      </x:c>
      <x:c r="D48" s="16" t="str">
        <x:v>Низковол апп-ра и ЗЧ</x:v>
      </x:c>
      <x:c r="E48" s="16" t="str">
        <x:v>ШТ</x:v>
      </x:c>
      <x:c r="F48" s="25" t="n">
        <x:v>8</x:v>
      </x:c>
      <x:c r="G48" s="17" t="n">
        <x:v>1434.2686</x:v>
      </x:c>
      <x:c r="H48" s="17" t="n">
        <x:f>G48*F48</x:f>
        <x:v>11474.1488</x:v>
      </x:c>
      <x:c r="I48" s="26" t="str">
        <x:f>HYPERLINK("https://etp-aktiv.ru/catalog/materialy/nizkovoltnaya-apparatura-i-zapasnye-chasti/2000536066-W112/","Открыть позицию")</x:f>
        <x:v>Открыть позицию</x:v>
      </x:c>
    </x:row>
    <x:row r="49" ht="28" customHeight="1">
      <x:c r="A49" s="16" t="str">
        <x:v>Барнаульская ТЭЦ-3</x:v>
      </x:c>
      <x:c r="B49" s="16" t="str">
        <x:v>2000536065-W112</x:v>
      </x:c>
      <x:c r="C49" s="16" t="str">
        <x:v>РЕЛЕ РТ-40/2 УХЛ4 З/П 0,5-2,0А</x:v>
      </x:c>
      <x:c r="D49" s="16" t="str">
        <x:v>Низковол апп-ра и ЗЧ</x:v>
      </x:c>
      <x:c r="E49" s="16" t="str">
        <x:v>ШТ</x:v>
      </x:c>
      <x:c r="F49" s="25" t="n">
        <x:v>13</x:v>
      </x:c>
      <x:c r="G49" s="17" t="n">
        <x:v>1434.2686</x:v>
      </x:c>
      <x:c r="H49" s="17" t="n">
        <x:f>G49*F49</x:f>
        <x:v>18645.4918</x:v>
      </x:c>
      <x:c r="I49" s="26" t="str">
        <x:f>HYPERLINK("https://etp-aktiv.ru/catalog/materialy/nizkovoltnaya-apparatura-i-zapasnye-chasti/2000536065-W112/","Открыть позицию")</x:f>
        <x:v>Открыть позицию</x:v>
      </x:c>
    </x:row>
    <x:row r="50" ht="28" customHeight="1">
      <x:c r="A50" s="16" t="str">
        <x:v>Барнаульская ТЭЦ-3</x:v>
      </x:c>
      <x:c r="B50" s="16" t="str">
        <x:v>2000725851-W112</x:v>
      </x:c>
      <x:c r="C50" s="16" t="str">
        <x:v>РЕЛЕ РТ40/0,6УХЛ4 П/П 0,15-0,6А IP40</x:v>
      </x:c>
      <x:c r="D50" s="16" t="str">
        <x:v>Низковол апп-ра и ЗЧ</x:v>
      </x:c>
      <x:c r="E50" s="16" t="str">
        <x:v>ШТ</x:v>
      </x:c>
      <x:c r="F50" s="25" t="n">
        <x:v>5</x:v>
      </x:c>
      <x:c r="G50" s="17" t="n">
        <x:v>1434.2686</x:v>
      </x:c>
      <x:c r="H50" s="17" t="n">
        <x:f>G50*F50</x:f>
        <x:v>7171.343000000001</x:v>
      </x:c>
      <x:c r="I50" s="26" t="str">
        <x:f>HYPERLINK("https://etp-aktiv.ru/catalog/materialy/nizkovoltnaya-apparatura-i-zapasnye-chasti/2000725851-W112/","Открыть позицию")</x:f>
        <x:v>Открыть позицию</x:v>
      </x:c>
    </x:row>
    <x:row r="51" ht="28" customHeight="1">
      <x:c r="A51" s="16" t="str">
        <x:v>Барнаульская ТЭЦ-3</x:v>
      </x:c>
      <x:c r="B51" s="16" t="str">
        <x:v>2000892504-W112</x:v>
      </x:c>
      <x:c r="C51" s="16" t="str">
        <x:v>РОЗЕТКА БЛОЧНАЯ ШР32П12ЭГ1</x:v>
      </x:c>
      <x:c r="D51" s="16" t="str">
        <x:v>Освет и э/установоч</x:v>
      </x:c>
      <x:c r="E51" s="16" t="str">
        <x:v>ШТ</x:v>
      </x:c>
      <x:c r="F51" s="25" t="n">
        <x:v>12</x:v>
      </x:c>
      <x:c r="G51" s="17" t="n">
        <x:v>517.4386</x:v>
      </x:c>
      <x:c r="H51" s="17" t="n">
        <x:f>G51*F51</x:f>
        <x:v>6209.263199999999</x:v>
      </x:c>
      <x:c r="I51" s="26" t="str">
        <x:f>HYPERLINK("https://etp-aktiv.ru/catalog/materialy/ehlektrotekhnicheskie-materialy/2000892504-W112/","Открыть позицию")</x:f>
        <x:v>Открыть позицию</x:v>
      </x:c>
    </x:row>
    <x:row r="52" ht="28" customHeight="1">
      <x:c r="A52" s="16" t="str">
        <x:v>Барнаульская ТЭЦ-3</x:v>
      </x:c>
      <x:c r="B52" s="16" t="str">
        <x:v>2000174092-W112</x:v>
      </x:c>
      <x:c r="C52" s="16" t="str">
        <x:v>ТАТОР Э/ДВИГ ДАЗО-13-67У6МУ1 630/6/1000</x:v>
      </x:c>
      <x:c r="D52" s="16" t="str">
        <x:v>Проч э/технич мат-лы</x:v>
      </x:c>
      <x:c r="E52" s="16" t="str">
        <x:v>ШТ</x:v>
      </x:c>
      <x:c r="F52" s="25" t="n">
        <x:v>1</x:v>
      </x:c>
      <x:c r="G52" s="17" t="n">
        <x:v>423340</x:v>
      </x:c>
      <x:c r="H52" s="17" t="n">
        <x:f>G52*F52</x:f>
        <x:v>423340</x:v>
      </x:c>
      <x:c r="I52" s="26" t="str">
        <x:f>HYPERLINK("https://etp-aktiv.ru/catalog/materialy/ehlektrotekhnicheskie-materialy/2000174092-W112/","Открыть позицию")</x:f>
        <x:v>Открыть позицию</x:v>
      </x:c>
    </x:row>
    <x:row r="53" ht="28" customHeight="1">
      <x:c r="A53" s="16" t="str">
        <x:v>Барнаульская ТЭЦ-3</x:v>
      </x:c>
      <x:c r="B53" s="16" t="str">
        <x:v>2000549191-W112</x:v>
      </x:c>
      <x:c r="C53" s="16" t="str">
        <x:v>ТИРИСТОР КУ 101 Г</x:v>
      </x:c>
      <x:c r="D53" s="16" t="str">
        <x:v>Изделия радиоэл/техн</x:v>
      </x:c>
      <x:c r="E53" s="16" t="str">
        <x:v>ШТ</x:v>
      </x:c>
      <x:c r="F53" s="25" t="n">
        <x:v>20</x:v>
      </x:c>
      <x:c r="G53" s="17" t="n">
        <x:v>22.6066</x:v>
      </x:c>
      <x:c r="H53" s="17" t="n">
        <x:f>G53*F53</x:f>
        <x:v>452.132</x:v>
      </x:c>
      <x:c r="I53" s="26" t="str">
        <x:f>HYPERLINK("https://etp-aktiv.ru/catalog/materialy/prochie-materialy/2000549191-W112/","Открыть позицию")</x:f>
        <x:v>Открыть позицию</x:v>
      </x:c>
    </x:row>
    <x:row r="54" ht="28" customHeight="1">
      <x:c r="A54" s="16" t="str">
        <x:v>Барнаульская ТЭЦ-3</x:v>
      </x:c>
      <x:c r="B54" s="16" t="str">
        <x:v>2000042815-W112</x:v>
      </x:c>
      <x:c r="C54" s="16" t="str">
        <x:v>ТРАНЗИСТОР КТ 815 Г</x:v>
      </x:c>
      <x:c r="D54" s="16" t="str">
        <x:v>Изделия радиоэл/техн</x:v>
      </x:c>
      <x:c r="E54" s="16" t="str">
        <x:v>ШТ</x:v>
      </x:c>
      <x:c r="F54" s="25" t="n">
        <x:v>20</x:v>
      </x:c>
      <x:c r="G54" s="17" t="n">
        <x:v>18.9954</x:v>
      </x:c>
      <x:c r="H54" s="17" t="n">
        <x:f>G54*F54</x:f>
        <x:v>379.908</x:v>
      </x:c>
      <x:c r="I54" s="26" t="str">
        <x:f>HYPERLINK("https://etp-aktiv.ru/catalog/materialy/prochie-materialy/2000042815-W112/","Открыть позицию")</x:f>
        <x:v>Открыть позицию</x:v>
      </x:c>
    </x:row>
    <x:row r="55" ht="28" customHeight="1">
      <x:c r="A55" s="16" t="str">
        <x:v>Барнаульская ТЭЦ-3</x:v>
      </x:c>
      <x:c r="B55" s="16" t="str">
        <x:v>2000360830-W112</x:v>
      </x:c>
      <x:c r="C55" s="16" t="str">
        <x:v>ТРАНСФОРМАТОР ТОЛ-10-8 0,5S/10Р 1000/5</x:v>
      </x:c>
      <x:c r="D55" s="16" t="str">
        <x:v>Трансформаторы измер</x:v>
      </x:c>
      <x:c r="E55" s="16" t="str">
        <x:v>ШТ</x:v>
      </x:c>
      <x:c r="F55" s="25" t="n">
        <x:v>6</x:v>
      </x:c>
      <x:c r="G55" s="17" t="n">
        <x:v>27608.4292</x:v>
      </x:c>
      <x:c r="H55" s="17" t="n">
        <x:f>G55*F55</x:f>
        <x:v>165650.5752</x:v>
      </x:c>
      <x:c r="I55" s="26" t="str">
        <x:f>HYPERLINK("https://etp-aktiv.ru/catalog/materialy/ehlektrotekhnicheskie-materialy/2000360830-W112/","Открыть позицию")</x:f>
        <x:v>Открыть позицию</x:v>
      </x:c>
    </x:row>
    <x:row r="56" ht="28" customHeight="1">
      <x:c r="A56" s="16" t="str">
        <x:v>Барнаульская ТЭЦ-3</x:v>
      </x:c>
      <x:c r="B56" s="16" t="str">
        <x:v>5000056735-W112</x:v>
      </x:c>
      <x:c r="C56" s="16" t="str">
        <x:v>УСТРОЙСТВО КРОССИРОВОЧНОЕ FM-8DI-2</x:v>
      </x:c>
      <x:c r="D56" s="16" t="str">
        <x:v>КомпьютерОборудПроч</x:v>
      </x:c>
      <x:c r="E56" s="16" t="str">
        <x:v>ШТ</x:v>
      </x:c>
      <x:c r="F56" s="25" t="n">
        <x:v>4</x:v>
      </x:c>
      <x:c r="G56" s="17" t="n">
        <x:v>18446.399999999998</x:v>
      </x:c>
      <x:c r="H56" s="17" t="n">
        <x:f>G56*F56</x:f>
        <x:v>73785.59999999999</x:v>
      </x:c>
      <x:c r="I56" s="26" t="str">
        <x:f>HYPERLINK("https://etp-aktiv.ru/catalog/materialy/komplektuyushchie-i-zapasnye-chasti-k-kompyuternomu-i-ofisnomu-oborudovaniyu/5000056735-W112/","Открыть позицию")</x:f>
        <x:v>Открыть позицию</x:v>
      </x:c>
    </x:row>
    <x:row r="57" ht="28" customHeight="1">
      <x:c r="A57" s="16" t="str">
        <x:v>Барнаульская ТЭЦ-3</x:v>
      </x:c>
      <x:c r="B57" s="16" t="str">
        <x:v>2000551938-W112</x:v>
      </x:c>
      <x:c r="C57" s="16" t="str">
        <x:v>Э/ЩЕТКА ЭГ4 25*32*64 К1-3 ПЩ-10 L=125</x:v>
      </x:c>
      <x:c r="D57" s="16" t="str">
        <x:v>Электрощетки</x:v>
      </x:c>
      <x:c r="E57" s="16" t="str">
        <x:v>ШТ</x:v>
      </x:c>
      <x:c r="F57" s="25" t="n">
        <x:v>116</x:v>
      </x:c>
      <x:c r="G57" s="17" t="n">
        <x:v>173.9598</x:v>
      </x:c>
      <x:c r="H57" s="17" t="n">
        <x:f>G57*F57</x:f>
        <x:v>20179.3368</x:v>
      </x:c>
      <x:c r="I57" s="26" t="str">
        <x:f>HYPERLINK("https://etp-aktiv.ru/catalog/materialy/ehlektrotekhnicheskie-materialy/2000551938-W112/","Открыть позицию")</x:f>
        <x:v>Открыть позицию</x:v>
      </x:c>
    </x:row>
    <x:row r="58" ht="28" customHeight="1">
      <x:c r="A58" s="16" t="str">
        <x:v>Барнаульская ТЭЦ-3</x:v>
      </x:c>
      <x:c r="B58" s="16" t="str">
        <x:v>2000046877-W112</x:v>
      </x:c>
      <x:c r="C58" s="16" t="str">
        <x:v>ЭЛЕКТРОКАРТОН ЭВ 0,4ММ ГОСТ2824-88</x:v>
      </x:c>
      <x:c r="D58" s="16" t="str">
        <x:v>Э/изоляцион мат-лы</x:v>
      </x:c>
      <x:c r="E58" s="16" t="str">
        <x:v>КГ</x:v>
      </x:c>
      <x:c r="F58" s="25" t="n">
        <x:v>3</x:v>
      </x:c>
      <x:c r="G58" s="17" t="n">
        <x:v>197.64</x:v>
      </x:c>
      <x:c r="H58" s="17" t="n">
        <x:f>G58*F58</x:f>
        <x:v>592.92</x:v>
      </x:c>
      <x:c r="I58" s="26" t="str">
        <x:f>HYPERLINK("https://etp-aktiv.ru/catalog/materialy/ehlektroizolyacionnye-materialy/2000046877-W112/","Открыть позицию")</x:f>
        <x:v>Открыть позицию</x:v>
      </x:c>
    </x:row>
    <x:row r="59" ht="28" customHeight="1">
      <x:c r="A59" s="16" t="str">
        <x:v>Барнаульская ТЭЦ-3</x:v>
      </x:c>
      <x:c r="B59" s="16" t="str">
        <x:v>2000697612-W112</x:v>
      </x:c>
      <x:c r="C59" s="16" t="str">
        <x:v>ЭТИКЕТКА ZELIO RXZL420 3389119404310</x:v>
      </x:c>
      <x:c r="D59" s="16" t="str">
        <x:v>Низковол апп-ра и ЗЧ</x:v>
      </x:c>
      <x:c r="E59" s="16" t="str">
        <x:v>ШТ</x:v>
      </x:c>
      <x:c r="F59" s="25" t="n">
        <x:v>5</x:v>
      </x:c>
      <x:c r="G59" s="17" t="n">
        <x:v>5.124</x:v>
      </x:c>
      <x:c r="H59" s="17" t="n">
        <x:f>G59*F59</x:f>
        <x:v>25.619999999999997</x:v>
      </x:c>
      <x:c r="I59" s="26" t="str">
        <x:f>HYPERLINK("https://etp-aktiv.ru/catalog/materialy/nizkovoltnaya-apparatura-i-zapasnye-chasti/2000697612-W112/","Открыть позицию")</x:f>
        <x:v>Открыть позицию</x:v>
      </x:c>
    </x:row>
    <x:row r="60" ht="28" customHeight="1">
      <x:c r="A60" s="16" t="str">
        <x:v>Бийскэнерго</x:v>
      </x:c>
      <x:c r="B60" s="16" t="str">
        <x:v>2000259253-W113</x:v>
      </x:c>
      <x:c r="C60" s="16" t="str">
        <x:v>DIN-РЕЙКА 1000ММ РЗ-1</x:v>
      </x:c>
      <x:c r="D60" s="16" t="str">
        <x:v>Низковол апп-ра и ЗЧ</x:v>
      </x:c>
      <x:c r="E60" s="16" t="str">
        <x:v>ШТ</x:v>
      </x:c>
      <x:c r="F60" s="25" t="n">
        <x:v>3</x:v>
      </x:c>
      <x:c r="G60" s="17" t="n">
        <x:v>33.1718</x:v>
      </x:c>
      <x:c r="H60" s="17" t="n">
        <x:f>G60*F60</x:f>
        <x:v>99.5154</x:v>
      </x:c>
      <x:c r="I60" s="26" t="str">
        <x:f>HYPERLINK("https://etp-aktiv.ru/catalog/materialy/nizkovoltnaya-apparatura-i-zapasnye-chasti/2000259253-W113/","Открыть позицию")</x:f>
        <x:v>Открыть позицию</x:v>
      </x:c>
    </x:row>
    <x:row r="61" ht="28" customHeight="1">
      <x:c r="A61" s="16" t="str">
        <x:v>Бийскэнерго</x:v>
      </x:c>
      <x:c r="B61" s="16" t="str">
        <x:v>2000536282-W113</x:v>
      </x:c>
      <x:c r="C61" s="16" t="str">
        <x:v>БЛОК ГРОЗОЗАЩИТЫ БГР-4</x:v>
      </x:c>
      <x:c r="D61" s="16" t="str">
        <x:v>Низковол апп-ра и ЗЧ</x:v>
      </x:c>
      <x:c r="E61" s="16" t="str">
        <x:v>ШТ</x:v>
      </x:c>
      <x:c r="F61" s="25" t="n">
        <x:v>10</x:v>
      </x:c>
      <x:c r="G61" s="17" t="n">
        <x:v>1184.6932</x:v>
      </x:c>
      <x:c r="H61" s="17" t="n">
        <x:f>G61*F61</x:f>
        <x:v>11846.931999999999</x:v>
      </x:c>
      <x:c r="I61" s="26" t="str">
        <x:f>HYPERLINK("https://etp-aktiv.ru/catalog/materialy/nizkovoltnaya-apparatura-i-zapasnye-chasti/2000536282-W113/","Открыть позицию")</x:f>
        <x:v>Открыть позицию</x:v>
      </x:c>
    </x:row>
    <x:row r="62" ht="28" customHeight="1">
      <x:c r="A62" s="16" t="str">
        <x:v>Бийскэнерго</x:v>
      </x:c>
      <x:c r="B62" s="16" t="str">
        <x:v>2000541339-W113</x:v>
      </x:c>
      <x:c r="C62" s="16" t="str">
        <x:v>БЛОК Д/УД2-12 БПА-4,5</x:v>
      </x:c>
      <x:c r="D62" s="16" t="str">
        <x:v>ЗЧ КИПиА</x:v>
      </x:c>
      <x:c r="E62" s="16" t="str">
        <x:v>ШТ</x:v>
      </x:c>
      <x:c r="F62" s="25" t="n">
        <x:v>1</x:v>
      </x:c>
      <x:c r="G62" s="17" t="n">
        <x:v>4446.9</x:v>
      </x:c>
      <x:c r="H62" s="17" t="n">
        <x:f>G62*F62</x:f>
        <x:v>4446.9</x:v>
      </x:c>
      <x:c r="I62" s="26" t="str">
        <x:f>HYPERLINK("https://etp-aktiv.ru/catalog/materialy/zapasnye-chasti-i-prinadlezhnosti-dlya-priborov-kipia/2000541339-W113/","Открыть позицию")</x:f>
        <x:v>Открыть позицию</x:v>
      </x:c>
    </x:row>
    <x:row r="63" ht="28" customHeight="1">
      <x:c r="A63" s="16" t="str">
        <x:v>Бийскэнерго</x:v>
      </x:c>
      <x:c r="B63" s="16" t="str">
        <x:v>2000741479-W113</x:v>
      </x:c>
      <x:c r="C63" s="16" t="str">
        <x:v>БЛОК ПИТАНИЯ RPL 2405E 5А 24В</x:v>
      </x:c>
      <x:c r="D63" s="16" t="str">
        <x:v>ЗЧ КИПиА</x:v>
      </x:c>
      <x:c r="E63" s="16" t="str">
        <x:v>ШТ</x:v>
      </x:c>
      <x:c r="F63" s="25" t="n">
        <x:v>1</x:v>
      </x:c>
      <x:c r="G63" s="17" t="n">
        <x:v>14404.3936</x:v>
      </x:c>
      <x:c r="H63" s="17" t="n">
        <x:f>G63*F63</x:f>
        <x:v>14404.3936</x:v>
      </x:c>
      <x:c r="I63" s="26" t="str">
        <x:f>HYPERLINK("https://etp-aktiv.ru/catalog/materialy/zapasnye-chasti-i-prinadlezhnosti-dlya-priborov-kipia/2000741479-W113/","Открыть позицию")</x:f>
        <x:v>Открыть позицию</x:v>
      </x:c>
    </x:row>
    <x:row r="64" ht="28" customHeight="1">
      <x:c r="A64" s="16" t="str">
        <x:v>Бийскэнерго</x:v>
      </x:c>
      <x:c r="B64" s="16" t="str">
        <x:v>2000567550-W113</x:v>
      </x:c>
      <x:c r="C64" s="16" t="str">
        <x:v>ВЕНТИЛЬ ИГОЛЬЧАТЫЙ ВИГ 160-С2Б1Г</x:v>
      </x:c>
      <x:c r="D64" s="16" t="str">
        <x:v>ЗЧ КИПиА</x:v>
      </x:c>
      <x:c r="E64" s="16" t="str">
        <x:v>ШТ</x:v>
      </x:c>
      <x:c r="F64" s="25" t="n">
        <x:v>1</x:v>
      </x:c>
      <x:c r="G64" s="17" t="n">
        <x:v>3489.81</x:v>
      </x:c>
      <x:c r="H64" s="17" t="n">
        <x:f>G64*F64</x:f>
        <x:v>3489.81</x:v>
      </x:c>
      <x:c r="I64" s="26" t="str">
        <x:f>HYPERLINK("https://etp-aktiv.ru/catalog/materialy/zapasnye-chasti-i-prinadlezhnosti-dlya-priborov-kipia/2000567550-W113/","Открыть позицию")</x:f>
        <x:v>Открыть позицию</x:v>
      </x:c>
    </x:row>
    <x:row r="65" ht="28" customHeight="1">
      <x:c r="A65" s="16" t="str">
        <x:v>Бийскэнерго</x:v>
      </x:c>
      <x:c r="B65" s="16" t="str">
        <x:v>2000544904-W113</x:v>
      </x:c>
      <x:c r="C65" s="16" t="str">
        <x:v>ВИЛКА HT-013 2P+E 220В 16А IP44</x:v>
      </x:c>
      <x:c r="D65" s="16" t="str">
        <x:v>Освет и э/установоч</x:v>
      </x:c>
      <x:c r="E65" s="16" t="str">
        <x:v>ШТ</x:v>
      </x:c>
      <x:c r="F65" s="25" t="n">
        <x:v>2</x:v>
      </x:c>
      <x:c r="G65" s="17" t="n">
        <x:v>88.3402</x:v>
      </x:c>
      <x:c r="H65" s="17" t="n">
        <x:f>G65*F65</x:f>
        <x:v>176.6804</x:v>
      </x:c>
      <x:c r="I65" s="26" t="str">
        <x:f>HYPERLINK("https://etp-aktiv.ru/catalog/materialy/ehlektrotekhnicheskie-materialy/2000544904-W113/","Открыть позицию")</x:f>
        <x:v>Открыть позицию</x:v>
      </x:c>
    </x:row>
    <x:row r="66" ht="28" customHeight="1">
      <x:c r="A66" s="16" t="str">
        <x:v>Бийскэнерго</x:v>
      </x:c>
      <x:c r="B66" s="16" t="str">
        <x:v>2000564792-W113</x:v>
      </x:c>
      <x:c r="C66" s="16" t="str">
        <x:v>ВЫКЛЮЧАТЕЛЬ АЕ2046-100 10А-12IH-400АС</x:v>
      </x:c>
      <x:c r="D66" s="16" t="str">
        <x:v>Низковол апп-ра и ЗЧ</x:v>
      </x:c>
      <x:c r="E66" s="16" t="str">
        <x:v>ШТ</x:v>
      </x:c>
      <x:c r="F66" s="25" t="n">
        <x:v>4</x:v>
      </x:c>
      <x:c r="G66" s="17" t="n">
        <x:v>149.4744</x:v>
      </x:c>
      <x:c r="H66" s="17" t="n">
        <x:f>G66*F66</x:f>
        <x:v>597.8976</x:v>
      </x:c>
      <x:c r="I66" s="26" t="str">
        <x:f>HYPERLINK("https://etp-aktiv.ru/catalog/materialy/nizkovoltnaya-apparatura-i-zapasnye-chasti/2000564792-W113/","Открыть позицию")</x:f>
        <x:v>Открыть позицию</x:v>
      </x:c>
    </x:row>
    <x:row r="67" ht="28" customHeight="1">
      <x:c r="A67" s="16" t="str">
        <x:v>Бийскэнерго</x:v>
      </x:c>
      <x:c r="B67" s="16" t="str">
        <x:v>2000535332-W113</x:v>
      </x:c>
      <x:c r="C67" s="16" t="str">
        <x:v>ВЫКЛЮЧАТЕЛЬ АП-50Б-2МТ-1,6А-3,5IN-400АС</x:v>
      </x:c>
      <x:c r="D67" s="16" t="str">
        <x:v>Низковол апп-ра и ЗЧ</x:v>
      </x:c>
      <x:c r="E67" s="16" t="str">
        <x:v>ШТ</x:v>
      </x:c>
      <x:c r="F67" s="25" t="n">
        <x:v>2</x:v>
      </x:c>
      <x:c r="G67" s="17" t="n">
        <x:v>104.59060000000001</x:v>
      </x:c>
      <x:c r="H67" s="17" t="n">
        <x:f>G67*F67</x:f>
        <x:v>209.18120000000002</x:v>
      </x:c>
      <x:c r="I67" s="26" t="str">
        <x:f>HYPERLINK("https://etp-aktiv.ru/catalog/materialy/nizkovoltnaya-apparatura-i-zapasnye-chasti/2000535332-W113/","Открыть позицию")</x:f>
        <x:v>Открыть позицию</x:v>
      </x:c>
    </x:row>
    <x:row r="68" ht="28" customHeight="1">
      <x:c r="A68" s="16" t="str">
        <x:v>Бийскэнерго</x:v>
      </x:c>
      <x:c r="B68" s="16" t="str">
        <x:v>2000535273-W113</x:v>
      </x:c>
      <x:c r="C68" s="16" t="str">
        <x:v>ВЫКЛЮЧАТЕЛЬ АП-50Б-2МТ-10А-10IН-500AC</x:v>
      </x:c>
      <x:c r="D68" s="16" t="str">
        <x:v>Низковол апп-ра и ЗЧ</x:v>
      </x:c>
      <x:c r="E68" s="16" t="str">
        <x:v>ШТ</x:v>
      </x:c>
      <x:c r="F68" s="25" t="n">
        <x:v>3</x:v>
      </x:c>
      <x:c r="G68" s="17" t="n">
        <x:v>97.6244</x:v>
      </x:c>
      <x:c r="H68" s="17" t="n">
        <x:f>G68*F68</x:f>
        <x:v>292.8732</x:v>
      </x:c>
      <x:c r="I68" s="26" t="str">
        <x:f>HYPERLINK("https://etp-aktiv.ru/catalog/materialy/nizkovoltnaya-apparatura-i-zapasnye-chasti/2000535273-W113/","Открыть позицию")</x:f>
        <x:v>Открыть позицию</x:v>
      </x:c>
    </x:row>
    <x:row r="69" ht="28" customHeight="1">
      <x:c r="A69" s="16" t="str">
        <x:v>Бийскэнерго</x:v>
      </x:c>
      <x:c r="B69" s="16" t="str">
        <x:v>2000535339-W113</x:v>
      </x:c>
      <x:c r="C69" s="16" t="str">
        <x:v>ВЫКЛЮЧАТЕЛЬ АП-50Б-2МТ-25А-10IН 25А 2P</x:v>
      </x:c>
      <x:c r="D69" s="16" t="str">
        <x:v>Низковол апп-ра и ЗЧ</x:v>
      </x:c>
      <x:c r="E69" s="16" t="str">
        <x:v>ШТ</x:v>
      </x:c>
      <x:c r="F69" s="25" t="n">
        <x:v>4</x:v>
      </x:c>
      <x:c r="G69" s="17" t="n">
        <x:v>104.2124</x:v>
      </x:c>
      <x:c r="H69" s="17" t="n">
        <x:f>G69*F69</x:f>
        <x:v>416.8496</x:v>
      </x:c>
      <x:c r="I69" s="26" t="str">
        <x:f>HYPERLINK("https://etp-aktiv.ru/catalog/materialy/nizkovoltnaya-apparatura-i-zapasnye-chasti/2000535339-W113/","Открыть позицию")</x:f>
        <x:v>Открыть позицию</x:v>
      </x:c>
    </x:row>
    <x:row r="70" ht="28" customHeight="1">
      <x:c r="A70" s="16" t="str">
        <x:v>Бийскэнерго</x:v>
      </x:c>
      <x:c r="B70" s="16" t="str">
        <x:v>2000535357-W113</x:v>
      </x:c>
      <x:c r="C70" s="16" t="str">
        <x:v>ВЫКЛЮЧАТЕЛЬ АП50Б3МТ-40А10IН500ACУ3-КЭАЗ</x:v>
      </x:c>
      <x:c r="D70" s="16" t="str">
        <x:v>Низковол апп-ра и ЗЧ</x:v>
      </x:c>
      <x:c r="E70" s="16" t="str">
        <x:v>ШТ</x:v>
      </x:c>
      <x:c r="F70" s="25" t="n">
        <x:v>6</x:v>
      </x:c>
      <x:c r="G70" s="17" t="n">
        <x:v>2290.855</x:v>
      </x:c>
      <x:c r="H70" s="17" t="n">
        <x:f>G70*F70</x:f>
        <x:v>13745.130000000001</x:v>
      </x:c>
      <x:c r="I70" s="26" t="str">
        <x:f>HYPERLINK("https://etp-aktiv.ru/catalog/materialy/nizkovoltnaya-apparatura-i-zapasnye-chasti/2000535357-W113/","Открыть позицию")</x:f>
        <x:v>Открыть позицию</x:v>
      </x:c>
    </x:row>
    <x:row r="71" ht="28" customHeight="1">
      <x:c r="A71" s="16" t="str">
        <x:v>Бийскэнерго</x:v>
      </x:c>
      <x:c r="B71" s="16" t="str">
        <x:v>2000587382-W113</x:v>
      </x:c>
      <x:c r="C71" s="16" t="str">
        <x:v>ВЫКЛЮЧАТЕЛЬ ВА47-29 2А 1P В</x:v>
      </x:c>
      <x:c r="D71" s="16" t="str">
        <x:v>Низковол апп-ра и ЗЧ</x:v>
      </x:c>
      <x:c r="E71" s="16" t="str">
        <x:v>ШТ</x:v>
      </x:c>
      <x:c r="F71" s="25" t="n">
        <x:v>4</x:v>
      </x:c>
      <x:c r="G71" s="17" t="n">
        <x:v>89.2186</x:v>
      </x:c>
      <x:c r="H71" s="17" t="n">
        <x:f>G71*F71</x:f>
        <x:v>356.8744</x:v>
      </x:c>
      <x:c r="I71" s="26" t="str">
        <x:f>HYPERLINK("https://etp-aktiv.ru/catalog/materialy/nizkovoltnaya-apparatura-i-zapasnye-chasti/2000587382-W113/","Открыть позицию")</x:f>
        <x:v>Открыть позицию</x:v>
      </x:c>
    </x:row>
    <x:row r="72" ht="28" customHeight="1">
      <x:c r="A72" s="16" t="str">
        <x:v>Бийскэнерго</x:v>
      </x:c>
      <x:c r="B72" s="16" t="str">
        <x:v>2000762013-W113</x:v>
      </x:c>
      <x:c r="C72" s="16" t="str">
        <x:v>ДРАЙВЕР СВЕТИЛЬН DEKOLABS DKP-0653 36ВТ</x:v>
      </x:c>
      <x:c r="D72" s="16" t="str">
        <x:v>Освет и э/установоч</x:v>
      </x:c>
      <x:c r="E72" s="16" t="str">
        <x:v>ШТ</x:v>
      </x:c>
      <x:c r="F72" s="25" t="n">
        <x:v>18</x:v>
      </x:c>
      <x:c r="G72" s="17" t="n">
        <x:v>406.9432</x:v>
      </x:c>
      <x:c r="H72" s="17" t="n">
        <x:f>G72*F72</x:f>
        <x:v>7324.9776</x:v>
      </x:c>
      <x:c r="I72" s="26" t="str">
        <x:f>HYPERLINK("https://etp-aktiv.ru/catalog/materialy/ehlektrotekhnicheskie-materialy/2000762013-W113/","Открыть позицию")</x:f>
        <x:v>Открыть позицию</x:v>
      </x:c>
    </x:row>
    <x:row r="73" ht="28" customHeight="1">
      <x:c r="A73" s="16" t="str">
        <x:v>Бийскэнерго</x:v>
      </x:c>
      <x:c r="B73" s="16" t="str">
        <x:v>2000617850-W113</x:v>
      </x:c>
      <x:c r="C73" s="16" t="str">
        <x:v>ИЗОЛЯТОР ИО-6-3,75 I УЗ</x:v>
      </x:c>
      <x:c r="D73" s="16" t="str">
        <x:v>Изоляторы</x:v>
      </x:c>
      <x:c r="E73" s="16" t="str">
        <x:v>ШТ</x:v>
      </x:c>
      <x:c r="F73" s="25" t="n">
        <x:v>185</x:v>
      </x:c>
      <x:c r="G73" s="17" t="n">
        <x:v>25.388199999999998</x:v>
      </x:c>
      <x:c r="H73" s="17" t="n">
        <x:f>G73*F73</x:f>
        <x:v>4696.817</x:v>
      </x:c>
      <x:c r="I73" s="26" t="str">
        <x:f>HYPERLINK("https://etp-aktiv.ru/catalog/materialy/ehlektrotekhnicheskie-materialy/2000617850-W113/","Открыть позицию")</x:f>
        <x:v>Открыть позицию</x:v>
      </x:c>
    </x:row>
    <x:row r="74" ht="28" customHeight="1">
      <x:c r="A74" s="16" t="str">
        <x:v>Бийскэнерго</x:v>
      </x:c>
      <x:c r="B74" s="16" t="str">
        <x:v>2000292098-W113</x:v>
      </x:c>
      <x:c r="C74" s="16" t="str">
        <x:v>КЛАПАН ЭЛЕКТРОМАГНИТНЫЙ 8240200</x:v>
      </x:c>
      <x:c r="D74" s="16" t="str">
        <x:v>Компл торг-техн обор</x:v>
      </x:c>
      <x:c r="E74" s="16" t="str">
        <x:v>ШТ</x:v>
      </x:c>
      <x:c r="F74" s="25" t="n">
        <x:v>10</x:v>
      </x:c>
      <x:c r="G74" s="17" t="n">
        <x:v>2799.9</x:v>
      </x:c>
      <x:c r="H74" s="17" t="n">
        <x:f>G74*F74</x:f>
        <x:v>27999</x:v>
      </x:c>
      <x:c r="I74" s="26" t="str">
        <x:f>HYPERLINK("https://etp-aktiv.ru/catalog/materialy/prochie-materialy/2000292098-W113/","Открыть позицию")</x:f>
        <x:v>Открыть позицию</x:v>
      </x:c>
    </x:row>
    <x:row r="75" ht="28" customHeight="1">
      <x:c r="A75" s="16" t="str">
        <x:v>Бийскэнерго</x:v>
      </x:c>
      <x:c r="B75" s="16" t="str">
        <x:v>5000056621-W113</x:v>
      </x:c>
      <x:c r="C75" s="16" t="str">
        <x:v>КОММУТАТОР PSW-2G6F+ TFORTIS</x:v>
      </x:c>
      <x:c r="D75" s="16" t="str">
        <x:v>Комп и ОфисОборуд МП</x:v>
      </x:c>
      <x:c r="E75" s="16" t="str">
        <x:v>ШТ</x:v>
      </x:c>
      <x:c r="F75" s="25" t="n">
        <x:v>1</x:v>
      </x:c>
      <x:c r="G75" s="17" t="n">
        <x:v>7514.4436</x:v>
      </x:c>
      <x:c r="H75" s="17" t="n">
        <x:f>G75*F75</x:f>
        <x:v>7514.4436</x:v>
      </x:c>
      <x:c r="I75" s="26" t="str">
        <x:f>HYPERLINK("https://etp-aktiv.ru/catalog/materialy/komplektuyushchie-i-zapasnye-chasti-k-kompyuternomu-i-ofisnomu-oborudovaniyu/5000056621-W113/","Открыть позицию")</x:f>
        <x:v>Открыть позицию</x:v>
      </x:c>
    </x:row>
    <x:row r="76" ht="28" customHeight="1">
      <x:c r="A76" s="16" t="str">
        <x:v>Бийскэнерго</x:v>
      </x:c>
      <x:c r="B76" s="16" t="str">
        <x:v>2000453516-W113</x:v>
      </x:c>
      <x:c r="C76" s="16" t="str">
        <x:v>КОНТАКТОР КТ-127УХЛ 24В/100А</x:v>
      </x:c>
      <x:c r="D76" s="16" t="str">
        <x:v>Низковол апп-ра и ЗЧ</x:v>
      </x:c>
      <x:c r="E76" s="16" t="str">
        <x:v>ШТ</x:v>
      </x:c>
      <x:c r="F76" s="25" t="n">
        <x:v>2</x:v>
      </x:c>
      <x:c r="G76" s="17" t="n">
        <x:v>374.906</x:v>
      </x:c>
      <x:c r="H76" s="17" t="n">
        <x:f>G76*F76</x:f>
        <x:v>749.812</x:v>
      </x:c>
      <x:c r="I76" s="26" t="str">
        <x:f>HYPERLINK("https://etp-aktiv.ru/catalog/materialy/nizkovoltnaya-apparatura-i-zapasnye-chasti/2000453516-W113/","Открыть позицию")</x:f>
        <x:v>Открыть позицию</x:v>
      </x:c>
    </x:row>
    <x:row r="77" ht="28" customHeight="1">
      <x:c r="A77" s="16" t="str">
        <x:v>Бийскэнерго</x:v>
      </x:c>
      <x:c r="B77" s="16" t="str">
        <x:v>2000545079-W113</x:v>
      </x:c>
      <x:c r="C77" s="16" t="str">
        <x:v>КОРОБКА РАСПРЕД У 996М У3 IP31 1000В</x:v>
      </x:c>
      <x:c r="D77" s="16" t="str">
        <x:v>Освет и э/установоч</x:v>
      </x:c>
      <x:c r="E77" s="16" t="str">
        <x:v>ШТ</x:v>
      </x:c>
      <x:c r="F77" s="25" t="n">
        <x:v>21</x:v>
      </x:c>
      <x:c r="G77" s="17" t="n">
        <x:v>20.9352</x:v>
      </x:c>
      <x:c r="H77" s="17" t="n">
        <x:f>G77*F77</x:f>
        <x:v>439.63919999999996</x:v>
      </x:c>
      <x:c r="I77" s="26" t="str">
        <x:f>HYPERLINK("https://etp-aktiv.ru/catalog/materialy/ehlektrotekhnicheskie-materialy/2000545079-W113/","Открыть позицию")</x:f>
        <x:v>Открыть позицию</x:v>
      </x:c>
    </x:row>
    <x:row r="78" ht="28" customHeight="1">
      <x:c r="A78" s="16" t="str">
        <x:v>Бийскэнерго</x:v>
      </x:c>
      <x:c r="B78" s="16" t="str">
        <x:v>2000545209-W113</x:v>
      </x:c>
      <x:c r="C78" s="16" t="str">
        <x:v>ЛАМПА 6605 10ВТ G4</x:v>
      </x:c>
      <x:c r="D78" s="16" t="str">
        <x:v>Освет и э/установоч</x:v>
      </x:c>
      <x:c r="E78" s="16" t="str">
        <x:v>ШТ</x:v>
      </x:c>
      <x:c r="F78" s="25" t="n">
        <x:v>10</x:v>
      </x:c>
      <x:c r="G78" s="17" t="n">
        <x:v>1062.9982</x:v>
      </x:c>
      <x:c r="H78" s="17" t="n">
        <x:f>G78*F78</x:f>
        <x:v>10629.982</x:v>
      </x:c>
      <x:c r="I78" s="26" t="str">
        <x:f>HYPERLINK("https://etp-aktiv.ru/catalog/materialy/ehlektrotekhnicheskie-materialy/2000545209-W113/","Открыть позицию")</x:f>
        <x:v>Открыть позицию</x:v>
      </x:c>
    </x:row>
    <x:row r="79" ht="28" customHeight="1">
      <x:c r="A79" s="16" t="str">
        <x:v>Бийскэнерго</x:v>
      </x:c>
      <x:c r="B79" s="16" t="str">
        <x:v>2000320028-W113</x:v>
      </x:c>
      <x:c r="C79" s="16" t="str">
        <x:v>ЛАМПА GAUSS LED R50 4100K 6,5ВТ E14</x:v>
      </x:c>
      <x:c r="D79" s="16" t="str">
        <x:v>Освет и э/установоч</x:v>
      </x:c>
      <x:c r="E79" s="16" t="str">
        <x:v>ШТ</x:v>
      </x:c>
      <x:c r="F79" s="25" t="n">
        <x:v>40</x:v>
      </x:c>
      <x:c r="G79" s="17" t="n">
        <x:v>33.062</x:v>
      </x:c>
      <x:c r="H79" s="17" t="n">
        <x:f>G79*F79</x:f>
        <x:v>1322.48</x:v>
      </x:c>
      <x:c r="I79" s="26" t="str">
        <x:f>HYPERLINK("https://etp-aktiv.ru/catalog/materialy/ehlektrotekhnicheskie-materialy/2000320028-W113/","Открыть позицию")</x:f>
        <x:v>Открыть позицию</x:v>
      </x:c>
    </x:row>
    <x:row r="80" ht="28" customHeight="1">
      <x:c r="A80" s="16" t="str">
        <x:v>Бийскэнерго</x:v>
      </x:c>
      <x:c r="B80" s="16" t="str">
        <x:v>2000140597-W113</x:v>
      </x:c>
      <x:c r="C80" s="16" t="str">
        <x:v>ЛАМПА Б 220-230-60 60ВТ Е27</x:v>
      </x:c>
      <x:c r="D80" s="16" t="str">
        <x:v>Освет и э/установоч</x:v>
      </x:c>
      <x:c r="E80" s="16" t="str">
        <x:v>ШТ</x:v>
      </x:c>
      <x:c r="F80" s="25" t="n">
        <x:v>25</x:v>
      </x:c>
      <x:c r="G80" s="17" t="n">
        <x:v>1.5616</x:v>
      </x:c>
      <x:c r="H80" s="17" t="n">
        <x:f>G80*F80</x:f>
        <x:v>39.04</x:v>
      </x:c>
      <x:c r="I80" s="26" t="str">
        <x:f>HYPERLINK("https://etp-aktiv.ru/catalog/materialy/ehlektrotekhnicheskie-materialy/2000140597-W113/","Открыть позицию")</x:f>
        <x:v>Открыть позицию</x:v>
      </x:c>
    </x:row>
    <x:row r="81" ht="28" customHeight="1">
      <x:c r="A81" s="16" t="str">
        <x:v>Бийскэнерго</x:v>
      </x:c>
      <x:c r="B81" s="16" t="str">
        <x:v>2000282786-W113</x:v>
      </x:c>
      <x:c r="C81" s="16" t="str">
        <x:v>ЛЕНТА СИГНАЛЬНАЯ ЛСС-75*250</x:v>
      </x:c>
      <x:c r="D81" s="16" t="str">
        <x:v>Проч э/технич мат-лы</x:v>
      </x:c>
      <x:c r="E81" s="16" t="str">
        <x:v>М</x:v>
      </x:c>
      <x:c r="F81" s="25" t="n">
        <x:v>5000</x:v>
      </x:c>
      <x:c r="G81" s="17" t="n">
        <x:v>1.4151999999999998</x:v>
      </x:c>
      <x:c r="H81" s="17" t="n">
        <x:f>G81*F81</x:f>
        <x:v>7075.999999999999</x:v>
      </x:c>
      <x:c r="I81" s="26" t="str">
        <x:f>HYPERLINK("https://etp-aktiv.ru/catalog/materialy/ehlektrotekhnicheskie-materialy/2000282786-W113/","Открыть позицию")</x:f>
        <x:v>Открыть позицию</x:v>
      </x:c>
    </x:row>
    <x:row r="82" ht="28" customHeight="1">
      <x:c r="A82" s="16" t="str">
        <x:v>Бийскэнерго</x:v>
      </x:c>
      <x:c r="B82" s="16" t="str">
        <x:v>2000382783-W113</x:v>
      </x:c>
      <x:c r="C82" s="16" t="str">
        <x:v>МАРКЕР Д/КАБЕЛЯ EDDING E8407/S</x:v>
      </x:c>
      <x:c r="D82" s="16" t="str">
        <x:v>Низковол апп-ра и ЗЧ</x:v>
      </x:c>
      <x:c r="E82" s="16" t="str">
        <x:v>ШТ</x:v>
      </x:c>
      <x:c r="F82" s="25" t="n">
        <x:v>3</x:v>
      </x:c>
      <x:c r="G82" s="17" t="n">
        <x:v>67.9418</x:v>
      </x:c>
      <x:c r="H82" s="17" t="n">
        <x:f>G82*F82</x:f>
        <x:v>203.8254</x:v>
      </x:c>
      <x:c r="I82" s="26" t="str">
        <x:f>HYPERLINK("https://etp-aktiv.ru/catalog/materialy/nizkovoltnaya-apparatura-i-zapasnye-chasti/2000382783-W113/","Открыть позицию")</x:f>
        <x:v>Открыть позицию</x:v>
      </x:c>
    </x:row>
    <x:row r="83" ht="28" customHeight="1">
      <x:c r="A83" s="16" t="str">
        <x:v>Бийскэнерго</x:v>
      </x:c>
      <x:c r="B83" s="16" t="str">
        <x:v>2000536623-W113</x:v>
      </x:c>
      <x:c r="C83" s="16" t="str">
        <x:v>МОДУЛЬ ГРОЗОЗАЩИТЫ NAG-1P</x:v>
      </x:c>
      <x:c r="D83" s="16" t="str">
        <x:v>Низковол апп-ра и ЗЧ</x:v>
      </x:c>
      <x:c r="E83" s="16" t="str">
        <x:v>ШТ</x:v>
      </x:c>
      <x:c r="F83" s="25" t="n">
        <x:v>24</x:v>
      </x:c>
      <x:c r="G83" s="17" t="n">
        <x:v>124.9036</x:v>
      </x:c>
      <x:c r="H83" s="17" t="n">
        <x:f>G83*F83</x:f>
        <x:v>2997.6864</x:v>
      </x:c>
      <x:c r="I83" s="26" t="str">
        <x:f>HYPERLINK("https://etp-aktiv.ru/catalog/materialy/nizkovoltnaya-apparatura-i-zapasnye-chasti/2000536623-W113/","Открыть позицию")</x:f>
        <x:v>Открыть позицию</x:v>
      </x:c>
    </x:row>
    <x:row r="84" ht="28" customHeight="1">
      <x:c r="A84" s="16" t="str">
        <x:v>Бийскэнерго</x:v>
      </x:c>
      <x:c r="B84" s="16" t="str">
        <x:v>2000707244-W113</x:v>
      </x:c>
      <x:c r="C84" s="16" t="str">
        <x:v>МОДУЛЬ ПРОЦЕССОР NDIS-B324R</x:v>
      </x:c>
      <x:c r="D84" s="16" t="str">
        <x:v>Компл,ЗЧ Оф/КомпОб</x:v>
      </x:c>
      <x:c r="E84" s="16" t="str">
        <x:v>ШТ</x:v>
      </x:c>
      <x:c r="F84" s="25" t="n">
        <x:v>2</x:v>
      </x:c>
      <x:c r="G84" s="17" t="n">
        <x:v>6470.1114</x:v>
      </x:c>
      <x:c r="H84" s="17" t="n">
        <x:f>G84*F84</x:f>
        <x:v>12940.2228</x:v>
      </x:c>
      <x:c r="I84" s="26" t="str">
        <x:f>HYPERLINK("https://etp-aktiv.ru/catalog/materialy/komplektuyushchie-i-zapasnye-chasti-k-kompyuternomu-i-ofisnomu-oborudovaniyu/2000707244-W113/","Открыть позицию")</x:f>
        <x:v>Открыть позицию</x:v>
      </x:c>
    </x:row>
    <x:row r="85" ht="28" customHeight="1">
      <x:c r="A85" s="16" t="str">
        <x:v>Бийскэнерго</x:v>
      </x:c>
      <x:c r="B85" s="16" t="str">
        <x:v>2000250555-W113</x:v>
      </x:c>
      <x:c r="C85" s="16" t="str">
        <x:v>ОГРАНИЧИТЕЛЬ ОПН-РК-35/40,5 10/680 УХЛ1</x:v>
      </x:c>
      <x:c r="D85" s="16" t="str">
        <x:v>Ограничители перенап</x:v>
      </x:c>
      <x:c r="E85" s="16" t="str">
        <x:v>ШТ</x:v>
      </x:c>
      <x:c r="F85" s="25" t="n">
        <x:v>3</x:v>
      </x:c>
      <x:c r="G85" s="17" t="n">
        <x:v>2113.65</x:v>
      </x:c>
      <x:c r="H85" s="17" t="n">
        <x:f>G85*F85</x:f>
        <x:v>6340.950000000001</x:v>
      </x:c>
      <x:c r="I85" s="26" t="str">
        <x:f>HYPERLINK("https://etp-aktiv.ru/catalog/materialy/ehlektrotekhnicheskie-materialy/2000250555-W113/","Открыть позицию")</x:f>
        <x:v>Открыть позицию</x:v>
      </x:c>
    </x:row>
    <x:row r="86" ht="28" customHeight="1">
      <x:c r="A86" s="16" t="str">
        <x:v>Бийскэнерго</x:v>
      </x:c>
      <x:c r="B86" s="16" t="str">
        <x:v>2000471919-W113</x:v>
      </x:c>
      <x:c r="C86" s="16" t="str">
        <x:v>ПАТРОН КЕРАМИЧЕСКИЙ 5560719 GU5.3</x:v>
      </x:c>
      <x:c r="D86" s="16" t="str">
        <x:v>Освет и э/установоч</x:v>
      </x:c>
      <x:c r="E86" s="16" t="str">
        <x:v>ШТ</x:v>
      </x:c>
      <x:c r="F86" s="25" t="n">
        <x:v>15</x:v>
      </x:c>
      <x:c r="G86" s="17" t="n">
        <x:v>5.978000000000001</x:v>
      </x:c>
      <x:c r="H86" s="17" t="n">
        <x:f>G86*F86</x:f>
        <x:v>89.67000000000002</x:v>
      </x:c>
      <x:c r="I86" s="26" t="str">
        <x:f>HYPERLINK("https://etp-aktiv.ru/catalog/materialy/ehlektrotekhnicheskie-materialy/2000471919-W113/","Открыть позицию")</x:f>
        <x:v>Открыть позицию</x:v>
      </x:c>
    </x:row>
    <x:row r="87" ht="28" customHeight="1">
      <x:c r="A87" s="16" t="str">
        <x:v>Бийскэнерго</x:v>
      </x:c>
      <x:c r="B87" s="16" t="str">
        <x:v>2000536831-W113</x:v>
      </x:c>
      <x:c r="C87" s="16" t="str">
        <x:v>ПРЕДОХРАНИТЕЛЬ ПП57-34670 250А У3</x:v>
      </x:c>
      <x:c r="D87" s="16" t="str">
        <x:v>Низковол апп-ра и ЗЧ</x:v>
      </x:c>
      <x:c r="E87" s="16" t="str">
        <x:v>ШТ</x:v>
      </x:c>
      <x:c r="F87" s="25" t="n">
        <x:v>4</x:v>
      </x:c>
      <x:c r="G87" s="17" t="n">
        <x:v>4697.3782</x:v>
      </x:c>
      <x:c r="H87" s="17" t="n">
        <x:f>G87*F87</x:f>
        <x:v>18789.5128</x:v>
      </x:c>
      <x:c r="I87" s="26" t="str">
        <x:f>HYPERLINK("https://etp-aktiv.ru/catalog/materialy/nizkovoltnaya-apparatura-i-zapasnye-chasti/2000536831-W113/","Открыть позицию")</x:f>
        <x:v>Открыть позицию</x:v>
      </x:c>
    </x:row>
    <x:row r="88" ht="28" customHeight="1">
      <x:c r="A88" s="16" t="str">
        <x:v>Бийскэнерго</x:v>
      </x:c>
      <x:c r="B88" s="16" t="str">
        <x:v>2000631602-W113</x:v>
      </x:c>
      <x:c r="C88" s="16" t="str">
        <x:v>ПРЕОБРАЗОВАТЕЛЬ ЕП34С-0-5А-0-5МА</x:v>
      </x:c>
      <x:c r="D88" s="16" t="str">
        <x:v>Низковол апп ЗЧ спец</x:v>
      </x:c>
      <x:c r="E88" s="16" t="str">
        <x:v>ШТ</x:v>
      </x:c>
      <x:c r="F88" s="25" t="n">
        <x:v>8</x:v>
      </x:c>
      <x:c r="G88" s="17" t="n">
        <x:v>4178.5</x:v>
      </x:c>
      <x:c r="H88" s="17" t="n">
        <x:f>G88*F88</x:f>
        <x:v>33428</x:v>
      </x:c>
      <x:c r="I88" s="26" t="str">
        <x:f>HYPERLINK("https://etp-aktiv.ru/catalog/materialy/nizkovoltnaya-apparatura-i-zapasnye-chasti/2000631602-W113/","Открыть позицию")</x:f>
        <x:v>Открыть позицию</x:v>
      </x:c>
    </x:row>
    <x:row r="89" ht="28" customHeight="1">
      <x:c r="A89" s="16" t="str">
        <x:v>Бийскэнерго</x:v>
      </x:c>
      <x:c r="B89" s="16" t="str">
        <x:v>2000768802-W113</x:v>
      </x:c>
      <x:c r="C89" s="16" t="str">
        <x:v>ПРИСТАВКА КОНТАКТНАЯ ПКЛ-2204 10А</x:v>
      </x:c>
      <x:c r="D89" s="16" t="str">
        <x:v>Низковол апп-ра и ЗЧ</x:v>
      </x:c>
      <x:c r="E89" s="16" t="str">
        <x:v>ШТ</x:v>
      </x:c>
      <x:c r="F89" s="25" t="n">
        <x:v>10</x:v>
      </x:c>
      <x:c r="G89" s="17" t="n">
        <x:v>190.625</x:v>
      </x:c>
      <x:c r="H89" s="17" t="n">
        <x:f>G89*F89</x:f>
        <x:v>1906.25</x:v>
      </x:c>
      <x:c r="I89" s="26" t="str">
        <x:f>HYPERLINK("https://etp-aktiv.ru/catalog/materialy/nizkovoltnaya-apparatura-i-zapasnye-chasti/2000768802-W113/","Открыть позицию")</x:f>
        <x:v>Открыть позицию</x:v>
      </x:c>
    </x:row>
    <x:row r="90" ht="28" customHeight="1">
      <x:c r="A90" s="16" t="str">
        <x:v>Бийскэнерго</x:v>
      </x:c>
      <x:c r="B90" s="16" t="str">
        <x:v>2000541189-W113</x:v>
      </x:c>
      <x:c r="C90" s="16" t="str">
        <x:v>ПРОКЛАДКА ПР18-6,2-2-МД (МЕДЬ)</x:v>
      </x:c>
      <x:c r="D90" s="16" t="str">
        <x:v>ЗЧ КИПиА</x:v>
      </x:c>
      <x:c r="E90" s="16" t="str">
        <x:v>ШТ</x:v>
      </x:c>
      <x:c r="F90" s="25" t="n">
        <x:v>4</x:v>
      </x:c>
      <x:c r="G90" s="17" t="n">
        <x:v>146.99779999999998</x:v>
      </x:c>
      <x:c r="H90" s="17" t="n">
        <x:f>G90*F90</x:f>
        <x:v>587.9911999999999</x:v>
      </x:c>
      <x:c r="I90" s="26" t="str">
        <x:f>HYPERLINK("https://etp-aktiv.ru/catalog/materialy/zapasnye-chasti-i-prinadlezhnosti-dlya-priborov-kipia/2000541189-W113/","Открыть позицию")</x:f>
        <x:v>Открыть позицию</x:v>
      </x:c>
    </x:row>
    <x:row r="91" ht="28" customHeight="1">
      <x:c r="A91" s="16" t="str">
        <x:v>Бийскэнерго</x:v>
      </x:c>
      <x:c r="B91" s="16" t="str">
        <x:v>5000070218-W113</x:v>
      </x:c>
      <x:c r="C91" s="16" t="str">
        <x:v>ПУНКТ РАСПРЕДЕЛИТЕЛЬНЫЙ ПР11-30-64</x:v>
      </x:c>
      <x:c r="D91" s="16" t="str">
        <x:v>Шкаф/щит/пункт распр</x:v>
      </x:c>
      <x:c r="E91" s="16" t="str">
        <x:v>ШТ</x:v>
      </x:c>
      <x:c r="F91" s="25" t="n">
        <x:v>1</x:v>
      </x:c>
      <x:c r="G91" s="17" t="n">
        <x:v>6180.825</x:v>
      </x:c>
      <x:c r="H91" s="17" t="n">
        <x:f>G91*F91</x:f>
        <x:v>6180.825</x:v>
      </x:c>
      <x:c r="I91" s="26" t="str">
        <x:f>HYPERLINK("https://etp-aktiv.ru/catalog/oborudovanie/nizkovoltnoe-oborudovanie/5000070218-W113/","Открыть позицию")</x:f>
        <x:v>Открыть позицию</x:v>
      </x:c>
    </x:row>
    <x:row r="92" ht="28" customHeight="1">
      <x:c r="A92" s="16" t="str">
        <x:v>Бийскэнерго</x:v>
      </x:c>
      <x:c r="B92" s="16" t="str">
        <x:v>2000180393-W113</x:v>
      </x:c>
      <x:c r="C92" s="16" t="str">
        <x:v>ПУСКАТЕЛЬ ПМ-12-063-150 380В</x:v>
      </x:c>
      <x:c r="D92" s="16" t="str">
        <x:v>Низковол апп-ра и ЗЧ</x:v>
      </x:c>
      <x:c r="E92" s="16" t="str">
        <x:v>ШТ</x:v>
      </x:c>
      <x:c r="F92" s="25" t="n">
        <x:v>2</x:v>
      </x:c>
      <x:c r="G92" s="17" t="n">
        <x:v>538.9838</x:v>
      </x:c>
      <x:c r="H92" s="17" t="n">
        <x:f>G92*F92</x:f>
        <x:v>1077.9676</x:v>
      </x:c>
      <x:c r="I92" s="26" t="str">
        <x:f>HYPERLINK("https://etp-aktiv.ru/catalog/materialy/nizkovoltnaya-apparatura-i-zapasnye-chasti/2000180393-W113/","Открыть позицию")</x:f>
        <x:v>Открыть позицию</x:v>
      </x:c>
    </x:row>
    <x:row r="93" ht="28" customHeight="1">
      <x:c r="A93" s="16" t="str">
        <x:v>Бийскэнерго</x:v>
      </x:c>
      <x:c r="B93" s="16" t="str">
        <x:v>2000157882-W113</x:v>
      </x:c>
      <x:c r="C93" s="16" t="str">
        <x:v>ПУСКАТЕЛЬ ПМ-12-063-151 220В</x:v>
      </x:c>
      <x:c r="D93" s="16" t="str">
        <x:v>Низковол апп-ра и ЗЧ</x:v>
      </x:c>
      <x:c r="E93" s="16" t="str">
        <x:v>ШТ</x:v>
      </x:c>
      <x:c r="F93" s="25" t="n">
        <x:v>2</x:v>
      </x:c>
      <x:c r="G93" s="17" t="n">
        <x:v>538.9838</x:v>
      </x:c>
      <x:c r="H93" s="17" t="n">
        <x:f>G93*F93</x:f>
        <x:v>1077.9676</x:v>
      </x:c>
      <x:c r="I93" s="26" t="str">
        <x:f>HYPERLINK("https://etp-aktiv.ru/catalog/materialy/nizkovoltnaya-apparatura-i-zapasnye-chasti/2000157882-W113/","Открыть позицию")</x:f>
        <x:v>Открыть позицию</x:v>
      </x:c>
    </x:row>
    <x:row r="94" ht="28" customHeight="1">
      <x:c r="A94" s="16" t="str">
        <x:v>Бийскэнерго</x:v>
      </x:c>
      <x:c r="B94" s="16" t="str">
        <x:v>2000036405-W113</x:v>
      </x:c>
      <x:c r="C94" s="16" t="str">
        <x:v>ПУСКАТЕЛЬ ПМЛ-1100-04 380В</x:v>
      </x:c>
      <x:c r="D94" s="16" t="str">
        <x:v>Низковол апп-ра и ЗЧ</x:v>
      </x:c>
      <x:c r="E94" s="16" t="str">
        <x:v>ШТ</x:v>
      </x:c>
      <x:c r="F94" s="25" t="n">
        <x:v>2</x:v>
      </x:c>
      <x:c r="G94" s="17" t="n">
        <x:v>125.30619999999999</x:v>
      </x:c>
      <x:c r="H94" s="17" t="n">
        <x:f>G94*F94</x:f>
        <x:v>250.61239999999998</x:v>
      </x:c>
      <x:c r="I94" s="26" t="str">
        <x:f>HYPERLINK("https://etp-aktiv.ru/catalog/materialy/nizkovoltnaya-apparatura-i-zapasnye-chasti/2000036405-W113/","Открыть позицию")</x:f>
        <x:v>Открыть позицию</x:v>
      </x:c>
    </x:row>
    <x:row r="95" ht="28" customHeight="1">
      <x:c r="A95" s="16" t="str">
        <x:v>Бийскэнерго</x:v>
      </x:c>
      <x:c r="B95" s="16" t="str">
        <x:v>2000287966-W113</x:v>
      </x:c>
      <x:c r="C95" s="16" t="str">
        <x:v>ПУСКАТЕЛЬ ПМЛ-2220 220В С РТЛ 1022 (17-2</x:v>
      </x:c>
      <x:c r="D95" s="16" t="str">
        <x:v>Низковол апп-ра и ЗЧ</x:v>
      </x:c>
      <x:c r="E95" s="16" t="str">
        <x:v>ШТ</x:v>
      </x:c>
      <x:c r="F95" s="25" t="n">
        <x:v>4</x:v>
      </x:c>
      <x:c r="G95" s="17" t="n">
        <x:v>939.7049999999999</x:v>
      </x:c>
      <x:c r="H95" s="17" t="n">
        <x:f>G95*F95</x:f>
        <x:v>3758.8199999999997</x:v>
      </x:c>
      <x:c r="I95" s="26" t="str">
        <x:f>HYPERLINK("https://etp-aktiv.ru/catalog/materialy/nizkovoltnaya-apparatura-i-zapasnye-chasti/2000287966-W113/","Открыть позицию")</x:f>
        <x:v>Открыть позицию</x:v>
      </x:c>
    </x:row>
    <x:row r="96" ht="28" customHeight="1">
      <x:c r="A96" s="16" t="str">
        <x:v>Бийскэнерго</x:v>
      </x:c>
      <x:c r="B96" s="16" t="str">
        <x:v>2000479546-W113</x:v>
      </x:c>
      <x:c r="C96" s="16" t="str">
        <x:v>РЕЛЕ ПРОМЕЖУТОЧНОЕ РП25/4 230В/10А</x:v>
      </x:c>
      <x:c r="D96" s="16" t="str">
        <x:v>Низковол апп-ра и ЗЧ</x:v>
      </x:c>
      <x:c r="E96" s="16" t="str">
        <x:v>ШТ</x:v>
      </x:c>
      <x:c r="F96" s="25" t="n">
        <x:v>10</x:v>
      </x:c>
      <x:c r="G96" s="17" t="n">
        <x:v>351.909</x:v>
      </x:c>
      <x:c r="H96" s="17" t="n">
        <x:f>G96*F96</x:f>
        <x:v>3519.09</x:v>
      </x:c>
      <x:c r="I96" s="26" t="str">
        <x:f>HYPERLINK("https://etp-aktiv.ru/catalog/materialy/nizkovoltnaya-apparatura-i-zapasnye-chasti/2000479546-W113/","Открыть позицию")</x:f>
        <x:v>Открыть позицию</x:v>
      </x:c>
    </x:row>
    <x:row r="97" ht="28" customHeight="1">
      <x:c r="A97" s="16" t="str">
        <x:v>Бийскэнерго</x:v>
      </x:c>
      <x:c r="B97" s="16" t="str">
        <x:v>2000603966-W113</x:v>
      </x:c>
      <x:c r="C97" s="16" t="str">
        <x:v>РЕЛЕ РВ-245 380В 1-20СЕК УХЛ4 П/П</x:v>
      </x:c>
      <x:c r="D97" s="16" t="str">
        <x:v>Низковол апп-ра и ЗЧ</x:v>
      </x:c>
      <x:c r="E97" s="16" t="str">
        <x:v>ШТ</x:v>
      </x:c>
      <x:c r="F97" s="25" t="n">
        <x:v>3</x:v>
      </x:c>
      <x:c r="G97" s="17" t="n">
        <x:v>5970.7044000000005</x:v>
      </x:c>
      <x:c r="H97" s="17" t="n">
        <x:f>G97*F97</x:f>
        <x:v>17912.1132</x:v>
      </x:c>
      <x:c r="I97" s="26" t="str">
        <x:f>HYPERLINK("https://etp-aktiv.ru/catalog/materialy/nizkovoltnaya-apparatura-i-zapasnye-chasti/2000603966-W113/","Открыть позицию")</x:f>
        <x:v>Открыть позицию</x:v>
      </x:c>
    </x:row>
    <x:row r="98" ht="28" customHeight="1">
      <x:c r="A98" s="16" t="str">
        <x:v>Бийскэнерго</x:v>
      </x:c>
      <x:c r="B98" s="16" t="str">
        <x:v>2000445886-W113</x:v>
      </x:c>
      <x:c r="C98" s="16" t="str">
        <x:v>РОЗЕТКА Д/РЕЛЕ РМ25/4</x:v>
      </x:c>
      <x:c r="D98" s="16" t="str">
        <x:v>Низковол апп-ра и ЗЧ</x:v>
      </x:c>
      <x:c r="E98" s="16" t="str">
        <x:v>ШТ</x:v>
      </x:c>
      <x:c r="F98" s="25" t="n">
        <x:v>10</x:v>
      </x:c>
      <x:c r="G98" s="17" t="n">
        <x:v>144.4602</x:v>
      </x:c>
      <x:c r="H98" s="17" t="n">
        <x:f>G98*F98</x:f>
        <x:v>1444.6019999999999</x:v>
      </x:c>
      <x:c r="I98" s="26" t="str">
        <x:f>HYPERLINK("https://etp-aktiv.ru/catalog/materialy/nizkovoltnaya-apparatura-i-zapasnye-chasti/2000445886-W113/","Открыть позицию")</x:f>
        <x:v>Открыть позицию</x:v>
      </x:c>
    </x:row>
    <x:row r="99" ht="28" customHeight="1">
      <x:c r="A99" s="16" t="str">
        <x:v>Бийскэнерго</x:v>
      </x:c>
      <x:c r="B99" s="16" t="str">
        <x:v>2000190096-W113</x:v>
      </x:c>
      <x:c r="C99" s="16" t="str">
        <x:v>СЧЕТЧИК СВН-2-02</x:v>
      </x:c>
      <x:c r="D99" s="16" t="str">
        <x:v>ЗЧ КИПиА</x:v>
      </x:c>
      <x:c r="E99" s="16" t="str">
        <x:v>ШТ</x:v>
      </x:c>
      <x:c r="F99" s="25" t="n">
        <x:v>2</x:v>
      </x:c>
      <x:c r="G99" s="17" t="n">
        <x:v>754.875</x:v>
      </x:c>
      <x:c r="H99" s="17" t="n">
        <x:f>G99*F99</x:f>
        <x:v>1509.75</x:v>
      </x:c>
      <x:c r="I99" s="26" t="str">
        <x:f>HYPERLINK("https://etp-aktiv.ru/catalog/materialy/zapasnye-chasti-i-prinadlezhnosti-dlya-priborov-kipia/2000190096-W113/","Открыть позицию")</x:f>
        <x:v>Открыть позицию</x:v>
      </x:c>
    </x:row>
    <x:row r="100" ht="28" customHeight="1">
      <x:c r="A100" s="16" t="str">
        <x:v>Бийскэнерго</x:v>
      </x:c>
      <x:c r="B100" s="16" t="str">
        <x:v>2000551731-W113</x:v>
      </x:c>
      <x:c r="C100" s="16" t="str">
        <x:v>Т/ТОКА ТЛМ-10-1-0,5/5Р 300/5А У2</x:v>
      </x:c>
      <x:c r="D100" s="16" t="str">
        <x:v>Трансформаторы измер</x:v>
      </x:c>
      <x:c r="E100" s="16" t="str">
        <x:v>ШТ</x:v>
      </x:c>
      <x:c r="F100" s="25" t="n">
        <x:v>4</x:v>
      </x:c>
      <x:c r="G100" s="17" t="n">
        <x:v>2953.7176</x:v>
      </x:c>
      <x:c r="H100" s="17" t="n">
        <x:f>G100*F100</x:f>
        <x:v>11814.8704</x:v>
      </x:c>
      <x:c r="I100" s="26" t="str">
        <x:f>HYPERLINK("https://etp-aktiv.ru/catalog/materialy/ehlektrotekhnicheskie-materialy/2000551731-W113/","Открыть позицию")</x:f>
        <x:v>Открыть позицию</x:v>
      </x:c>
    </x:row>
    <x:row r="101" ht="28" customHeight="1">
      <x:c r="A101" s="16" t="str">
        <x:v>Бийскэнерго</x:v>
      </x:c>
      <x:c r="B101" s="16" t="str">
        <x:v>M5000012423-W113</x:v>
      </x:c>
      <x:c r="C101" s="16" t="str">
        <x:v>ТРАНСФОРМАТОР ТМ-250/6-У1 380В</x:v>
      </x:c>
      <x:c r="D101" s="16" t="str">
        <x:v>Трансформаторы &lt;1МВА</x:v>
      </x:c>
      <x:c r="E101" s="16" t="str">
        <x:v>ШТ</x:v>
      </x:c>
      <x:c r="F101" s="25" t="n">
        <x:v>1</x:v>
      </x:c>
      <x:c r="G101" s="17" t="n">
        <x:v>54900</x:v>
      </x:c>
      <x:c r="H101" s="17" t="n">
        <x:f>G101*F101</x:f>
        <x:v>54900</x:v>
      </x:c>
      <x:c r="I101" s="26" t="str">
        <x:f>HYPERLINK("https://etp-aktiv.ru/catalog/oborudovanie/ehlektrooborudovanie/M5000012423-W113/","Открыть позицию")</x:f>
        <x:v>Открыть позицию</x:v>
      </x:c>
    </x:row>
    <x:row r="102" ht="28" customHeight="1">
      <x:c r="A102" s="16" t="str">
        <x:v>Бийскэнерго</x:v>
      </x:c>
      <x:c r="B102" s="16" t="str">
        <x:v>2000007045-W113</x:v>
      </x:c>
      <x:c r="C102" s="16" t="str">
        <x:v>ТРАНСФОРМАТОР ТОКА Т-0,66 50/5</x:v>
      </x:c>
      <x:c r="D102" s="16" t="str">
        <x:v>Трансформаторы измер</x:v>
      </x:c>
      <x:c r="E102" s="16" t="str">
        <x:v>ШТ</x:v>
      </x:c>
      <x:c r="F102" s="25" t="n">
        <x:v>8</x:v>
      </x:c>
      <x:c r="G102" s="17" t="n">
        <x:v>841.8</x:v>
      </x:c>
      <x:c r="H102" s="17" t="n">
        <x:f>G102*F102</x:f>
        <x:v>6734.4</x:v>
      </x:c>
      <x:c r="I102" s="26" t="str">
        <x:f>HYPERLINK("https://etp-aktiv.ru/catalog/materialy/ehlektrotekhnicheskie-materialy/2000007045-W113/","Открыть позицию")</x:f>
        <x:v>Открыть позицию</x:v>
      </x:c>
    </x:row>
    <x:row r="103" ht="28" customHeight="1">
      <x:c r="A103" s="16" t="str">
        <x:v>Бийскэнерго</x:v>
      </x:c>
      <x:c r="B103" s="16" t="str">
        <x:v>2000931223-W113</x:v>
      </x:c>
      <x:c r="C103" s="16" t="str">
        <x:v>ФИЛЬТР ФАРМЭК 12143</x:v>
      </x:c>
      <x:c r="D103" s="16" t="str">
        <x:v>ЗЧ КИПиА</x:v>
      </x:c>
      <x:c r="E103" s="16" t="str">
        <x:v>ШТ</x:v>
      </x:c>
      <x:c r="F103" s="25" t="n">
        <x:v>2</x:v>
      </x:c>
      <x:c r="G103" s="17" t="n">
        <x:v>1299.0682</x:v>
      </x:c>
      <x:c r="H103" s="17" t="n">
        <x:f>G103*F103</x:f>
        <x:v>2598.1364</x:v>
      </x:c>
      <x:c r="I103" s="26" t="str">
        <x:f>HYPERLINK("https://etp-aktiv.ru/catalog/materialy/zapasnye-chasti-i-prinadlezhnosti-dlya-priborov-kipia/2000931223-W113/","Открыть позицию")</x:f>
        <x:v>Открыть позицию</x:v>
      </x:c>
    </x:row>
    <x:row r="104" ht="28" customHeight="1">
      <x:c r="A104" s="16" t="str">
        <x:v>Бийскэнерго</x:v>
      </x:c>
      <x:c r="B104" s="16" t="str">
        <x:v>2000359904-W113</x:v>
      </x:c>
      <x:c r="C104" s="16" t="str">
        <x:v>ФЛОМАСТЕР МАРКИРОВОЧНЫЙ FORTISFLEX ФМ-75</x:v>
      </x:c>
      <x:c r="D104" s="16" t="str">
        <x:v>Низковол апп-ра и ЗЧ</x:v>
      </x:c>
      <x:c r="E104" s="16" t="str">
        <x:v>ШТ</x:v>
      </x:c>
      <x:c r="F104" s="25" t="n">
        <x:v>1</x:v>
      </x:c>
      <x:c r="G104" s="17" t="n">
        <x:v>67.9418</x:v>
      </x:c>
      <x:c r="H104" s="17" t="n">
        <x:f>G104*F104</x:f>
        <x:v>67.9418</x:v>
      </x:c>
      <x:c r="I104" s="26" t="str">
        <x:f>HYPERLINK("https://etp-aktiv.ru/catalog/materialy/nizkovoltnaya-apparatura-i-zapasnye-chasti/2000359904-W113/","Открыть позицию")</x:f>
        <x:v>Открыть позицию</x:v>
      </x:c>
    </x:row>
    <x:row r="105" ht="28" customHeight="1">
      <x:c r="A105" s="16" t="str">
        <x:v>Бийскэнерго</x:v>
      </x:c>
      <x:c r="B105" s="16" t="str">
        <x:v>2000284545-W113</x:v>
      </x:c>
      <x:c r="C105" s="16" t="str">
        <x:v>ШКАФ ЩМП-2-036 УХЛ-3 IP31 510*410*230</x:v>
      </x:c>
      <x:c r="D105" s="16" t="str">
        <x:v>Низковол апп-ра и ЗЧ</x:v>
      </x:c>
      <x:c r="E105" s="16" t="str">
        <x:v>ШТ</x:v>
      </x:c>
      <x:c r="F105" s="25" t="n">
        <x:v>4</x:v>
      </x:c>
      <x:c r="G105" s="17" t="n">
        <x:v>1282.8422</x:v>
      </x:c>
      <x:c r="H105" s="17" t="n">
        <x:f>G105*F105</x:f>
        <x:v>5131.3688</x:v>
      </x:c>
      <x:c r="I105" s="26" t="str">
        <x:f>HYPERLINK("https://etp-aktiv.ru/catalog/materialy/nizkovoltnaya-apparatura-i-zapasnye-chasti/2000284545-W113/","Открыть позицию")</x:f>
        <x:v>Открыть позицию</x:v>
      </x:c>
    </x:row>
    <x:row r="106" ht="28" customHeight="1">
      <x:c r="A106" s="16" t="str">
        <x:v>Бийскэнерго</x:v>
      </x:c>
      <x:c r="B106" s="16" t="str">
        <x:v>2000694657-W113</x:v>
      </x:c>
      <x:c r="C106" s="16" t="str">
        <x:v>ЩИТ МОНТАЖНЫЙ ПР-2-3 IP54 1157*650*180</x:v>
      </x:c>
      <x:c r="D106" s="16" t="str">
        <x:v>Низковол апп-ра и ЗЧ</x:v>
      </x:c>
      <x:c r="E106" s="16" t="str">
        <x:v>ШТ</x:v>
      </x:c>
      <x:c r="F106" s="25" t="n">
        <x:v>1</x:v>
      </x:c>
      <x:c r="G106" s="17" t="n">
        <x:v>1743.075</x:v>
      </x:c>
      <x:c r="H106" s="17" t="n">
        <x:f>G106*F106</x:f>
        <x:v>1743.075</x:v>
      </x:c>
      <x:c r="I106" s="26" t="str">
        <x:f>HYPERLINK("https://etp-aktiv.ru/catalog/materialy/nizkovoltnaya-apparatura-i-zapasnye-chasti/2000694657-W113/","Открыть позицию")</x:f>
        <x:v>Открыть позицию</x:v>
      </x:c>
    </x:row>
    <x:row r="107" ht="28" customHeight="1">
      <x:c r="A107" s="16" t="str">
        <x:v>Бийскэнерго</x:v>
      </x:c>
      <x:c r="B107" s="16" t="str">
        <x:v>2000224065-W113</x:v>
      </x:c>
      <x:c r="C107" s="16" t="str">
        <x:v>ЩИТ ЩМП 1-0 74 IP66 400*300*200</x:v>
      </x:c>
      <x:c r="D107" s="16" t="str">
        <x:v>Низковол апп-ра и ЗЧ</x:v>
      </x:c>
      <x:c r="E107" s="16" t="str">
        <x:v>ШТ</x:v>
      </x:c>
      <x:c r="F107" s="25" t="n">
        <x:v>1</x:v>
      </x:c>
      <x:c r="G107" s="17" t="n">
        <x:v>463.2218</x:v>
      </x:c>
      <x:c r="H107" s="17" t="n">
        <x:f>G107*F107</x:f>
        <x:v>463.2218</x:v>
      </x:c>
      <x:c r="I107" s="26" t="str">
        <x:f>HYPERLINK("https://etp-aktiv.ru/catalog/materialy/nizkovoltnaya-apparatura-i-zapasnye-chasti/2000224065-W113/","Открыть позицию")</x:f>
        <x:v>Открыть позицию</x:v>
      </x:c>
    </x:row>
    <x:row r="108" ht="28" customHeight="1">
      <x:c r="A108" s="16" t="str">
        <x:v>Бийскэнерго</x:v>
      </x:c>
      <x:c r="B108" s="16" t="str">
        <x:v>2000317702-W113</x:v>
      </x:c>
      <x:c r="C108" s="16" t="str">
        <x:v>ЩИТ ЩМП-3-1 IP54 650*500*150</x:v>
      </x:c>
      <x:c r="D108" s="16" t="str">
        <x:v>Низковол апп-ра и ЗЧ</x:v>
      </x:c>
      <x:c r="E108" s="16" t="str">
        <x:v>ШТ</x:v>
      </x:c>
      <x:c r="F108" s="25" t="n">
        <x:v>2</x:v>
      </x:c>
      <x:c r="G108" s="17" t="n">
        <x:v>806.0784</x:v>
      </x:c>
      <x:c r="H108" s="17" t="n">
        <x:f>G108*F108</x:f>
        <x:v>1612.1568</x:v>
      </x:c>
      <x:c r="I108" s="26" t="str">
        <x:f>HYPERLINK("https://etp-aktiv.ru/catalog/materialy/nizkovoltnaya-apparatura-i-zapasnye-chasti/2000317702-W113/","Открыть позицию")</x:f>
        <x:v>Открыть позицию</x:v>
      </x:c>
    </x:row>
    <x:row r="109" ht="28" customHeight="1">
      <x:c r="A109" s="16" t="str">
        <x:v>Бийскэнерго</x:v>
      </x:c>
      <x:c r="B109" s="16" t="str">
        <x:v>M2000552254-W113</x:v>
      </x:c>
      <x:c r="C109" s="16" t="str">
        <x:v>Э/ДВИГ В160М4УЗ 18,5/380/1500/IM2003</x:v>
      </x:c>
      <x:c r="D109" s="16" t="str">
        <x:v>Электродви по ТЗ</x:v>
      </x:c>
      <x:c r="E109" s="16" t="str">
        <x:v>ШТ</x:v>
      </x:c>
      <x:c r="F109" s="25" t="n">
        <x:v>1</x:v>
      </x:c>
      <x:c r="G109" s="17" t="n">
        <x:v>10675</x:v>
      </x:c>
      <x:c r="H109" s="17" t="n">
        <x:f>G109*F109</x:f>
        <x:v>10675</x:v>
      </x:c>
      <x:c r="I109" s="26" t="str">
        <x:f>HYPERLINK("https://etp-aktiv.ru/catalog/materialy/ehlektrodvigateli/M2000552254-W113/","Открыть позицию")</x:f>
        <x:v>Открыть позицию</x:v>
      </x:c>
    </x:row>
    <x:row r="110" ht="28" customHeight="1">
      <x:c r="A110" s="16" t="str">
        <x:v>Бийскэнерго</x:v>
      </x:c>
      <x:c r="B110" s="16" t="str">
        <x:v>2000552255-W113</x:v>
      </x:c>
      <x:c r="C110" s="16" t="str">
        <x:v>Э/ДВИГ ВА160М4У2 18,5/380/660/1500/3081</x:v>
      </x:c>
      <x:c r="D110" s="16" t="str">
        <x:v>Электродви по ТЗ</x:v>
      </x:c>
      <x:c r="E110" s="16" t="str">
        <x:v>ШТ</x:v>
      </x:c>
      <x:c r="F110" s="25" t="n">
        <x:v>1</x:v>
      </x:c>
      <x:c r="G110" s="17" t="n">
        <x:v>16448.7964</x:v>
      </x:c>
      <x:c r="H110" s="17" t="n">
        <x:f>G110*F110</x:f>
        <x:v>16448.7964</x:v>
      </x:c>
      <x:c r="I110" s="26" t="str">
        <x:f>HYPERLINK("https://etp-aktiv.ru/catalog/materialy/ehlektrodvigateli/2000552255-W113/","Открыть позицию")</x:f>
        <x:v>Открыть позицию</x:v>
      </x:c>
    </x:row>
    <x:row r="111" ht="28" customHeight="1">
      <x:c r="A111" s="16" t="str">
        <x:v>Бийскэнерго</x:v>
      </x:c>
      <x:c r="B111" s="16" t="str">
        <x:v>2000569481-W113</x:v>
      </x:c>
      <x:c r="C111" s="16" t="str">
        <x:v>Э/Щ ЭГ-14 20*32*64 К1-3 ПЩ6,0 150 НК-1</x:v>
      </x:c>
      <x:c r="D111" s="16" t="str">
        <x:v>Электрощетки</x:v>
      </x:c>
      <x:c r="E111" s="16" t="str">
        <x:v>ШТ</x:v>
      </x:c>
      <x:c r="F111" s="25" t="n">
        <x:v>604</x:v>
      </x:c>
      <x:c r="G111" s="17" t="n">
        <x:v>23.1434</x:v>
      </x:c>
      <x:c r="H111" s="17" t="n">
        <x:f>G111*F111</x:f>
        <x:v>13978.6136</x:v>
      </x:c>
      <x:c r="I111" s="26" t="str">
        <x:f>HYPERLINK("https://etp-aktiv.ru/catalog/materialy/ehlektrotekhnicheskie-materialy/2000569481-W113/","Открыть позицию")</x:f>
        <x:v>Открыть позицию</x:v>
      </x:c>
    </x:row>
    <x:row r="112" ht="28" customHeight="1">
      <x:c r="A112" s="16" t="str">
        <x:v>Бийскэнерго</x:v>
      </x:c>
      <x:c r="B112" s="16" t="str">
        <x:v>2000551895-W113</x:v>
      </x:c>
      <x:c r="C112" s="16" t="str">
        <x:v>Э/Щ ЭГ4 20*30*40 К1-3+НК-2 ПЩ6*125 6Д</x:v>
      </x:c>
      <x:c r="D112" s="16" t="str">
        <x:v>Электрощетки</x:v>
      </x:c>
      <x:c r="E112" s="16" t="str">
        <x:v>ШТ</x:v>
      </x:c>
      <x:c r="F112" s="25" t="n">
        <x:v>30</x:v>
      </x:c>
      <x:c r="G112" s="17" t="n">
        <x:v>16.1528</x:v>
      </x:c>
      <x:c r="H112" s="17" t="n">
        <x:f>G112*F112</x:f>
        <x:v>484.58399999999995</x:v>
      </x:c>
      <x:c r="I112" s="26" t="str">
        <x:f>HYPERLINK("https://etp-aktiv.ru/catalog/materialy/ehlektrotekhnicheskie-materialy/2000551895-W113/","Открыть позицию")</x:f>
        <x:v>Открыть позицию</x:v>
      </x:c>
    </x:row>
    <x:row r="113" ht="28" customHeight="1">
      <x:c r="A113" s="16" t="str">
        <x:v>Бийскэнерго</x:v>
      </x:c>
      <x:c r="B113" s="16" t="str">
        <x:v>2000218518-W113</x:v>
      </x:c>
      <x:c r="C113" s="16" t="str">
        <x:v>Э/ЩЕТКА ЭГ-4 20*32*64</x:v>
      </x:c>
      <x:c r="D113" s="16" t="str">
        <x:v>Электрощетки</x:v>
      </x:c>
      <x:c r="E113" s="16" t="str">
        <x:v>ШТ</x:v>
      </x:c>
      <x:c r="F113" s="25" t="n">
        <x:v>360</x:v>
      </x:c>
      <x:c r="G113" s="17" t="n">
        <x:v>184.5128</x:v>
      </x:c>
      <x:c r="H113" s="17" t="n">
        <x:f>G113*F113</x:f>
        <x:v>66424.608</x:v>
      </x:c>
      <x:c r="I113" s="26" t="str">
        <x:f>HYPERLINK("https://etp-aktiv.ru/catalog/materialy/ehlektrotekhnicheskie-materialy/2000218518-W113/","Открыть позицию")</x:f>
        <x:v>Открыть позицию</x:v>
      </x:c>
    </x:row>
    <x:row r="114" ht="28" customHeight="1">
      <x:c r="A114" s="16" t="str">
        <x:v>Бийскэнерго</x:v>
      </x:c>
      <x:c r="B114" s="16" t="str">
        <x:v>2000159104-W113</x:v>
      </x:c>
      <x:c r="C114" s="16" t="str">
        <x:v>Э/ЩЕТКА ЭГ-4 25*30*40</x:v>
      </x:c>
      <x:c r="D114" s="16" t="str">
        <x:v>Электрощетки</x:v>
      </x:c>
      <x:c r="E114" s="16" t="str">
        <x:v>ШТ</x:v>
      </x:c>
      <x:c r="F114" s="25" t="n">
        <x:v>40</x:v>
      </x:c>
      <x:c r="G114" s="17" t="n">
        <x:v>110.9468</x:v>
      </x:c>
      <x:c r="H114" s="17" t="n">
        <x:f>G114*F114</x:f>
        <x:v>4437.871999999999</x:v>
      </x:c>
      <x:c r="I114" s="26" t="str">
        <x:f>HYPERLINK("https://etp-aktiv.ru/catalog/materialy/ehlektrotekhnicheskie-materialy/2000159104-W113/","Открыть позицию")</x:f>
        <x:v>Открыть позицию</x:v>
      </x:c>
    </x:row>
    <x:row r="115" ht="28" customHeight="1">
      <x:c r="A115" s="16" t="str">
        <x:v>Бийскэнерго</x:v>
      </x:c>
      <x:c r="B115" s="16" t="str">
        <x:v>2000167951-W113</x:v>
      </x:c>
      <x:c r="C115" s="16" t="str">
        <x:v>Э/ЩЕТКА ЭГ-4 25*32*65</x:v>
      </x:c>
      <x:c r="D115" s="16" t="str">
        <x:v>Электрощетки</x:v>
      </x:c>
      <x:c r="E115" s="16" t="str">
        <x:v>ШТ</x:v>
      </x:c>
      <x:c r="F115" s="25" t="n">
        <x:v>400</x:v>
      </x:c>
      <x:c r="G115" s="17" t="n">
        <x:v>188.246</x:v>
      </x:c>
      <x:c r="H115" s="17" t="n">
        <x:f>G115*F115</x:f>
        <x:v>75298.40000000001</x:v>
      </x:c>
      <x:c r="I115" s="26" t="str">
        <x:f>HYPERLINK("https://etp-aktiv.ru/catalog/materialy/ehlektrotekhnicheskie-materialy/2000167951-W113/","Открыть позицию")</x:f>
        <x:v>Открыть позицию</x:v>
      </x:c>
    </x:row>
    <x:row r="116" ht="28" customHeight="1">
      <x:c r="A116" s="16" t="str">
        <x:v>Бийскэнерго</x:v>
      </x:c>
      <x:c r="B116" s="16" t="str">
        <x:v>2000569482-W113</x:v>
      </x:c>
      <x:c r="C116" s="16" t="str">
        <x:v>Э/ЩЕТКА ЭГ4 16*25*35 К1-2 ПЩ1-4 L150 НК2</x:v>
      </x:c>
      <x:c r="D116" s="16" t="str">
        <x:v>Электрощетки</x:v>
      </x:c>
      <x:c r="E116" s="16" t="str">
        <x:v>ШТ</x:v>
      </x:c>
      <x:c r="F116" s="25" t="n">
        <x:v>20</x:v>
      </x:c>
      <x:c r="G116" s="17" t="n">
        <x:v>11.333799999999998</x:v>
      </x:c>
      <x:c r="H116" s="17" t="n">
        <x:f>G116*F116</x:f>
        <x:v>226.67599999999996</x:v>
      </x:c>
      <x:c r="I116" s="26" t="str">
        <x:f>HYPERLINK("https://etp-aktiv.ru/catalog/materialy/ehlektrotekhnicheskie-materialy/2000569482-W113/","Открыть позицию")</x:f>
        <x:v>Открыть позицию</x:v>
      </x:c>
    </x:row>
    <x:row r="117" ht="28" customHeight="1">
      <x:c r="A117" s="16" t="str">
        <x:v>Бийскэнерго</x:v>
      </x:c>
      <x:c r="B117" s="16" t="str">
        <x:v>2000569483-W113</x:v>
      </x:c>
      <x:c r="C117" s="16" t="str">
        <x:v>Э/ЩЕТКА ЭГ74 15*30*40 К1-3 ПЩ-6 L90 НК-2</x:v>
      </x:c>
      <x:c r="D117" s="16" t="str">
        <x:v>Электрощетки</x:v>
      </x:c>
      <x:c r="E117" s="16" t="str">
        <x:v>ШТ</x:v>
      </x:c>
      <x:c r="F117" s="25" t="n">
        <x:v>90</x:v>
      </x:c>
      <x:c r="G117" s="17" t="n">
        <x:v>34.904199999999996</x:v>
      </x:c>
      <x:c r="H117" s="17" t="n">
        <x:f>G117*F117</x:f>
        <x:v>3141.3779999999997</x:v>
      </x:c>
      <x:c r="I117" s="26" t="str">
        <x:f>HYPERLINK("https://etp-aktiv.ru/catalog/materialy/ehlektrotekhnicheskie-materialy/2000569483-W113/","Открыть позицию")</x:f>
        <x:v>Открыть позицию</x:v>
      </x:c>
    </x:row>
    <x:row r="118" ht="28" customHeight="1">
      <x:c r="A118" s="16" t="str">
        <x:v>Бийскэнерго</x:v>
      </x:c>
      <x:c r="B118" s="16" t="str">
        <x:v>2000550032-W113</x:v>
      </x:c>
      <x:c r="C118" s="16" t="str">
        <x:v>ЭЛЕМЕНТ ПИТАНИЯ ENERGIZER CR2032 3В</x:v>
      </x:c>
      <x:c r="D118" s="16" t="str">
        <x:v>Элементы питания</x:v>
      </x:c>
      <x:c r="E118" s="16" t="str">
        <x:v>ШТ</x:v>
      </x:c>
      <x:c r="F118" s="25" t="n">
        <x:v>10</x:v>
      </x:c>
      <x:c r="G118" s="17" t="n">
        <x:v>92.00019999999999</x:v>
      </x:c>
      <x:c r="H118" s="17" t="n">
        <x:f>G118*F118</x:f>
        <x:v>920.002</x:v>
      </x:c>
      <x:c r="I118" s="26" t="str">
        <x:f>HYPERLINK("https://etp-aktiv.ru/catalog/materialy/akkumulyatory/2000550032-W113/","Открыть позицию")</x:f>
        <x:v>Открыть позицию</x:v>
      </x:c>
    </x:row>
    <x:row r="119" ht="28" customHeight="1">
      <x:c r="A119" s="16" t="str">
        <x:v>Бийскэнерго</x:v>
      </x:c>
      <x:c r="B119" s="16" t="str">
        <x:v>5000057900-W113</x:v>
      </x:c>
      <x:c r="C119" s="16" t="str">
        <x:v>ЯЩИК СИЛОВОЙ ЯБПВУ-1М 100А У3 100А</x:v>
      </x:c>
      <x:c r="D119" s="16" t="str">
        <x:v>Шкаф/щит/пункт распр</x:v>
      </x:c>
      <x:c r="E119" s="16" t="str">
        <x:v>ШТ</x:v>
      </x:c>
      <x:c r="F119" s="25" t="n">
        <x:v>5</x:v>
      </x:c>
      <x:c r="G119" s="17" t="n">
        <x:v>401.4288</x:v>
      </x:c>
      <x:c r="H119" s="17" t="n">
        <x:f>G119*F119</x:f>
        <x:v>2007.1440000000002</x:v>
      </x:c>
      <x:c r="I119" s="26" t="str">
        <x:f>HYPERLINK("https://etp-aktiv.ru/catalog/oborudovanie/nizkovoltnoe-oborudovanie/5000057900-W113/","Открыть позицию")</x:f>
        <x:v>Открыть позицию</x:v>
      </x:c>
    </x:row>
    <x:row r="120" ht="28" customHeight="1">
      <x:c r="A120" s="16" t="str">
        <x:v>Бийскэнерго</x:v>
      </x:c>
      <x:c r="B120" s="16" t="str">
        <x:v>5000057905-W113</x:v>
      </x:c>
      <x:c r="C120" s="16" t="str">
        <x:v>ЯЩИК СИЛОВОЙ ЯРВ УХЛ3 IP54 250А</x:v>
      </x:c>
      <x:c r="D120" s="16" t="str">
        <x:v>Шкаф/щит/пункт распр</x:v>
      </x:c>
      <x:c r="E120" s="16" t="str">
        <x:v>ШТ</x:v>
      </x:c>
      <x:c r="F120" s="25" t="n">
        <x:v>5</x:v>
      </x:c>
      <x:c r="G120" s="17" t="n">
        <x:v>731.4387999999999</x:v>
      </x:c>
      <x:c r="H120" s="17" t="n">
        <x:f>G120*F120</x:f>
        <x:v>3657.1939999999995</x:v>
      </x:c>
      <x:c r="I120" s="26" t="str">
        <x:f>HYPERLINK("https://etp-aktiv.ru/catalog/oborudovanie/nizkovoltnoe-oborudovanie/5000057905-W113/","Открыть позицию")</x:f>
        <x:v>Открыть позицию</x:v>
      </x:c>
    </x:row>
    <x:row r="121" ht="28" customHeight="1">
      <x:c r="A121" s="16" t="str">
        <x:v>Бийскэнерго</x:v>
      </x:c>
      <x:c r="B121" s="16" t="str">
        <x:v>2000315352-W113</x:v>
      </x:c>
      <x:c r="C121" s="16" t="str">
        <x:v>ЯЩИК ЯА8311-4074 40А IP31 320</x:v>
      </x:c>
      <x:c r="D121" s="16" t="str">
        <x:v>Низковол апп-ра и ЗЧ</x:v>
      </x:c>
      <x:c r="E121" s="16" t="str">
        <x:v>ШТ</x:v>
      </x:c>
      <x:c r="F121" s="25" t="n">
        <x:v>1</x:v>
      </x:c>
      <x:c r="G121" s="17" t="n">
        <x:v>23698.5</x:v>
      </x:c>
      <x:c r="H121" s="17" t="n">
        <x:f>G121*F121</x:f>
        <x:v>23698.5</x:v>
      </x:c>
      <x:c r="I121" s="26" t="str">
        <x:f>HYPERLINK("https://etp-aktiv.ru/catalog/materialy/nizkovoltnaya-apparatura-i-zapasnye-chasti/2000315352-W113/","Открыть позицию")</x:f>
        <x:v>Открыть позицию</x:v>
      </x:c>
    </x:row>
    <x:row r="122" ht="28" customHeight="1">
      <x:c r="A122" s="16" t="str">
        <x:v>Бийскэнерго</x:v>
      </x:c>
      <x:c r="B122" s="16" t="str">
        <x:v>5000057922-W113</x:v>
      </x:c>
      <x:c r="C122" s="16" t="str">
        <x:v>ЯЩИК ЯРВ-100-54 УХЛ2 100А</x:v>
      </x:c>
      <x:c r="D122" s="16" t="str">
        <x:v>Шкаф/щит/пункт распр</x:v>
      </x:c>
      <x:c r="E122" s="16" t="str">
        <x:v>ШТ</x:v>
      </x:c>
      <x:c r="F122" s="25" t="n">
        <x:v>1</x:v>
      </x:c>
      <x:c r="G122" s="17" t="n">
        <x:v>531.0903999999999</x:v>
      </x:c>
      <x:c r="H122" s="17" t="n">
        <x:f>G122*F122</x:f>
        <x:v>531.0903999999999</x:v>
      </x:c>
      <x:c r="I122" s="26" t="str">
        <x:f>HYPERLINK("https://etp-aktiv.ru/catalog/oborudovanie/nizkovoltnoe-oborudovanie/5000057922-W113/","Открыть позицию")</x:f>
        <x:v>Открыть позицию</x:v>
      </x:c>
    </x:row>
    <x:row r="123" ht="28" customHeight="1">
      <x:c r="A123" s="16" t="str">
        <x:v>Бийскэнерго</x:v>
      </x:c>
      <x:c r="B123" s="16" t="str">
        <x:v>5000057925-W113</x:v>
      </x:c>
      <x:c r="C123" s="16" t="str">
        <x:v>ЯЩИК ЯТП-0,25 УХЛ4 IP30 220/12-3 36В</x:v>
      </x:c>
      <x:c r="D123" s="16" t="str">
        <x:v>Шкаф/щит/пункт распр</x:v>
      </x:c>
      <x:c r="E123" s="16" t="str">
        <x:v>ШТ</x:v>
      </x:c>
      <x:c r="F123" s="25" t="n">
        <x:v>6</x:v>
      </x:c>
      <x:c r="G123" s="17" t="n">
        <x:v>477.48359999999997</x:v>
      </x:c>
      <x:c r="H123" s="17" t="n">
        <x:f>G123*F123</x:f>
        <x:v>2864.9015999999997</x:v>
      </x:c>
      <x:c r="I123" s="26" t="str">
        <x:f>HYPERLINK("https://etp-aktiv.ru/catalog/oborudovanie/nizkovoltnoe-oborudovanie/5000057925-W113/","Открыть позицию")</x:f>
        <x:v>Открыть позицию</x:v>
      </x:c>
    </x:row>
    <x:row r="124" ht="28" customHeight="1">
      <x:c r="A124" s="16" t="str">
        <x:v>Бийскэнерго</x:v>
      </x:c>
      <x:c r="B124" s="16" t="str">
        <x:v>5000057929-W113</x:v>
      </x:c>
      <x:c r="C124" s="16" t="str">
        <x:v>ЯЩИК ЯТПВ-0,25-1А 220/12В</x:v>
      </x:c>
      <x:c r="D124" s="16" t="str">
        <x:v>Шкаф/щит/пункт распр</x:v>
      </x:c>
      <x:c r="E124" s="16" t="str">
        <x:v>ШТ</x:v>
      </x:c>
      <x:c r="F124" s="25" t="n">
        <x:v>1</x:v>
      </x:c>
      <x:c r="G124" s="17" t="n">
        <x:v>626.775</x:v>
      </x:c>
      <x:c r="H124" s="17" t="n">
        <x:f>G124*F124</x:f>
        <x:v>626.775</x:v>
      </x:c>
      <x:c r="I124" s="26" t="str">
        <x:f>HYPERLINK("https://etp-aktiv.ru/catalog/oborudovanie/nizkovoltnoe-oborudovanie/5000057929-W113/","Открыть позицию")</x:f>
        <x:v>Открыть позицию</x:v>
      </x:c>
    </x:row>
    <x:row r="125" ht="28" customHeight="1">
      <x:c r="A125" s="16" t="str">
        <x:v>БийскэнергоТеплоТранзит</x:v>
      </x:c>
      <x:c r="B125" s="16" t="str">
        <x:v>2000540964-W123</x:v>
      </x:c>
      <x:c r="C125" s="16" t="str">
        <x:v>ГИЛЬЗА ПОД ПРИВАРКУ L160</x:v>
      </x:c>
      <x:c r="D125" s="16" t="str">
        <x:v>ЗЧ КИПиА</x:v>
      </x:c>
      <x:c r="E125" s="16" t="str">
        <x:v>ШТ</x:v>
      </x:c>
      <x:c r="F125" s="25" t="n">
        <x:v>1</x:v>
      </x:c>
      <x:c r="G125" s="17" t="n">
        <x:v>79.9466</x:v>
      </x:c>
      <x:c r="H125" s="17" t="n">
        <x:f>G125*F125</x:f>
        <x:v>79.9466</x:v>
      </x:c>
      <x:c r="I125" s="26" t="str">
        <x:f>HYPERLINK("https://etp-aktiv.ru/catalog/materialy/zapasnye-chasti-i-prinadlezhnosti-dlya-priborov-kipia/2000540964-W123/","Открыть позицию")</x:f>
        <x:v>Открыть позицию</x:v>
      </x:c>
    </x:row>
    <x:row r="126" ht="28" customHeight="1">
      <x:c r="A126" s="16" t="str">
        <x:v>БийскэнергоТеплоТранзит</x:v>
      </x:c>
      <x:c r="B126" s="16" t="str">
        <x:v>2000112356-W123</x:v>
      </x:c>
      <x:c r="C126" s="16" t="str">
        <x:v>ЛАМПА ДРИ-250 Е40</x:v>
      </x:c>
      <x:c r="D126" s="16" t="str">
        <x:v>Освет и э/установоч</x:v>
      </x:c>
      <x:c r="E126" s="16" t="str">
        <x:v>ШТ</x:v>
      </x:c>
      <x:c r="F126" s="25" t="n">
        <x:v>35</x:v>
      </x:c>
      <x:c r="G126" s="17" t="n">
        <x:v>70.41839999999999</x:v>
      </x:c>
      <x:c r="H126" s="17" t="n">
        <x:f>G126*F126</x:f>
        <x:v>2464.644</x:v>
      </x:c>
      <x:c r="I126" s="26" t="str">
        <x:f>HYPERLINK("https://etp-aktiv.ru/catalog/materialy/ehlektrotekhnicheskie-materialy/2000112356-W123/","Открыть позицию")</x:f>
        <x:v>Открыть позицию</x:v>
      </x:c>
    </x:row>
    <x:row r="127" ht="28" customHeight="1">
      <x:c r="A127" s="16" t="str">
        <x:v>БийскэнергоТеплоТранзит</x:v>
      </x:c>
      <x:c r="B127" s="16" t="str">
        <x:v>2000282786-W123</x:v>
      </x:c>
      <x:c r="C127" s="16" t="str">
        <x:v>ЛЕНТА СИГНАЛЬНАЯ ЛСС-75*250</x:v>
      </x:c>
      <x:c r="D127" s="16" t="str">
        <x:v>Проч э/технич мат-лы</x:v>
      </x:c>
      <x:c r="E127" s="16" t="str">
        <x:v>М</x:v>
      </x:c>
      <x:c r="F127" s="24" t="n">
        <x:v>25992.01</x:v>
      </x:c>
      <x:c r="G127" s="17" t="n">
        <x:v>0.9516</x:v>
      </x:c>
      <x:c r="H127" s="17" t="n">
        <x:f>G127*F127</x:f>
        <x:v>24733.996715999998</x:v>
      </x:c>
      <x:c r="I127" s="26" t="str">
        <x:f>HYPERLINK("https://etp-aktiv.ru/catalog/materialy/ehlektrotekhnicheskie-materialy/2000282786-W123/","Открыть позицию")</x:f>
        <x:v>Открыть позицию</x:v>
      </x:c>
    </x:row>
    <x:row r="128" ht="28" customHeight="1">
      <x:c r="A128" s="16" t="str">
        <x:v>БийскэнергоТеплоТранзит</x:v>
      </x:c>
      <x:c r="B128" s="16" t="str">
        <x:v>2000263902-W123</x:v>
      </x:c>
      <x:c r="C128" s="16" t="str">
        <x:v>МАНОМЕТР МП4-У 0-0,6МПА КЛ1,5</x:v>
      </x:c>
      <x:c r="D128" s="16" t="str">
        <x:v>ЗЧ КИПиА</x:v>
      </x:c>
      <x:c r="E128" s="16" t="str">
        <x:v>ШТ</x:v>
      </x:c>
      <x:c r="F128" s="25" t="n">
        <x:v>6</x:v>
      </x:c>
      <x:c r="G128" s="17" t="n">
        <x:v>24.9856</x:v>
      </x:c>
      <x:c r="H128" s="17" t="n">
        <x:f>G128*F128</x:f>
        <x:v>149.9136</x:v>
      </x:c>
      <x:c r="I128" s="26" t="str">
        <x:f>HYPERLINK("https://etp-aktiv.ru/catalog/materialy/zapasnye-chasti-i-prinadlezhnosti-dlya-priborov-kipia/2000263902-W123/","Открыть позицию")</x:f>
        <x:v>Открыть позицию</x:v>
      </x:c>
    </x:row>
    <x:row r="129" ht="28" customHeight="1">
      <x:c r="A129" s="16" t="str">
        <x:v>БийскэнергоТеплоТранзит</x:v>
      </x:c>
      <x:c r="B129" s="16" t="str">
        <x:v>2000541640-W123</x:v>
      </x:c>
      <x:c r="C129" s="16" t="str">
        <x:v>ПРЕОБРАЗОВАТЕЛЬ ПРЭМ-32-L2-B1 СЭНДВИЧ</x:v>
      </x:c>
      <x:c r="D129" s="16" t="str">
        <x:v>ЗЧ КИПиА</x:v>
      </x:c>
      <x:c r="E129" s="16" t="str">
        <x:v>ШТ</x:v>
      </x:c>
      <x:c r="F129" s="25" t="n">
        <x:v>9</x:v>
      </x:c>
      <x:c r="G129" s="17" t="n">
        <x:v>33338.94</x:v>
      </x:c>
      <x:c r="H129" s="17" t="n">
        <x:f>G129*F129</x:f>
        <x:v>300050.46</x:v>
      </x:c>
      <x:c r="I129" s="26" t="str">
        <x:f>HYPERLINK("https://etp-aktiv.ru/catalog/materialy/zapasnye-chasti-i-prinadlezhnosti-dlya-priborov-kipia/2000541640-W123/","Открыть позицию")</x:f>
        <x:v>Открыть позицию</x:v>
      </x:c>
    </x:row>
    <x:row r="130" ht="28" customHeight="1">
      <x:c r="A130" s="16" t="str">
        <x:v>БийскэнергоТеплоТранзит</x:v>
      </x:c>
      <x:c r="B130" s="16" t="str">
        <x:v>5000077131-W123</x:v>
      </x:c>
      <x:c r="C130" s="16" t="str">
        <x:v>Р/СТАН KIRISUN DP405 VHF (136-174МГЦ)</x:v>
      </x:c>
      <x:c r="D130" s="16" t="str">
        <x:v>Оборудование радиосв</x:v>
      </x:c>
      <x:c r="E130" s="16" t="str">
        <x:v>ШТ</x:v>
      </x:c>
      <x:c r="F130" s="25" t="n">
        <x:v>1</x:v>
      </x:c>
      <x:c r="G130" s="17" t="n">
        <x:v>11323.125</x:v>
      </x:c>
      <x:c r="H130" s="17" t="n">
        <x:f>G130*F130</x:f>
        <x:v>11323.125</x:v>
      </x:c>
      <x:c r="I130" s="26" t="str">
        <x:f>HYPERLINK("https://etp-aktiv.ru/catalog/materialy/komplektuyushchie-i-zapasnye-chasti-k-kompyuternomu-i-ofisnomu-oborudovaniyu/5000077131-W123/","Открыть позицию")</x:f>
        <x:v>Открыть позицию</x:v>
      </x:c>
    </x:row>
    <x:row r="131" ht="28" customHeight="1">
      <x:c r="A131" s="16" t="str">
        <x:v>БийскэнергоТеплоТранзит</x:v>
      </x:c>
      <x:c r="B131" s="16" t="str">
        <x:v>2000201322-W123</x:v>
      </x:c>
      <x:c r="C131" s="16" t="str">
        <x:v>РАЗЪЕДИНИТЕЛЬ РЛНД1-10/400А УХЛ</x:v>
      </x:c>
      <x:c r="D131" s="16" t="str">
        <x:v>Разъединители</x:v>
      </x:c>
      <x:c r="E131" s="16" t="str">
        <x:v>ШТ</x:v>
      </x:c>
      <x:c r="F131" s="25" t="n">
        <x:v>2</x:v>
      </x:c>
      <x:c r="G131" s="17" t="n">
        <x:v>1418.25</x:v>
      </x:c>
      <x:c r="H131" s="17" t="n">
        <x:f>G131*F131</x:f>
        <x:v>2836.5</x:v>
      </x:c>
      <x:c r="I131" s="26" t="str">
        <x:f>HYPERLINK("https://etp-aktiv.ru/catalog/materialy/ehlektrotekhnicheskie-materialy/2000201322-W123/","Открыть позицию")</x:f>
        <x:v>Открыть позицию</x:v>
      </x:c>
    </x:row>
    <x:row r="132" ht="28" customHeight="1">
      <x:c r="A132" s="16" t="str">
        <x:v>БийскэнергоТеплоТранзит</x:v>
      </x:c>
      <x:c r="B132" s="16" t="str">
        <x:v>2000541827-W123</x:v>
      </x:c>
      <x:c r="C132" s="16" t="str">
        <x:v>Т/ПРЕОБ ТСП.PT100-К4-В3/-50..+180С-4-300</x:v>
      </x:c>
      <x:c r="D132" s="16" t="str">
        <x:v>ЗЧ КИПиА</x:v>
      </x:c>
      <x:c r="E132" s="16" t="str">
        <x:v>ШТ</x:v>
      </x:c>
      <x:c r="F132" s="25" t="n">
        <x:v>26</x:v>
      </x:c>
      <x:c r="G132" s="17" t="n">
        <x:v>233.6788</x:v>
      </x:c>
      <x:c r="H132" s="17" t="n">
        <x:f>G132*F132</x:f>
        <x:v>6075.6488</x:v>
      </x:c>
      <x:c r="I132" s="26" t="str">
        <x:f>HYPERLINK("https://etp-aktiv.ru/catalog/materialy/zapasnye-chasti-i-prinadlezhnosti-dlya-priborov-kipia/2000541827-W123/","Открыть позицию")</x:f>
        <x:v>Открыть позицию</x:v>
      </x:c>
    </x:row>
    <x:row r="133" ht="28" customHeight="1">
      <x:c r="A133" s="16" t="str">
        <x:v>Рубцовский ТЭК</x:v>
      </x:c>
      <x:c r="B133" s="16" t="str">
        <x:v>5000034472-W122</x:v>
      </x:c>
      <x:c r="C133" s="16" t="str">
        <x:v>БАШНЯ СВЕТОВАЯ ELG Т7 1000 S 2.7 GX</x:v>
      </x:c>
      <x:c r="D133" s="16" t="str">
        <x:v>Генераторы</x:v>
      </x:c>
      <x:c r="E133" s="16" t="str">
        <x:v>ШТ</x:v>
      </x:c>
      <x:c r="F133" s="25" t="n">
        <x:v>1</x:v>
      </x:c>
      <x:c r="G133" s="17" t="n">
        <x:v>144112.5</x:v>
      </x:c>
      <x:c r="H133" s="17" t="n">
        <x:f>G133*F133</x:f>
        <x:v>144112.5</x:v>
      </x:c>
      <x:c r="I133" s="26" t="str">
        <x:f>HYPERLINK("https://etp-aktiv.ru/catalog/materialy/ehlektrotekhnicheskie-materialy/5000034472-W122/","Открыть позицию")</x:f>
        <x:v>Открыть позицию</x:v>
      </x:c>
    </x:row>
    <x:row r="134" ht="28" customHeight="1">
      <x:c r="A134" s="16" t="str">
        <x:v>Рубцовский ТЭК</x:v>
      </x:c>
      <x:c r="B134" s="16" t="str">
        <x:v>5000025654-W122</x:v>
      </x:c>
      <x:c r="C134" s="16" t="str">
        <x:v>ГАЗОАНАЛИЗАТОР TESTO 340NO2</x:v>
      </x:c>
      <x:c r="D134" s="16" t="str">
        <x:v>Приборы КИПиА</x:v>
      </x:c>
      <x:c r="E134" s="16" t="str">
        <x:v>ШТ</x:v>
      </x:c>
      <x:c r="F134" s="25" t="n">
        <x:v>1</x:v>
      </x:c>
      <x:c r="G134" s="17" t="n">
        <x:v>34733.4</x:v>
      </x:c>
      <x:c r="H134" s="17" t="n">
        <x:f>G134*F134</x:f>
        <x:v>34733.4</x:v>
      </x:c>
      <x:c r="I134" s="26" t="str">
        <x:f>HYPERLINK("https://etp-aktiv.ru/catalog/materialy/zapasnye-chasti-i-prinadlezhnosti-dlya-priborov-kipia/5000025654-W122/","Открыть позицию")</x:f>
        <x:v>Открыть позицию</x:v>
      </x:c>
    </x:row>
    <x:row r="135" ht="28" customHeight="1">
      <x:c r="A135" s="16" t="str">
        <x:v>Рубцовский ТЭК</x:v>
      </x:c>
      <x:c r="B135" s="16" t="str">
        <x:v>2000190713-W122</x:v>
      </x:c>
      <x:c r="C135" s="16" t="str">
        <x:v>КЕРОСИН ОСВЕТИТЕЛЬНЫЙ КО-25</x:v>
      </x:c>
      <x:c r="D135" s="16" t="str">
        <x:v>Другие смазоч мат-лы</x:v>
      </x:c>
      <x:c r="E135" s="16" t="str">
        <x:v>КГ</x:v>
      </x:c>
      <x:c r="F135" s="24" t="n">
        <x:v>2.9</x:v>
      </x:c>
      <x:c r="G135" s="17" t="n">
        <x:v>119.0354</x:v>
      </x:c>
      <x:c r="H135" s="17" t="n">
        <x:f>G135*F135</x:f>
        <x:v>345.20266</x:v>
      </x:c>
      <x:c r="I135" s="26" t="str">
        <x:f>HYPERLINK("https://etp-aktiv.ru/catalog/materialy/gsm/2000190713-W122/","Открыть позицию")</x:f>
        <x:v>Открыть позицию</x:v>
      </x:c>
    </x:row>
    <x:row r="136" ht="28" customHeight="1">
      <x:c r="A136" s="16" t="str">
        <x:v>Рубцовский ТЭК</x:v>
      </x:c>
      <x:c r="B136" s="16" t="str">
        <x:v>2000483246-W122</x:v>
      </x:c>
      <x:c r="C136" s="16" t="str">
        <x:v>КОРОБКА РАСПРЕД ОП 100*100*50 IP55 220В</x:v>
      </x:c>
      <x:c r="D136" s="16" t="str">
        <x:v>Освет и э/установоч</x:v>
      </x:c>
      <x:c r="E136" s="16" t="str">
        <x:v>ШТ</x:v>
      </x:c>
      <x:c r="F136" s="25" t="n">
        <x:v>30</x:v>
      </x:c>
      <x:c r="G136" s="17" t="n">
        <x:v>47.994800000000005</x:v>
      </x:c>
      <x:c r="H136" s="17" t="n">
        <x:f>G136*F136</x:f>
        <x:v>1439.844</x:v>
      </x:c>
      <x:c r="I136" s="26" t="str">
        <x:f>HYPERLINK("https://etp-aktiv.ru/catalog/materialy/ehlektrotekhnicheskie-materialy/2000483246-W122/","Открыть позицию")</x:f>
        <x:v>Открыть позицию</x:v>
      </x:c>
    </x:row>
    <x:row r="137" ht="28" customHeight="1">
      <x:c r="A137" s="16" t="str">
        <x:v>Рубцовский ТЭК</x:v>
      </x:c>
      <x:c r="B137" s="16" t="str">
        <x:v>2000284059-W122</x:v>
      </x:c>
      <x:c r="C137" s="16" t="str">
        <x:v>ЛЕНТА КИПЕРНАЯ ЛЭ-20-24 20ММ</x:v>
      </x:c>
      <x:c r="D137" s="16" t="str">
        <x:v>Э/изоляцион мат-лы</x:v>
      </x:c>
      <x:c r="E137" s="16" t="str">
        <x:v>М</x:v>
      </x:c>
      <x:c r="F137" s="25" t="n">
        <x:v>200</x:v>
      </x:c>
      <x:c r="G137" s="17" t="n">
        <x:v>2.1106</x:v>
      </x:c>
      <x:c r="H137" s="17" t="n">
        <x:f>G137*F137</x:f>
        <x:v>422.11999999999995</x:v>
      </x:c>
      <x:c r="I137" s="26" t="str">
        <x:f>HYPERLINK("https://etp-aktiv.ru/catalog/materialy/ehlektroizolyacionnye-materialy/2000284059-W122/","Открыть позицию")</x:f>
        <x:v>Открыть позицию</x:v>
      </x:c>
    </x:row>
    <x:row r="138" ht="28" customHeight="1">
      <x:c r="A138" s="16" t="str">
        <x:v>Рубцовский ТЭК</x:v>
      </x:c>
      <x:c r="B138" s="16" t="str">
        <x:v>2000179807-W122</x:v>
      </x:c>
      <x:c r="C138" s="16" t="str">
        <x:v>МАНОМЕТР КИСЛОРОДНЫЙ МТ-УХЛ3 0-25КГС/СМ2</x:v>
      </x:c>
      <x:c r="D138" s="16" t="str">
        <x:v>ЗЧ КИПиА</x:v>
      </x:c>
      <x:c r="E138" s="16" t="str">
        <x:v>ШТ</x:v>
      </x:c>
      <x:c r="F138" s="25" t="n">
        <x:v>2</x:v>
      </x:c>
      <x:c r="G138" s="17" t="n">
        <x:v>39.8574</x:v>
      </x:c>
      <x:c r="H138" s="17" t="n">
        <x:f>G138*F138</x:f>
        <x:v>79.7148</x:v>
      </x:c>
      <x:c r="I138" s="26" t="str">
        <x:f>HYPERLINK("https://etp-aktiv.ru/catalog/materialy/zapasnye-chasti-i-prinadlezhnosti-dlya-priborov-kipia/2000179807-W122/","Открыть позицию")</x:f>
        <x:v>Открыть позицию</x:v>
      </x:c>
    </x:row>
    <x:row r="139" ht="28" customHeight="1">
      <x:c r="A139" s="16" t="str">
        <x:v>Рубцовский ТЭК</x:v>
      </x:c>
      <x:c r="B139" s="16" t="str">
        <x:v>2000540708-W122</x:v>
      </x:c>
      <x:c r="C139" s="16" t="str">
        <x:v>МАНОМЕТР ТМ 210Р.00 0-2,5МПА М12*1,5 O2</x:v>
      </x:c>
      <x:c r="D139" s="16" t="str">
        <x:v>ЗЧ КИПиА</x:v>
      </x:c>
      <x:c r="E139" s="16" t="str">
        <x:v>ШТ</x:v>
      </x:c>
      <x:c r="F139" s="25" t="n">
        <x:v>8</x:v>
      </x:c>
      <x:c r="G139" s="17" t="n">
        <x:v>59.267599999999995</x:v>
      </x:c>
      <x:c r="H139" s="17" t="n">
        <x:f>G139*F139</x:f>
        <x:v>474.14079999999996</x:v>
      </x:c>
      <x:c r="I139" s="26" t="str">
        <x:f>HYPERLINK("https://etp-aktiv.ru/catalog/materialy/zapasnye-chasti-i-prinadlezhnosti-dlya-priborov-kipia/2000540708-W122/","Открыть позицию")</x:f>
        <x:v>Открыть позицию</x:v>
      </x:c>
    </x:row>
    <x:row r="140" ht="28" customHeight="1">
      <x:c r="A140" s="16" t="str">
        <x:v>Рубцовский ТЭК</x:v>
      </x:c>
      <x:c r="B140" s="16" t="str">
        <x:v>2000030486-W122</x:v>
      </x:c>
      <x:c r="C140" s="16" t="str">
        <x:v>МАСЛО ТРАНСФОРМАТОРНОЕ ГК</x:v>
      </x:c>
      <x:c r="D140" s="16" t="str">
        <x:v>Масла и смазки</x:v>
      </x:c>
      <x:c r="E140" s="16" t="str">
        <x:v>Т</x:v>
      </x:c>
      <x:c r="F140" s="30" t="n">
        <x:v>0.037</x:v>
      </x:c>
      <x:c r="G140" s="17" t="n">
        <x:v>84026.18239999999</x:v>
      </x:c>
      <x:c r="H140" s="17" t="n">
        <x:f>G140*F140</x:f>
        <x:v>3108.9687487999995</x:v>
      </x:c>
      <x:c r="I140" s="26" t="str">
        <x:f>HYPERLINK("https://etp-aktiv.ru/catalog/materialy/gsm/2000030486-W122/","Открыть позицию")</x:f>
        <x:v>Открыть позицию</x:v>
      </x:c>
    </x:row>
    <x:row r="141" ht="28" customHeight="1">
      <x:c r="A141" s="16" t="str">
        <x:v>Рубцовский ТЭК</x:v>
      </x:c>
      <x:c r="B141" s="16" t="str">
        <x:v>2000488296-W122</x:v>
      </x:c>
      <x:c r="C141" s="16" t="str">
        <x:v>РАСШИРИТЕЛЬ АДРЕСНЫЙ С2000-АР8</x:v>
      </x:c>
      <x:c r="D141" s="16" t="str">
        <x:v>ЗЧ КИПиА</x:v>
      </x:c>
      <x:c r="E141" s="16" t="str">
        <x:v>ШТ</x:v>
      </x:c>
      <x:c r="F141" s="25" t="n">
        <x:v>1</x:v>
      </x:c>
      <x:c r="G141" s="17" t="n">
        <x:v>1658.4436</x:v>
      </x:c>
      <x:c r="H141" s="17" t="n">
        <x:f>G141*F141</x:f>
        <x:v>1658.4436</x:v>
      </x:c>
      <x:c r="I141" s="26" t="str">
        <x:f>HYPERLINK("https://etp-aktiv.ru/catalog/materialy/zapasnye-chasti-i-prinadlezhnosti-dlya-priborov-kipia/2000488296-W122/","Открыть позицию")</x:f>
        <x:v>Открыть позицию</x:v>
      </x:c>
    </x:row>
    <x:row r="142" ht="28" customHeight="1">
      <x:c r="A142" s="16" t="str">
        <x:v>Рубцовский ТЭК</x:v>
      </x:c>
      <x:c r="B142" s="16" t="str">
        <x:v>5000056840-W122</x:v>
      </x:c>
      <x:c r="C142" s="16" t="str">
        <x:v>ТЕРМИНАЛ АПМ.ТЛА1.016.СО.ОГ-13</x:v>
      </x:c>
      <x:c r="D142" s="16" t="str">
        <x:v>Приборы КИПиА</x:v>
      </x:c>
      <x:c r="E142" s="16" t="str">
        <x:v>ШТ</x:v>
      </x:c>
      <x:c r="F142" s="25" t="n">
        <x:v>2</x:v>
      </x:c>
      <x:c r="G142" s="17" t="n">
        <x:v>193855.9382</x:v>
      </x:c>
      <x:c r="H142" s="17" t="n">
        <x:f>G142*F142</x:f>
        <x:v>387711.8764</x:v>
      </x:c>
      <x:c r="I142" s="26" t="str">
        <x:f>HYPERLINK("https://etp-aktiv.ru/catalog/materialy/zapasnye-chasti-i-prinadlezhnosti-dlya-priborov-kipia/5000056840-W122/","Открыть позицию")</x:f>
        <x:v>Открыть позицию</x:v>
      </x:c>
    </x:row>
    <x:row r="143" ht="28" customHeight="1">
      <x:c r="A143" s="16" t="str">
        <x:v>Рубцовский ТЭК</x:v>
      </x:c>
      <x:c r="B143" s="16" t="str">
        <x:v>5000060734-W122</x:v>
      </x:c>
      <x:c r="C143" s="16" t="str">
        <x:v>ТОЛЩИНОМЕР УЛЬТРАЗВУКОВОЙ DM5E</x:v>
      </x:c>
      <x:c r="D143" s="16" t="str">
        <x:v>Приборы КИПиА</x:v>
      </x:c>
      <x:c r="E143" s="16" t="str">
        <x:v>КМП</x:v>
      </x:c>
      <x:c r="F143" s="25" t="n">
        <x:v>1</x:v>
      </x:c>
      <x:c r="G143" s="17" t="n">
        <x:v>20573.811599999997</x:v>
      </x:c>
      <x:c r="H143" s="17" t="n">
        <x:f>G143*F143</x:f>
        <x:v>20573.811599999997</x:v>
      </x:c>
      <x:c r="I143" s="26" t="str">
        <x:f>HYPERLINK("https://etp-aktiv.ru/catalog/materialy/zapasnye-chasti-i-prinadlezhnosti-dlya-priborov-kipia/5000060734-W122/","Открыть позицию")</x:f>
        <x:v>Открыть позицию</x:v>
      </x:c>
    </x:row>
    <x:row r="144" ht="28" customHeight="1">
      <x:c r="A144" s="16" t="str">
        <x:v>Рубцовский ТЭК</x:v>
      </x:c>
      <x:c r="B144" s="16" t="str">
        <x:v>2000811497-W122</x:v>
      </x:c>
      <x:c r="C144" s="16" t="str">
        <x:v>УСТРОЙСТВО УК-ВК ИСП.12 12В 40МА</x:v>
      </x:c>
      <x:c r="D144" s="16" t="str">
        <x:v>ЗЧ КИПиА</x:v>
      </x:c>
      <x:c r="E144" s="16" t="str">
        <x:v>ШТ</x:v>
      </x:c>
      <x:c r="F144" s="25" t="n">
        <x:v>1</x:v>
      </x:c>
      <x:c r="G144" s="17" t="n">
        <x:v>149.9014</x:v>
      </x:c>
      <x:c r="H144" s="17" t="n">
        <x:f>G144*F144</x:f>
        <x:v>149.9014</x:v>
      </x:c>
      <x:c r="I144" s="26" t="str">
        <x:f>HYPERLINK("https://etp-aktiv.ru/catalog/materialy/zapasnye-chasti-i-prinadlezhnosti-dlya-priborov-kipia/2000811497-W122/","Открыть позицию")</x:f>
        <x:v>Открыть позицию</x:v>
      </x:c>
    </x:row>
    <x:row r="145" ht="28" customHeight="1">
      <x:c r="A145" s="16" t="str">
        <x:v>Рубцовский ТЭК</x:v>
      </x:c>
      <x:c r="B145" s="16" t="str">
        <x:v>2000069167-W122</x:v>
      </x:c>
      <x:c r="C145" s="16" t="str">
        <x:v>ЭЛЕКТРОКАРТОН ЭВ 2,0ММ</x:v>
      </x:c>
      <x:c r="D145" s="16" t="str">
        <x:v>Э/изоляцион мат-лы</x:v>
      </x:c>
      <x:c r="E145" s="16" t="str">
        <x:v>КГ</x:v>
      </x:c>
      <x:c r="F145" s="24" t="n">
        <x:v>4.42</x:v>
      </x:c>
      <x:c r="G145" s="17" t="n">
        <x:v>259.29879999999997</x:v>
      </x:c>
      <x:c r="H145" s="17" t="n">
        <x:f>G145*F145</x:f>
        <x:v>1146.1006959999997</x:v>
      </x:c>
      <x:c r="I145" s="26" t="str">
        <x:f>HYPERLINK("https://etp-aktiv.ru/catalog/materialy/ehlektroizolyacionnye-materialy/2000069167-W122/","Открыть позицию")</x:f>
        <x:v>Открыть позицию</x:v>
      </x:c>
    </x:row>
    <x:row r="146" ht="28" customHeight="1">
      <x:c r="A146" s="16" t="str">
        <x:v>Филиал БТСК</x:v>
      </x:c>
      <x:c r="B146" s="16" t="str">
        <x:v>2000536247-W121</x:v>
      </x:c>
      <x:c r="C146" s="16" t="str">
        <x:v>DIN-РЕЙКА ОЦ 125СМ YDN10-0125</x:v>
      </x:c>
      <x:c r="D146" s="16" t="str">
        <x:v>Низковол апп-ра и ЗЧ</x:v>
      </x:c>
      <x:c r="E146" s="16" t="str">
        <x:v>ШТ</x:v>
      </x:c>
      <x:c r="F146" s="25" t="n">
        <x:v>10</x:v>
      </x:c>
      <x:c r="G146" s="17" t="n">
        <x:v>30.6586</x:v>
      </x:c>
      <x:c r="H146" s="17" t="n">
        <x:f>G146*F146</x:f>
        <x:v>306.586</x:v>
      </x:c>
      <x:c r="I146" s="26" t="str">
        <x:f>HYPERLINK("https://etp-aktiv.ru/catalog/materialy/nizkovoltnaya-apparatura-i-zapasnye-chasti/2000536247-W121/","Открыть позицию")</x:f>
        <x:v>Открыть позицию</x:v>
      </x:c>
    </x:row>
    <x:row r="147" ht="28" customHeight="1">
      <x:c r="A147" s="16" t="str">
        <x:v>Филиал БТСК</x:v>
      </x:c>
      <x:c r="B147" s="16" t="str">
        <x:v>2000540874-W121</x:v>
      </x:c>
      <x:c r="C147" s="16" t="str">
        <x:v>БОБЫШКА БП М20*1,5 70ММ СТ20</x:v>
      </x:c>
      <x:c r="D147" s="16" t="str">
        <x:v>ЗЧ КИПиА</x:v>
      </x:c>
      <x:c r="E147" s="16" t="str">
        <x:v>ШТ</x:v>
      </x:c>
      <x:c r="F147" s="25" t="n">
        <x:v>2</x:v>
      </x:c>
      <x:c r="G147" s="17" t="n">
        <x:v>150.21859999999998</x:v>
      </x:c>
      <x:c r="H147" s="17" t="n">
        <x:f>G147*F147</x:f>
        <x:v>300.43719999999996</x:v>
      </x:c>
      <x:c r="I147" s="26" t="str">
        <x:f>HYPERLINK("https://etp-aktiv.ru/catalog/materialy/zapasnye-chasti-i-prinadlezhnosti-dlya-priborov-kipia/2000540874-W121/","Открыть позицию")</x:f>
        <x:v>Открыть позицию</x:v>
      </x:c>
    </x:row>
    <x:row r="148" ht="28" customHeight="1">
      <x:c r="A148" s="16" t="str">
        <x:v>Филиал БТСК</x:v>
      </x:c>
      <x:c r="B148" s="16" t="str">
        <x:v>2000540885-W121</x:v>
      </x:c>
      <x:c r="C148" s="16" t="str">
        <x:v>БОБЫШКА БП-КР 40-G1/2" СТ20</x:v>
      </x:c>
      <x:c r="D148" s="16" t="str">
        <x:v>ЗЧ КИПиА</x:v>
      </x:c>
      <x:c r="E148" s="16" t="str">
        <x:v>ШТ</x:v>
      </x:c>
      <x:c r="F148" s="25" t="n">
        <x:v>1</x:v>
      </x:c>
      <x:c r="G148" s="17" t="n">
        <x:v>31.781</x:v>
      </x:c>
      <x:c r="H148" s="17" t="n">
        <x:f>G148*F148</x:f>
        <x:v>31.781</x:v>
      </x:c>
      <x:c r="I148" s="26" t="str">
        <x:f>HYPERLINK("https://etp-aktiv.ru/catalog/materialy/zapasnye-chasti-i-prinadlezhnosti-dlya-priborov-kipia/2000540885-W121/","Открыть позицию")</x:f>
        <x:v>Открыть позицию</x:v>
      </x:c>
    </x:row>
    <x:row r="149" ht="28" customHeight="1">
      <x:c r="A149" s="16" t="str">
        <x:v>Филиал БТСК</x:v>
      </x:c>
      <x:c r="B149" s="16" t="str">
        <x:v>2000540888-W121</x:v>
      </x:c>
      <x:c r="C149" s="16" t="str">
        <x:v>БОБЫШКА ЗК4-1-1-95 БПО1 М20*1,5-100-СТ20</x:v>
      </x:c>
      <x:c r="D149" s="16" t="str">
        <x:v>ЗЧ КИПиА</x:v>
      </x:c>
      <x:c r="E149" s="16" t="str">
        <x:v>ШТ</x:v>
      </x:c>
      <x:c r="F149" s="25" t="n">
        <x:v>8</x:v>
      </x:c>
      <x:c r="G149" s="17" t="n">
        <x:v>51.2278</x:v>
      </x:c>
      <x:c r="H149" s="17" t="n">
        <x:f>G149*F149</x:f>
        <x:v>409.8224</x:v>
      </x:c>
      <x:c r="I149" s="26" t="str">
        <x:f>HYPERLINK("https://etp-aktiv.ru/catalog/materialy/zapasnye-chasti-i-prinadlezhnosti-dlya-priborov-kipia/2000540888-W121/","Открыть позицию")</x:f>
        <x:v>Открыть позицию</x:v>
      </x:c>
    </x:row>
    <x:row r="150" ht="28" customHeight="1">
      <x:c r="A150" s="16" t="str">
        <x:v>Филиал БТСК</x:v>
      </x:c>
      <x:c r="B150" s="16" t="str">
        <x:v>2000567574-W121</x:v>
      </x:c>
      <x:c r="C150" s="16" t="str">
        <x:v>БОБЫШКА ПРИВАРНАЯ БП-БТ-55-G1/2</x:v>
      </x:c>
      <x:c r="D150" s="16" t="str">
        <x:v>ЗЧ КИПиА</x:v>
      </x:c>
      <x:c r="E150" s="16" t="str">
        <x:v>ШТ</x:v>
      </x:c>
      <x:c r="F150" s="25" t="n">
        <x:v>1</x:v>
      </x:c>
      <x:c r="G150" s="17" t="n">
        <x:v>29.157999999999998</x:v>
      </x:c>
      <x:c r="H150" s="17" t="n">
        <x:f>G150*F150</x:f>
        <x:v>29.157999999999998</x:v>
      </x:c>
      <x:c r="I150" s="26" t="str">
        <x:f>HYPERLINK("https://etp-aktiv.ru/catalog/materialy/zapasnye-chasti-i-prinadlezhnosti-dlya-priborov-kipia/2000567574-W121/","Открыть позицию")</x:f>
        <x:v>Открыть позицию</x:v>
      </x:c>
    </x:row>
    <x:row r="151" ht="28" customHeight="1">
      <x:c r="A151" s="16" t="str">
        <x:v>Филиал БТСК</x:v>
      </x:c>
      <x:c r="B151" s="16" t="str">
        <x:v>2000540932-W121</x:v>
      </x:c>
      <x:c r="C151" s="16" t="str">
        <x:v>ГИЛЬЗА ГЗ-015-01 М20*1,5Н10-10/14-160-25</x:v>
      </x:c>
      <x:c r="D151" s="16" t="str">
        <x:v>ЗЧ КИПиА</x:v>
      </x:c>
      <x:c r="E151" s="16" t="str">
        <x:v>ШТ</x:v>
      </x:c>
      <x:c r="F151" s="25" t="n">
        <x:v>1</x:v>
      </x:c>
      <x:c r="G151" s="17" t="n">
        <x:v>802.9186</x:v>
      </x:c>
      <x:c r="H151" s="17" t="n">
        <x:f>G151*F151</x:f>
        <x:v>802.9186</x:v>
      </x:c>
      <x:c r="I151" s="26" t="str">
        <x:f>HYPERLINK("https://etp-aktiv.ru/catalog/materialy/zapasnye-chasti-i-prinadlezhnosti-dlya-priborov-kipia/2000540932-W121/","Открыть позицию")</x:f>
        <x:v>Открыть позицию</x:v>
      </x:c>
    </x:row>
    <x:row r="152" ht="28" customHeight="1">
      <x:c r="A152" s="16" t="str">
        <x:v>Филиал БТСК</x:v>
      </x:c>
      <x:c r="B152" s="16" t="str">
        <x:v>2000540934-W121</x:v>
      </x:c>
      <x:c r="C152" s="16" t="str">
        <x:v>ГИЛЬЗА ГЗ-015-01 М20*1,5Н10-10/16-200-16</x:v>
      </x:c>
      <x:c r="D152" s="16" t="str">
        <x:v>ЗЧ КИПиА</x:v>
      </x:c>
      <x:c r="E152" s="16" t="str">
        <x:v>ШТ</x:v>
      </x:c>
      <x:c r="F152" s="25" t="n">
        <x:v>2</x:v>
      </x:c>
      <x:c r="G152" s="17" t="n">
        <x:v>824.2686</x:v>
      </x:c>
      <x:c r="H152" s="17" t="n">
        <x:f>G152*F152</x:f>
        <x:v>1648.5372</x:v>
      </x:c>
      <x:c r="I152" s="26" t="str">
        <x:f>HYPERLINK("https://etp-aktiv.ru/catalog/materialy/zapasnye-chasti-i-prinadlezhnosti-dlya-priborov-kipia/2000540934-W121/","Открыть позицию")</x:f>
        <x:v>Открыть позицию</x:v>
      </x:c>
    </x:row>
    <x:row r="153" ht="28" customHeight="1">
      <x:c r="A153" s="16" t="str">
        <x:v>Филиал БТСК</x:v>
      </x:c>
      <x:c r="B153" s="16" t="str">
        <x:v>2000540573-W121</x:v>
      </x:c>
      <x:c r="C153" s="16" t="str">
        <x:v>МАНОМЕТР ДМ8008-ВУФ У2 16КГС 1,5 М20 РШ</x:v>
      </x:c>
      <x:c r="D153" s="16" t="str">
        <x:v>ЗЧ КИПиА</x:v>
      </x:c>
      <x:c r="E153" s="16" t="str">
        <x:v>ШТ</x:v>
      </x:c>
      <x:c r="F153" s="25" t="n">
        <x:v>2</x:v>
      </x:c>
      <x:c r="G153" s="17" t="n">
        <x:v>1428.7541999999999</x:v>
      </x:c>
      <x:c r="H153" s="17" t="n">
        <x:f>G153*F153</x:f>
        <x:v>2857.5083999999997</x:v>
      </x:c>
      <x:c r="I153" s="26" t="str">
        <x:f>HYPERLINK("https://etp-aktiv.ru/catalog/materialy/zapasnye-chasti-i-prinadlezhnosti-dlya-priborov-kipia/2000540573-W121/","Открыть позицию")</x:f>
        <x:v>Открыть позицию</x:v>
      </x:c>
    </x:row>
    <x:row r="154" ht="28" customHeight="1">
      <x:c r="A154" s="16" t="str">
        <x:v>Филиал БТСК</x:v>
      </x:c>
      <x:c r="B154" s="16" t="str">
        <x:v>2000567361-W121</x:v>
      </x:c>
      <x:c r="C154" s="16" t="str">
        <x:v>МАНОМЕТР МП3-УФ 0-16КГС/СМ2 УХЛ1 IP54</x:v>
      </x:c>
      <x:c r="D154" s="16" t="str">
        <x:v>ЗЧ КИПиА</x:v>
      </x:c>
      <x:c r="E154" s="16" t="str">
        <x:v>ШТ</x:v>
      </x:c>
      <x:c r="F154" s="25" t="n">
        <x:v>3</x:v>
      </x:c>
      <x:c r="G154" s="17" t="n">
        <x:v>1363.35</x:v>
      </x:c>
      <x:c r="H154" s="17" t="n">
        <x:f>G154*F154</x:f>
        <x:v>4090.0499999999997</x:v>
      </x:c>
      <x:c r="I154" s="26" t="str">
        <x:f>HYPERLINK("https://etp-aktiv.ru/catalog/materialy/zapasnye-chasti-i-prinadlezhnosti-dlya-priborov-kipia/2000567361-W121/","Открыть позицию")</x:f>
        <x:v>Открыть позицию</x:v>
      </x:c>
    </x:row>
    <x:row r="155" ht="28" customHeight="1">
      <x:c r="A155" s="16" t="str">
        <x:v>Филиал БТСК</x:v>
      </x:c>
      <x:c r="B155" s="16" t="str">
        <x:v>2000235884-W121</x:v>
      </x:c>
      <x:c r="C155" s="16" t="str">
        <x:v>МАНОМЕТР ТМ-510Р.00 0-10КГС/СМ2 М20*1,5</x:v>
      </x:c>
      <x:c r="D155" s="16" t="str">
        <x:v>ЗЧ КИПиА</x:v>
      </x:c>
      <x:c r="E155" s="16" t="str">
        <x:v>ШТ</x:v>
      </x:c>
      <x:c r="F155" s="25" t="n">
        <x:v>10</x:v>
      </x:c>
      <x:c r="G155" s="17" t="n">
        <x:v>503.25</x:v>
      </x:c>
      <x:c r="H155" s="17" t="n">
        <x:f>G155*F155</x:f>
        <x:v>5032.5</x:v>
      </x:c>
      <x:c r="I155" s="26" t="str">
        <x:f>HYPERLINK("https://etp-aktiv.ru/catalog/materialy/zapasnye-chasti-i-prinadlezhnosti-dlya-priborov-kipia/2000235884-W121/","Открыть позицию")</x:f>
        <x:v>Открыть позицию</x:v>
      </x:c>
    </x:row>
    <x:row r="156" ht="28" customHeight="1">
      <x:c r="A156" s="16" t="str">
        <x:v>Филиал БТСК</x:v>
      </x:c>
      <x:c r="B156" s="16" t="str">
        <x:v>2000541447-W121</x:v>
      </x:c>
      <x:c r="C156" s="16" t="str">
        <x:v>МЕТРАН-300ПР-100-А-0,1-01-42-Н-И-ШР-К1</x:v>
      </x:c>
      <x:c r="D156" s="16" t="str">
        <x:v>ЗЧ КИПиА</x:v>
      </x:c>
      <x:c r="E156" s="16" t="str">
        <x:v>ШТ</x:v>
      </x:c>
      <x:c r="F156" s="25" t="n">
        <x:v>1</x:v>
      </x:c>
      <x:c r="G156" s="17" t="n">
        <x:v>26700.712600000003</x:v>
      </x:c>
      <x:c r="H156" s="17" t="n">
        <x:f>G156*F156</x:f>
        <x:v>26700.712600000003</x:v>
      </x:c>
      <x:c r="I156" s="26" t="str">
        <x:f>HYPERLINK("https://etp-aktiv.ru/catalog/materialy/zapasnye-chasti-i-prinadlezhnosti-dlya-priborov-kipia/2000541447-W121/","Открыть позицию")</x:f>
        <x:v>Открыть позицию</x:v>
      </x:c>
    </x:row>
    <x:row r="157" ht="28" customHeight="1">
      <x:c r="A157" s="16" t="str">
        <x:v>Филиал БТСК</x:v>
      </x:c>
      <x:c r="B157" s="16" t="str">
        <x:v>2000071825-W121</x:v>
      </x:c>
      <x:c r="C157" s="16" t="str">
        <x:v>ПУСКАТЕЛЬ ПБР-2М 220В</x:v>
      </x:c>
      <x:c r="D157" s="16" t="str">
        <x:v>Низковол апп-ра и ЗЧ</x:v>
      </x:c>
      <x:c r="E157" s="16" t="str">
        <x:v>ШТ</x:v>
      </x:c>
      <x:c r="F157" s="25" t="n">
        <x:v>2</x:v>
      </x:c>
      <x:c r="G157" s="17" t="n">
        <x:v>1091.1435999999999</x:v>
      </x:c>
      <x:c r="H157" s="17" t="n">
        <x:f>G157*F157</x:f>
        <x:v>2182.2871999999998</x:v>
      </x:c>
      <x:c r="I157" s="26" t="str">
        <x:f>HYPERLINK("https://etp-aktiv.ru/catalog/materialy/nizkovoltnaya-apparatura-i-zapasnye-chasti/2000071825-W121/","Открыть позицию")</x:f>
        <x:v>Открыть позицию</x:v>
      </x:c>
    </x:row>
    <x:row r="158" ht="28" customHeight="1">
      <x:c r="A158" s="16" t="str">
        <x:v>Филиал БТСК</x:v>
      </x:c>
      <x:c r="B158" s="16" t="str">
        <x:v>5000058631-W121</x:v>
      </x:c>
      <x:c r="C158" s="16" t="str">
        <x:v>ТЕРМИНАЛ КОММУТАЦИОННЫЙ ТГ-15/1</x:v>
      </x:c>
      <x:c r="D158" s="16" t="str">
        <x:v>Аппар-ра наблюдения</x:v>
      </x:c>
      <x:c r="E158" s="16" t="str">
        <x:v>ШТ</x:v>
      </x:c>
      <x:c r="F158" s="25" t="n">
        <x:v>6</x:v>
      </x:c>
      <x:c r="G158" s="17" t="n">
        <x:v>4376.75</x:v>
      </x:c>
      <x:c r="H158" s="17" t="n">
        <x:f>G158*F158</x:f>
        <x:v>26260.5</x:v>
      </x:c>
      <x:c r="I158" s="26" t="str">
        <x:f>HYPERLINK("https://etp-aktiv.ru/catalog/materialy/prochie-materialy/5000058631-W121/","Открыть позицию")</x:f>
        <x:v>Открыть позицию</x:v>
      </x:c>
    </x:row>
    <x:row r="159" ht="28" customHeight="1">
      <x:c r="A159" s="16" t="str">
        <x:v>Филиал БТСК</x:v>
      </x:c>
      <x:c r="B159" s="16" t="str">
        <x:v>2000567543-W121</x:v>
      </x:c>
      <x:c r="C159" s="16" t="str">
        <x:v>УСТР-ВО ОТБОРНОЕ 16-70-СТ20-МП С 15С54БК</x:v>
      </x:c>
      <x:c r="D159" s="16" t="str">
        <x:v>ЗЧ КИПиА</x:v>
      </x:c>
      <x:c r="E159" s="16" t="str">
        <x:v>ШТ</x:v>
      </x:c>
      <x:c r="F159" s="25" t="n">
        <x:v>7</x:v>
      </x:c>
      <x:c r="G159" s="17" t="n">
        <x:v>218.38</x:v>
      </x:c>
      <x:c r="H159" s="17" t="n">
        <x:f>G159*F159</x:f>
        <x:v>1528.6599999999999</x:v>
      </x:c>
      <x:c r="I159" s="26" t="str">
        <x:f>HYPERLINK("https://etp-aktiv.ru/catalog/materialy/zapasnye-chasti-i-prinadlezhnosti-dlya-priborov-kipia/2000567543-W121/","Открыть позицию")</x:f>
        <x:v>Открыть позицию</x:v>
      </x:c>
    </x:row>
    <x:row r="160" ht="28" customHeight="1">
      <x:c r="A160" s="16" t="str">
        <x:v>Филиал БТСК</x:v>
      </x:c>
      <x:c r="B160" s="16" t="str">
        <x:v>2000184701-W121</x:v>
      </x:c>
      <x:c r="C160" s="16" t="str">
        <x:v>УСТРОЙСТВО ЗАЩИТНОЕ В01.001 ТУ25-02.1683</x:v>
      </x:c>
      <x:c r="D160" s="16" t="str">
        <x:v>Проч э/технич мат-лы</x:v>
      </x:c>
      <x:c r="E160" s="16" t="str">
        <x:v>ШТ</x:v>
      </x:c>
      <x:c r="F160" s="25" t="n">
        <x:v>2</x:v>
      </x:c>
      <x:c r="G160" s="17" t="n">
        <x:v>146.4</x:v>
      </x:c>
      <x:c r="H160" s="17" t="n">
        <x:f>G160*F160</x:f>
        <x:v>292.8</x:v>
      </x:c>
      <x:c r="I160" s="26" t="str">
        <x:f>HYPERLINK("https://etp-aktiv.ru/catalog/materialy/ehlektrotekhnicheskie-materialy/2000184701-W121/","Открыть позицию")</x:f>
        <x:v>Открыть позицию</x:v>
      </x:c>
    </x:row>
    <x:row r="161" ht="28" customHeight="1">
      <x:c r="A161" s="16" t="str">
        <x:v>Филиал БТСК</x:v>
      </x:c>
      <x:c r="B161" s="16" t="str">
        <x:v>2000241488-W121</x:v>
      </x:c>
      <x:c r="C161" s="16" t="str">
        <x:v>УСТРОЙСТВО ОТБОРНОЕ 016-200-СТ20-МП</x:v>
      </x:c>
      <x:c r="D161" s="16" t="str">
        <x:v>ЗЧ КИПиА</x:v>
      </x:c>
      <x:c r="E161" s="16" t="str">
        <x:v>ШТ</x:v>
      </x:c>
      <x:c r="F161" s="25" t="n">
        <x:v>9</x:v>
      </x:c>
      <x:c r="G161" s="17" t="n">
        <x:v>717.8724</x:v>
      </x:c>
      <x:c r="H161" s="17" t="n">
        <x:f>G161*F161</x:f>
        <x:v>6460.8516</x:v>
      </x:c>
      <x:c r="I161" s="26" t="str">
        <x:f>HYPERLINK("https://etp-aktiv.ru/catalog/materialy/zapasnye-chasti-i-prinadlezhnosti-dlya-priborov-kipia/2000241488-W121/","Открыть позицию")</x:f>
        <x:v>Открыть позицию</x:v>
      </x:c>
    </x:row>
    <x:row r="162" ht="28" customHeight="1">
      <x:c r="A162" s="16" t="str">
        <x:v>Филиал БТСК</x:v>
      </x:c>
      <x:c r="B162" s="16" t="str">
        <x:v>2000541284-W121</x:v>
      </x:c>
      <x:c r="C162" s="16" t="str">
        <x:v>УСТРОЙСТВО ОТБОРНОЕ 1,6-70-СТ20-МП</x:v>
      </x:c>
      <x:c r="D162" s="16" t="str">
        <x:v>ЗЧ КИПиА</x:v>
      </x:c>
      <x:c r="E162" s="16" t="str">
        <x:v>ШТ</x:v>
      </x:c>
      <x:c r="F162" s="25" t="n">
        <x:v>13</x:v>
      </x:c>
      <x:c r="G162" s="17" t="n">
        <x:v>84.5948</x:v>
      </x:c>
      <x:c r="H162" s="17" t="n">
        <x:f>G162*F162</x:f>
        <x:v>1099.7324</x:v>
      </x:c>
      <x:c r="I162" s="26" t="str">
        <x:f>HYPERLINK("https://etp-aktiv.ru/catalog/materialy/zapasnye-chasti-i-prinadlezhnosti-dlya-priborov-kipia/2000541284-W121/","Открыть позицию")</x:f>
        <x:v>Открыть позицию</x:v>
      </x:c>
    </x:row>
    <x:row r="163" ht="28" customHeight="1">
      <x:c r="A163" s="16" t="str">
        <x:v>Филиал БТСК</x:v>
      </x:c>
      <x:c r="B163" s="16" t="str">
        <x:v>2000695059-W121</x:v>
      </x:c>
      <x:c r="C163" s="16" t="str">
        <x:v>ЯЩИК РУСМ8103-40А0А УХЛ1IP54 250*500*250</x:v>
      </x:c>
      <x:c r="D163" s="16" t="str">
        <x:v>Низковол апп-ра и ЗЧ</x:v>
      </x:c>
      <x:c r="E163" s="16" t="str">
        <x:v>ШТ</x:v>
      </x:c>
      <x:c r="F163" s="25" t="n">
        <x:v>3</x:v>
      </x:c>
      <x:c r="G163" s="17" t="n">
        <x:v>763.0246</x:v>
      </x:c>
      <x:c r="H163" s="17" t="n">
        <x:f>G163*F163</x:f>
        <x:v>2289.0738</x:v>
      </x:c>
      <x:c r="I163" s="26" t="str">
        <x:f>HYPERLINK("https://etp-aktiv.ru/catalog/materialy/nizkovoltnaya-apparatura-i-zapasnye-chasti/2000695059-W121/","Открыть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c5aa5e8f29514d21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МРО, механическое оборудование и ЗИП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5000067355-W111</x:v>
      </x:c>
      <x:c r="C5" s="16" t="str">
        <x:v>АГР НАС GRUNDFOS SLV.65.65.15.E.EX.2.50B</x:v>
      </x:c>
      <x:c r="D5" s="16" t="str">
        <x:v>НасосПогружныеЭнерге</x:v>
      </x:c>
      <x:c r="E5" s="16" t="str">
        <x:v>ШТ</x:v>
      </x:c>
      <x:c r="F5" s="25" t="n">
        <x:v>1</x:v>
      </x:c>
      <x:c r="G5" s="17" t="n">
        <x:v>45368.75</x:v>
      </x:c>
      <x:c r="H5" s="17" t="n">
        <x:f>G5*F5</x:f>
        <x:v>45368.75</x:v>
      </x:c>
      <x:c r="I5" s="26" t="str">
        <x:f>HYPERLINK("https://etp-aktiv.ru/catalog/materialy/nasosno-kompressornoe-oborudovanie/5000067355-W111/","Открыть позицию")</x:f>
        <x:v>Открыть позицию</x:v>
      </x:c>
    </x:row>
    <x:row r="6" ht="28" customHeight="1">
      <x:c r="A6" s="16" t="str">
        <x:v>Барнаульская ТЭЦ-2</x:v>
      </x:c>
      <x:c r="B6" s="16" t="str">
        <x:v>2000533346-W111</x:v>
      </x:c>
      <x:c r="C6" s="16" t="str">
        <x:v>АППАРАТ НАПР Н18.38.40.04 КСВ 320-160-2</x:v>
      </x:c>
      <x:c r="D6" s="16" t="str">
        <x:v>ЗЧ к энергетич насос</x:v>
      </x:c>
      <x:c r="E6" s="16" t="str">
        <x:v>ШТ</x:v>
      </x:c>
      <x:c r="F6" s="25" t="n">
        <x:v>4</x:v>
      </x:c>
      <x:c r="G6" s="17" t="n">
        <x:v>14576.706400000001</x:v>
      </x:c>
      <x:c r="H6" s="17" t="n">
        <x:f>G6*F6</x:f>
        <x:v>58306.825600000004</x:v>
      </x:c>
      <x:c r="I6" s="26" t="str">
        <x:f>HYPERLINK("https://etp-aktiv.ru/catalog/materialy/zapasnye-chasti-promyshlennogo-oborudovaniya/2000533346-W111/","Открыть позицию")</x:f>
        <x:v>Открыть позицию</x:v>
      </x:c>
    </x:row>
    <x:row r="7" ht="28" customHeight="1">
      <x:c r="A7" s="16" t="str">
        <x:v>Барнаульская ТЭЦ-2</x:v>
      </x:c>
      <x:c r="B7" s="16" t="str">
        <x:v>2000574299-W111</x:v>
      </x:c>
      <x:c r="C7" s="16" t="str">
        <x:v>ВАЛ ВЕДОМЫЙ 42125.02 НАСОСА НМШ12-25</x:v>
      </x:c>
      <x:c r="D7" s="16" t="str">
        <x:v>ЗЧ к гидравлич насос</x:v>
      </x:c>
      <x:c r="E7" s="16" t="str">
        <x:v>ШТ</x:v>
      </x:c>
      <x:c r="F7" s="25" t="n">
        <x:v>5</x:v>
      </x:c>
      <x:c r="G7" s="17" t="n">
        <x:v>7274.323200000001</x:v>
      </x:c>
      <x:c r="H7" s="17" t="n">
        <x:f>G7*F7</x:f>
        <x:v>36371.616</x:v>
      </x:c>
      <x:c r="I7" s="26" t="str">
        <x:f>HYPERLINK("https://etp-aktiv.ru/catalog/materialy/nasosno-kompressornoe-oborudovanie/2000574299-W111/","Открыть позицию")</x:f>
        <x:v>Открыть позицию</x:v>
      </x:c>
    </x:row>
    <x:row r="8" ht="28" customHeight="1">
      <x:c r="A8" s="16" t="str">
        <x:v>Барнаульская ТЭЦ-2</x:v>
      </x:c>
      <x:c r="B8" s="16" t="str">
        <x:v>2000574300-W111</x:v>
      </x:c>
      <x:c r="C8" s="16" t="str">
        <x:v>ВАЛ ВЕДУЩИЙ 42125.01 НАСОСА НМШ12-25</x:v>
      </x:c>
      <x:c r="D8" s="16" t="str">
        <x:v>ЗЧ к гидравлич насос</x:v>
      </x:c>
      <x:c r="E8" s="16" t="str">
        <x:v>ШТ</x:v>
      </x:c>
      <x:c r="F8" s="25" t="n">
        <x:v>6</x:v>
      </x:c>
      <x:c r="G8" s="17" t="n">
        <x:v>8474.8154</x:v>
      </x:c>
      <x:c r="H8" s="17" t="n">
        <x:f>G8*F8</x:f>
        <x:v>50848.8924</x:v>
      </x:c>
      <x:c r="I8" s="26" t="str">
        <x:f>HYPERLINK("https://etp-aktiv.ru/catalog/materialy/nasosno-kompressornoe-oborudovanie/2000574300-W111/","Открыть позицию")</x:f>
        <x:v>Открыть позицию</x:v>
      </x:c>
    </x:row>
    <x:row r="9" ht="28" customHeight="1">
      <x:c r="A9" s="16" t="str">
        <x:v>Барнаульская ТЭЦ-2</x:v>
      </x:c>
      <x:c r="B9" s="16" t="str">
        <x:v>2000526123-W111</x:v>
      </x:c>
      <x:c r="C9" s="16" t="str">
        <x:v>ВАЛ РЕДУКТОРА 32638</x:v>
      </x:c>
      <x:c r="D9" s="16" t="str">
        <x:v>ЗЧ вагоноопрокидыват</x:v>
      </x:c>
      <x:c r="E9" s="16" t="str">
        <x:v>ШТ</x:v>
      </x:c>
      <x:c r="F9" s="25" t="n">
        <x:v>2</x:v>
      </x:c>
      <x:c r="G9" s="17" t="n">
        <x:v>25866.0618</x:v>
      </x:c>
      <x:c r="H9" s="17" t="n">
        <x:f>G9*F9</x:f>
        <x:v>51732.1236</x:v>
      </x:c>
      <x:c r="I9" s="26" t="str">
        <x:f>HYPERLINK("https://etp-aktiv.ru/catalog/materialy/zapasnye-chasti-k-drobilno-sortirovochnomu-oborudovaniyu/2000526123-W111/","Открыть позицию")</x:f>
        <x:v>Открыть позицию</x:v>
      </x:c>
    </x:row>
    <x:row r="10" ht="28" customHeight="1">
      <x:c r="A10" s="16" t="str">
        <x:v>Барнаульская ТЭЦ-2</x:v>
      </x:c>
      <x:c r="B10" s="16" t="str">
        <x:v>2000533469-W111</x:v>
      </x:c>
      <x:c r="C10" s="16" t="str">
        <x:v>ВТУЛКА 155/60*130 7В-2А НАСОСА LNNV350</x:v>
      </x:c>
      <x:c r="D10" s="16" t="str">
        <x:v>ЗЧ к химичес насосам</x:v>
      </x:c>
      <x:c r="E10" s="16" t="str">
        <x:v>ШТ</x:v>
      </x:c>
      <x:c r="F10" s="25" t="n">
        <x:v>1</x:v>
      </x:c>
      <x:c r="G10" s="17" t="n">
        <x:v>12729.943599999999</x:v>
      </x:c>
      <x:c r="H10" s="17" t="n">
        <x:f>G10*F10</x:f>
        <x:v>12729.943599999999</x:v>
      </x:c>
      <x:c r="I10" s="26" t="str">
        <x:f>HYPERLINK("https://etp-aktiv.ru/catalog/materialy/zapasnye-chasti-promyshlennogo-oborudovaniya/2000533469-W111/","Открыть позицию")</x:f>
        <x:v>Открыть позицию</x:v>
      </x:c>
    </x:row>
    <x:row r="11" ht="28" customHeight="1">
      <x:c r="A11" s="16" t="str">
        <x:v>Барнаульская ТЭЦ-2</x:v>
      </x:c>
      <x:c r="B11" s="16" t="str">
        <x:v>2000526131-W111</x:v>
      </x:c>
      <x:c r="C11" s="16" t="str">
        <x:v>ВТУЛКА 32639</x:v>
      </x:c>
      <x:c r="D11" s="16" t="str">
        <x:v>ЗЧ вагоноопрокидыват</x:v>
      </x:c>
      <x:c r="E11" s="16" t="str">
        <x:v>ШТ</x:v>
      </x:c>
      <x:c r="F11" s="25" t="n">
        <x:v>2</x:v>
      </x:c>
      <x:c r="G11" s="17" t="n">
        <x:v>14995.2518</x:v>
      </x:c>
      <x:c r="H11" s="17" t="n">
        <x:f>G11*F11</x:f>
        <x:v>29990.5036</x:v>
      </x:c>
      <x:c r="I11" s="26" t="str">
        <x:f>HYPERLINK("https://etp-aktiv.ru/catalog/materialy/zapasnye-chasti-k-drobilno-sortirovochnomu-oborudovaniyu/2000526131-W111/","Открыть позицию")</x:f>
        <x:v>Открыть позицию</x:v>
      </x:c>
    </x:row>
    <x:row r="12" ht="28" customHeight="1">
      <x:c r="A12" s="16" t="str">
        <x:v>Барнаульская ТЭЦ-2</x:v>
      </x:c>
      <x:c r="B12" s="16" t="str">
        <x:v>2000556689-W111</x:v>
      </x:c>
      <x:c r="C12" s="16" t="str">
        <x:v>ВТУЛКА H3132</x:v>
      </x:c>
      <x:c r="D12" s="16" t="str">
        <x:v>Подшипники</x:v>
      </x:c>
      <x:c r="E12" s="16" t="str">
        <x:v>ШТ</x:v>
      </x:c>
      <x:c r="F12" s="25" t="n">
        <x:v>1</x:v>
      </x:c>
      <x:c r="G12" s="17" t="n">
        <x:v>6985.2076</x:v>
      </x:c>
      <x:c r="H12" s="17" t="n">
        <x:f>G12*F12</x:f>
        <x:v>6985.2076</x:v>
      </x:c>
      <x:c r="I12" s="26" t="str">
        <x:f>HYPERLINK("https://etp-aktiv.ru/catalog/materialy/podshipniki/2000556689-W111/","Открыть позицию")</x:f>
        <x:v>Открыть позицию</x:v>
      </x:c>
    </x:row>
    <x:row r="13" ht="28" customHeight="1">
      <x:c r="A13" s="16" t="str">
        <x:v>Барнаульская ТЭЦ-2</x:v>
      </x:c>
      <x:c r="B13" s="16" t="str">
        <x:v>2000533489-W111</x:v>
      </x:c>
      <x:c r="C13" s="16" t="str">
        <x:v>ВТУЛКА ГИДРОПЯТЫ Н17.33.111.02 ПЭ250-180</x:v>
      </x:c>
      <x:c r="D13" s="16" t="str">
        <x:v>ЗЧ к энергетич насос</x:v>
      </x:c>
      <x:c r="E13" s="16" t="str">
        <x:v>ШТ</x:v>
      </x:c>
      <x:c r="F13" s="25" t="n">
        <x:v>1</x:v>
      </x:c>
      <x:c r="G13" s="17" t="n">
        <x:v>14699.950799999999</x:v>
      </x:c>
      <x:c r="H13" s="17" t="n">
        <x:f>G13*F13</x:f>
        <x:v>14699.950799999999</x:v>
      </x:c>
      <x:c r="I13" s="26" t="str">
        <x:f>HYPERLINK("https://etp-aktiv.ru/catalog/materialy/zapasnye-chasti-promyshlennogo-oborudovaniya/2000533489-W111/","Открыть позицию")</x:f>
        <x:v>Открыть позицию</x:v>
      </x:c>
    </x:row>
    <x:row r="14" ht="28" customHeight="1">
      <x:c r="A14" s="16" t="str">
        <x:v>Барнаульская ТЭЦ-2</x:v>
      </x:c>
      <x:c r="B14" s="16" t="str">
        <x:v>2000533487-W111</x:v>
      </x:c>
      <x:c r="C14" s="16" t="str">
        <x:v>ВТУЛКА Н17.183.108.01Р ПЭ580-185-3</x:v>
      </x:c>
      <x:c r="D14" s="16" t="str">
        <x:v>ЗЧ к энергетич насос</x:v>
      </x:c>
      <x:c r="E14" s="16" t="str">
        <x:v>ШТ</x:v>
      </x:c>
      <x:c r="F14" s="25" t="n">
        <x:v>2</x:v>
      </x:c>
      <x:c r="G14" s="17" t="n">
        <x:v>31761.675199999998</x:v>
      </x:c>
      <x:c r="H14" s="17" t="n">
        <x:f>G14*F14</x:f>
        <x:v>63523.350399999996</x:v>
      </x:c>
      <x:c r="I14" s="26" t="str">
        <x:f>HYPERLINK("https://etp-aktiv.ru/catalog/materialy/zapasnye-chasti-promyshlennogo-oborudovaniya/2000533487-W111/","Открыть позицию")</x:f>
        <x:v>Открыть позицию</x:v>
      </x:c>
    </x:row>
    <x:row r="15" ht="28" customHeight="1">
      <x:c r="A15" s="16" t="str">
        <x:v>Барнаульская ТЭЦ-2</x:v>
      </x:c>
      <x:c r="B15" s="16" t="str">
        <x:v>2000533608-W111</x:v>
      </x:c>
      <x:c r="C15" s="16" t="str">
        <x:v>ВТУЛКА Н41.707.00.039 НАСОСА А13В16/25У3</x:v>
      </x:c>
      <x:c r="D15" s="16" t="str">
        <x:v>ЗЧ к энергетич насос</x:v>
      </x:c>
      <x:c r="E15" s="16" t="str">
        <x:v>ШТ</x:v>
      </x:c>
      <x:c r="F15" s="25" t="n">
        <x:v>8</x:v>
      </x:c>
      <x:c r="G15" s="17" t="n">
        <x:v>2143.6497999999997</x:v>
      </x:c>
      <x:c r="H15" s="17" t="n">
        <x:f>G15*F15</x:f>
        <x:v>17149.198399999997</x:v>
      </x:c>
      <x:c r="I15" s="26" t="str">
        <x:f>HYPERLINK("https://etp-aktiv.ru/catalog/materialy/zapasnye-chasti-promyshlennogo-oborudovaniya/2000533608-W111/","Открыть позицию")</x:f>
        <x:v>Открыть позицию</x:v>
      </x:c>
    </x:row>
    <x:row r="16" ht="28" customHeight="1">
      <x:c r="A16" s="16" t="str">
        <x:v>Барнаульская ТЭЦ-2</x:v>
      </x:c>
      <x:c r="B16" s="16" t="str">
        <x:v>2000533609-W111</x:v>
      </x:c>
      <x:c r="C16" s="16" t="str">
        <x:v>ВТУЛКА Н41.707.00.072 НАС А13В16/25</x:v>
      </x:c>
      <x:c r="D16" s="16" t="str">
        <x:v>ЗЧ к энергетич насос</x:v>
      </x:c>
      <x:c r="E16" s="16" t="str">
        <x:v>ШТ</x:v>
      </x:c>
      <x:c r="F16" s="25" t="n">
        <x:v>4</x:v>
      </x:c>
      <x:c r="G16" s="17" t="n">
        <x:v>2284.5719999999997</x:v>
      </x:c>
      <x:c r="H16" s="17" t="n">
        <x:f>G16*F16</x:f>
        <x:v>9138.287999999999</x:v>
      </x:c>
      <x:c r="I16" s="26" t="str">
        <x:f>HYPERLINK("https://etp-aktiv.ru/catalog/materialy/zapasnye-chasti-promyshlennogo-oborudovaniya/2000533609-W111/","Открыть позицию")</x:f>
        <x:v>Открыть позицию</x:v>
      </x:c>
    </x:row>
    <x:row r="17" ht="28" customHeight="1">
      <x:c r="A17" s="16" t="str">
        <x:v>Барнаульская ТЭЦ-2</x:v>
      </x:c>
      <x:c r="B17" s="16" t="str">
        <x:v>2000254701-W111</x:v>
      </x:c>
      <x:c r="C17" s="16" t="str">
        <x:v>ВТУЛКА НАСОСА Н17.183.102.03Р</x:v>
      </x:c>
      <x:c r="D17" s="16" t="str">
        <x:v>ЗЧ к энергетич насос</x:v>
      </x:c>
      <x:c r="E17" s="16" t="str">
        <x:v>ШТ</x:v>
      </x:c>
      <x:c r="F17" s="25" t="n">
        <x:v>2</x:v>
      </x:c>
      <x:c r="G17" s="17" t="n">
        <x:v>21207.8334</x:v>
      </x:c>
      <x:c r="H17" s="17" t="n">
        <x:f>G17*F17</x:f>
        <x:v>42415.6668</x:v>
      </x:c>
      <x:c r="I17" s="26" t="str">
        <x:f>HYPERLINK("https://etp-aktiv.ru/catalog/materialy/zapasnye-chasti-promyshlennogo-oborudovaniya/2000254701-W111/","Открыть позицию")</x:f>
        <x:v>Открыть позицию</x:v>
      </x:c>
    </x:row>
    <x:row r="18" ht="28" customHeight="1">
      <x:c r="A18" s="16" t="str">
        <x:v>Барнаульская ТЭЦ-2</x:v>
      </x:c>
      <x:c r="B18" s="16" t="str">
        <x:v>2000533772-W111</x:v>
      </x:c>
      <x:c r="C18" s="16" t="str">
        <x:v>ДИСК РАЗГРУЗОЧН Н17.59.101.04</x:v>
      </x:c>
      <x:c r="D18" s="16" t="str">
        <x:v>ЗЧ к энергетич насос</x:v>
      </x:c>
      <x:c r="E18" s="16" t="str">
        <x:v>ШТ</x:v>
      </x:c>
      <x:c r="F18" s="25" t="n">
        <x:v>1</x:v>
      </x:c>
      <x:c r="G18" s="17" t="n">
        <x:v>9526.858</x:v>
      </x:c>
      <x:c r="H18" s="17" t="n">
        <x:f>G18*F18</x:f>
        <x:v>9526.858</x:v>
      </x:c>
      <x:c r="I18" s="26" t="str">
        <x:f>HYPERLINK("https://etp-aktiv.ru/catalog/materialy/zapasnye-chasti-promyshlennogo-oborudovaniya/2000533772-W111/","Открыть позицию")</x:f>
        <x:v>Открыть позицию</x:v>
      </x:c>
    </x:row>
    <x:row r="19" ht="28" customHeight="1">
      <x:c r="A19" s="16" t="str">
        <x:v>Барнаульская ТЭЦ-2</x:v>
      </x:c>
      <x:c r="B19" s="16" t="str">
        <x:v>2000586012-W111</x:v>
      </x:c>
      <x:c r="C19" s="16" t="str">
        <x:v>ЗАЖИМ Д/ТРОСА 3ММ DIN741</x:v>
      </x:c>
      <x:c r="D19" s="16" t="str">
        <x:v>Такелажные изделия</x:v>
      </x:c>
      <x:c r="E19" s="16" t="str">
        <x:v>ШТ</x:v>
      </x:c>
      <x:c r="F19" s="25" t="n">
        <x:v>112</x:v>
      </x:c>
      <x:c r="G19" s="17" t="n">
        <x:v>7.429799999999999</x:v>
      </x:c>
      <x:c r="H19" s="17" t="n">
        <x:f>G19*F19</x:f>
        <x:v>832.1375999999999</x:v>
      </x:c>
      <x:c r="I19" s="26" t="str">
        <x:f>HYPERLINK("https://etp-aktiv.ru/catalog/materialy/zapasnye-chasti-k-gruzopodemnoj-tekhnike-oborudovaniyu-i-mekhanizmam/2000586012-W111/","Открыть позицию")</x:f>
        <x:v>Открыть позицию</x:v>
      </x:c>
    </x:row>
    <x:row r="20" ht="28" customHeight="1">
      <x:c r="A20" s="16" t="str">
        <x:v>Барнаульская ТЭЦ-2</x:v>
      </x:c>
      <x:c r="B20" s="16" t="str">
        <x:v>2000525970-W111</x:v>
      </x:c>
      <x:c r="C20" s="16" t="str">
        <x:v>ЗУБ 456.3.1.3</x:v>
      </x:c>
      <x:c r="D20" s="16" t="str">
        <x:v>ЗЧ дроб-сорт оборуд</x:v>
      </x:c>
      <x:c r="E20" s="16" t="str">
        <x:v>ШТ</x:v>
      </x:c>
      <x:c r="F20" s="25" t="n">
        <x:v>40</x:v>
      </x:c>
      <x:c r="G20" s="17" t="n">
        <x:v>281.3686</x:v>
      </x:c>
      <x:c r="H20" s="17" t="n">
        <x:f>G20*F20</x:f>
        <x:v>11254.744</x:v>
      </x:c>
      <x:c r="I20" s="26" t="str">
        <x:f>HYPERLINK("https://etp-aktiv.ru/catalog/materialy/zapasnye-chasti-k-drobilno-sortirovochnomu-oborudovaniyu/2000525970-W111/","Открыть позицию")</x:f>
        <x:v>Открыть позицию</x:v>
      </x:c>
    </x:row>
    <x:row r="21" ht="28" customHeight="1">
      <x:c r="A21" s="16" t="str">
        <x:v>Барнаульская ТЭЦ-2</x:v>
      </x:c>
      <x:c r="B21" s="16" t="str">
        <x:v>2000539555-W111</x:v>
      </x:c>
      <x:c r="C21" s="16" t="str">
        <x:v>КЛАПАН 15КЧ18П DN20 PN16 Р/П МУФТ А</x:v>
      </x:c>
      <x:c r="D21" s="16" t="str">
        <x:v>ЧугунАрмат (кр.затв)</x:v>
      </x:c>
      <x:c r="E21" s="16" t="str">
        <x:v>ШТ</x:v>
      </x:c>
      <x:c r="F21" s="25" t="n">
        <x:v>25</x:v>
      </x:c>
      <x:c r="G21" s="17" t="n">
        <x:v>172.874</x:v>
      </x:c>
      <x:c r="H21" s="17" t="n">
        <x:f>G21*F21</x:f>
        <x:v>4321.849999999999</x:v>
      </x:c>
      <x:c r="I21" s="26" t="str">
        <x:f>HYPERLINK("https://etp-aktiv.ru/catalog/materialy/truboprovodnaya-armatura-i-komplektuyushchie/2000539555-W111/","Открыть позицию")</x:f>
        <x:v>Открыть позицию</x:v>
      </x:c>
    </x:row>
    <x:row r="22" ht="28" customHeight="1">
      <x:c r="A22" s="16" t="str">
        <x:v>Барнаульская ТЭЦ-2</x:v>
      </x:c>
      <x:c r="B22" s="16" t="str">
        <x:v>2000539569-W111</x:v>
      </x:c>
      <x:c r="C22" s="16" t="str">
        <x:v>КЛАПАН 15КЧ33П DN32 PN16 Р/П МУФТ А</x:v>
      </x:c>
      <x:c r="D22" s="16" t="str">
        <x:v>ЧугунАрмат (кр.затв)</x:v>
      </x:c>
      <x:c r="E22" s="16" t="str">
        <x:v>ШТ</x:v>
      </x:c>
      <x:c r="F22" s="25" t="n">
        <x:v>2</x:v>
      </x:c>
      <x:c r="G22" s="17" t="n">
        <x:v>112.2034</x:v>
      </x:c>
      <x:c r="H22" s="17" t="n">
        <x:f>G22*F22</x:f>
        <x:v>224.4068</x:v>
      </x:c>
      <x:c r="I22" s="26" t="str">
        <x:f>HYPERLINK("https://etp-aktiv.ru/catalog/materialy/truboprovodnaya-armatura-i-komplektuyushchie/2000539569-W111/","Открыть позицию")</x:f>
        <x:v>Открыть позицию</x:v>
      </x:c>
    </x:row>
    <x:row r="23" ht="28" customHeight="1">
      <x:c r="A23" s="16" t="str">
        <x:v>Барнаульская ТЭЦ-2</x:v>
      </x:c>
      <x:c r="B23" s="16" t="str">
        <x:v>2000539570-W111</x:v>
      </x:c>
      <x:c r="C23" s="16" t="str">
        <x:v>КЛАПАН 15КЧ33П DN40 PN16 Р/П МУФТ А</x:v>
      </x:c>
      <x:c r="D23" s="16" t="str">
        <x:v>ЧугунАрмат (кр.затв)</x:v>
      </x:c>
      <x:c r="E23" s="16" t="str">
        <x:v>ШТ</x:v>
      </x:c>
      <x:c r="F23" s="25" t="n">
        <x:v>2</x:v>
      </x:c>
      <x:c r="G23" s="17" t="n">
        <x:v>417.0082</x:v>
      </x:c>
      <x:c r="H23" s="17" t="n">
        <x:f>G23*F23</x:f>
        <x:v>834.0164</x:v>
      </x:c>
      <x:c r="I23" s="26" t="str">
        <x:f>HYPERLINK("https://etp-aktiv.ru/catalog/materialy/truboprovodnaya-armatura-i-komplektuyushchie/2000539570-W111/","Открыть позицию")</x:f>
        <x:v>Открыть позицию</x:v>
      </x:c>
    </x:row>
    <x:row r="24" ht="28" customHeight="1">
      <x:c r="A24" s="16" t="str">
        <x:v>Барнаульская ТЭЦ-2</x:v>
      </x:c>
      <x:c r="B24" s="16" t="str">
        <x:v>2000533822-W111</x:v>
      </x:c>
      <x:c r="C24" s="16" t="str">
        <x:v>КОЛЕСО ПРЕДВКЛ Н18.93.111.04 КСВ 125-55</x:v>
      </x:c>
      <x:c r="D24" s="16" t="str">
        <x:v>ЗЧ к энергетич насос</x:v>
      </x:c>
      <x:c r="E24" s="16" t="str">
        <x:v>ШТ</x:v>
      </x:c>
      <x:c r="F24" s="25" t="n">
        <x:v>1</x:v>
      </x:c>
      <x:c r="G24" s="17" t="n">
        <x:v>13903.5226</x:v>
      </x:c>
      <x:c r="H24" s="17" t="n">
        <x:f>G24*F24</x:f>
        <x:v>13903.5226</x:v>
      </x:c>
      <x:c r="I24" s="26" t="str">
        <x:f>HYPERLINK("https://etp-aktiv.ru/catalog/materialy/zapasnye-chasti-promyshlennogo-oborudovaniya/2000533822-W111/","Открыть позицию")</x:f>
        <x:v>Открыть позицию</x:v>
      </x:c>
    </x:row>
    <x:row r="25" ht="28" customHeight="1">
      <x:c r="A25" s="16" t="str">
        <x:v>Барнаульская ТЭЦ-2</x:v>
      </x:c>
      <x:c r="B25" s="16" t="str">
        <x:v>2000533851-W111</x:v>
      </x:c>
      <x:c r="C25" s="16" t="str">
        <x:v>КОЛЕСО РАБОЧЕЕ 6МС-6-0118-1 ЦНС</x:v>
      </x:c>
      <x:c r="D25" s="16" t="str">
        <x:v>ЗЧ к энергетич насос</x:v>
      </x:c>
      <x:c r="E25" s="16" t="str">
        <x:v>ШТ</x:v>
      </x:c>
      <x:c r="F25" s="25" t="n">
        <x:v>1</x:v>
      </x:c>
      <x:c r="G25" s="17" t="n">
        <x:v>7891.875</x:v>
      </x:c>
      <x:c r="H25" s="17" t="n">
        <x:f>G25*F25</x:f>
        <x:v>7891.875</x:v>
      </x:c>
      <x:c r="I25" s="26" t="str">
        <x:f>HYPERLINK("https://etp-aktiv.ru/catalog/materialy/zapasnye-chasti-promyshlennogo-oborudovaniya/2000533851-W111/","Открыть позицию")</x:f>
        <x:v>Открыть позицию</x:v>
      </x:c>
    </x:row>
    <x:row r="26" ht="28" customHeight="1">
      <x:c r="A26" s="16" t="str">
        <x:v>Барнаульская ТЭЦ-2</x:v>
      </x:c>
      <x:c r="B26" s="16" t="str">
        <x:v>2000533964-W111</x:v>
      </x:c>
      <x:c r="C26" s="16" t="str">
        <x:v>КОЛЕСО РАБОЧЕЕ 6МС-60129 ЦНС-180</x:v>
      </x:c>
      <x:c r="D26" s="16" t="str">
        <x:v>ЗЧ к энергетич насос</x:v>
      </x:c>
      <x:c r="E26" s="16" t="str">
        <x:v>ШТ</x:v>
      </x:c>
      <x:c r="F26" s="25" t="n">
        <x:v>1</x:v>
      </x:c>
      <x:c r="G26" s="17" t="n">
        <x:v>7891.875</x:v>
      </x:c>
      <x:c r="H26" s="17" t="n">
        <x:f>G26*F26</x:f>
        <x:v>7891.875</x:v>
      </x:c>
      <x:c r="I26" s="26" t="str">
        <x:f>HYPERLINK("https://etp-aktiv.ru/catalog/materialy/zapasnye-chasti-promyshlennogo-oborudovaniya/2000533964-W111/","Открыть позицию")</x:f>
        <x:v>Открыть позицию</x:v>
      </x:c>
    </x:row>
    <x:row r="27" ht="28" customHeight="1">
      <x:c r="A27" s="16" t="str">
        <x:v>Барнаульская ТЭЦ-2</x:v>
      </x:c>
      <x:c r="B27" s="16" t="str">
        <x:v>2000640225-W111</x:v>
      </x:c>
      <x:c r="C27" s="16" t="str">
        <x:v>КОЛЕСО ЧЕРВЯЧНОЕ 41872.01.00</x:v>
      </x:c>
      <x:c r="D27" s="16" t="str">
        <x:v>Детали редукторов</x:v>
      </x:c>
      <x:c r="E27" s="16" t="str">
        <x:v>ШТ</x:v>
      </x:c>
      <x:c r="F27" s="25" t="n">
        <x:v>3</x:v>
      </x:c>
      <x:c r="G27" s="17" t="n">
        <x:v>9598.0572</x:v>
      </x:c>
      <x:c r="H27" s="17" t="n">
        <x:f>G27*F27</x:f>
        <x:v>28794.171599999998</x:v>
      </x:c>
      <x:c r="I27" s="26" t="str">
        <x:f>HYPERLINK("https://etp-aktiv.ru/catalog/materialy/reduktory/2000640225-W111/","Открыть позицию")</x:f>
        <x:v>Открыть позицию</x:v>
      </x:c>
    </x:row>
    <x:row r="28" ht="28" customHeight="1">
      <x:c r="A28" s="16" t="str">
        <x:v>Барнаульская ТЭЦ-2</x:v>
      </x:c>
      <x:c r="B28" s="16" t="str">
        <x:v>2000240668-W111</x:v>
      </x:c>
      <x:c r="C28" s="16" t="str">
        <x:v>КОЛЕСО ЧЕРВЯЧНОЕ РЧО-1,1-200</x:v>
      </x:c>
      <x:c r="D28" s="16" t="str">
        <x:v>ЗЧ к гидравлич насос</x:v>
      </x:c>
      <x:c r="E28" s="16" t="str">
        <x:v>ШТ</x:v>
      </x:c>
      <x:c r="F28" s="25" t="n">
        <x:v>3</x:v>
      </x:c>
      <x:c r="G28" s="17" t="n">
        <x:v>9378.018</x:v>
      </x:c>
      <x:c r="H28" s="17" t="n">
        <x:f>G28*F28</x:f>
        <x:v>28134.054</x:v>
      </x:c>
      <x:c r="I28" s="26" t="str">
        <x:f>HYPERLINK("https://etp-aktiv.ru/catalog/materialy/nasosno-kompressornoe-oborudovanie/2000240668-W111/","Открыть позицию")</x:f>
        <x:v>Открыть позицию</x:v>
      </x:c>
    </x:row>
    <x:row r="29" ht="28" customHeight="1">
      <x:c r="A29" s="16" t="str">
        <x:v>Барнаульская ТЭЦ-2</x:v>
      </x:c>
      <x:c r="B29" s="16" t="str">
        <x:v>2000649571-W111</x:v>
      </x:c>
      <x:c r="C29" s="16" t="str">
        <x:v>КОЛЬЦО FRB 16,5/270</x:v>
      </x:c>
      <x:c r="D29" s="16" t="str">
        <x:v>Подшипники</x:v>
      </x:c>
      <x:c r="E29" s="16" t="str">
        <x:v>ШТ</x:v>
      </x:c>
      <x:c r="F29" s="25" t="n">
        <x:v>2</x:v>
      </x:c>
      <x:c r="G29" s="17" t="n">
        <x:v>1406.9528</x:v>
      </x:c>
      <x:c r="H29" s="17" t="n">
        <x:f>G29*F29</x:f>
        <x:v>2813.9056</x:v>
      </x:c>
      <x:c r="I29" s="26" t="str">
        <x:f>HYPERLINK("https://etp-aktiv.ru/catalog/materialy/podshipniki/2000649571-W111/","Открыть позицию")</x:f>
        <x:v>Открыть позицию</x:v>
      </x:c>
    </x:row>
    <x:row r="30" ht="28" customHeight="1">
      <x:c r="A30" s="16" t="str">
        <x:v>Барнаульская ТЭЦ-2</x:v>
      </x:c>
      <x:c r="B30" s="16" t="str">
        <x:v>2000534042-W111</x:v>
      </x:c>
      <x:c r="C30" s="16" t="str">
        <x:v>КОЛЬЦО Н03.3.304.01.01.002 1Д315-50</x:v>
      </x:c>
      <x:c r="D30" s="16" t="str">
        <x:v>ЗЧ к энергетич насос</x:v>
      </x:c>
      <x:c r="E30" s="16" t="str">
        <x:v>ШТ</x:v>
      </x:c>
      <x:c r="F30" s="25" t="n">
        <x:v>2</x:v>
      </x:c>
      <x:c r="G30" s="17" t="n">
        <x:v>1784.25</x:v>
      </x:c>
      <x:c r="H30" s="17" t="n">
        <x:f>G30*F30</x:f>
        <x:v>3568.5</x:v>
      </x:c>
      <x:c r="I30" s="26" t="str">
        <x:f>HYPERLINK("https://etp-aktiv.ru/catalog/materialy/zapasnye-chasti-promyshlennogo-oborudovaniya/2000534042-W111/","Открыть позицию")</x:f>
        <x:v>Открыть позицию</x:v>
      </x:c>
    </x:row>
    <x:row r="31" ht="28" customHeight="1">
      <x:c r="A31" s="16" t="str">
        <x:v>Барнаульская ТЭЦ-2</x:v>
      </x:c>
      <x:c r="B31" s="16" t="str">
        <x:v>2000534069-W111</x:v>
      </x:c>
      <x:c r="C31" s="16" t="str">
        <x:v>КОЛЬЦО Н83.27.00.013 НАСОСА А1 3В 16/25</x:v>
      </x:c>
      <x:c r="D31" s="16" t="str">
        <x:v>ЗЧ к энергетич насос</x:v>
      </x:c>
      <x:c r="E31" s="16" t="str">
        <x:v>ШТ</x:v>
      </x:c>
      <x:c r="F31" s="25" t="n">
        <x:v>4</x:v>
      </x:c>
      <x:c r="G31" s="17" t="n">
        <x:v>196.237</x:v>
      </x:c>
      <x:c r="H31" s="17" t="n">
        <x:f>G31*F31</x:f>
        <x:v>784.948</x:v>
      </x:c>
      <x:c r="I31" s="26" t="str">
        <x:f>HYPERLINK("https://etp-aktiv.ru/catalog/materialy/zapasnye-chasti-promyshlennogo-oborudovaniya/2000534069-W111/","Открыть позицию")</x:f>
        <x:v>Открыть позицию</x:v>
      </x:c>
    </x:row>
    <x:row r="32" ht="28" customHeight="1">
      <x:c r="A32" s="16" t="str">
        <x:v>Барнаульская ТЭЦ-2</x:v>
      </x:c>
      <x:c r="B32" s="16" t="str">
        <x:v>2000909927-W111</x:v>
      </x:c>
      <x:c r="C32" s="16" t="str">
        <x:v>КОЛЬЦО ПРОСТАВОЧНОЕ 41369.02</x:v>
      </x:c>
      <x:c r="D32" s="16" t="str">
        <x:v>ЗЧ грузоподъемн обор</x:v>
      </x:c>
      <x:c r="E32" s="16" t="str">
        <x:v>ШТ</x:v>
      </x:c>
      <x:c r="F32" s="25" t="n">
        <x:v>7</x:v>
      </x:c>
      <x:c r="G32" s="17" t="n">
        <x:v>3843</x:v>
      </x:c>
      <x:c r="H32" s="17" t="n">
        <x:f>G32*F32</x:f>
        <x:v>26901</x:v>
      </x:c>
      <x:c r="I32" s="26" t="str">
        <x:f>HYPERLINK("https://etp-aktiv.ru/catalog/materialy/zapasnye-chasti-k-gruzopodemnoj-tekhnike-oborudovaniyu-i-mekhanizmam/2000909927-W111/","Открыть позицию")</x:f>
        <x:v>Открыть позицию</x:v>
      </x:c>
    </x:row>
    <x:row r="33" ht="28" customHeight="1">
      <x:c r="A33" s="16" t="str">
        <x:v>Барнаульская ТЭЦ-2</x:v>
      </x:c>
      <x:c r="B33" s="16" t="str">
        <x:v>2000593055-W111</x:v>
      </x:c>
      <x:c r="C33" s="16" t="str">
        <x:v>КОЛЬЦО РЕЗИН ПЭ500-180-3 115*5 СТП86-75</x:v>
      </x:c>
      <x:c r="D33" s="16" t="str">
        <x:v>ЗЧ к энергетич насос</x:v>
      </x:c>
      <x:c r="E33" s="16" t="str">
        <x:v>ШТ</x:v>
      </x:c>
      <x:c r="F33" s="25" t="n">
        <x:v>11</x:v>
      </x:c>
      <x:c r="G33" s="17" t="n">
        <x:v>160.125</x:v>
      </x:c>
      <x:c r="H33" s="17" t="n">
        <x:f>G33*F33</x:f>
        <x:v>1761.375</x:v>
      </x:c>
      <x:c r="I33" s="26" t="str">
        <x:f>HYPERLINK("https://etp-aktiv.ru/catalog/materialy/zapasnye-chasti-promyshlennogo-oborudovaniya/2000593055-W111/","Открыть позицию")</x:f>
        <x:v>Открыть позицию</x:v>
      </x:c>
    </x:row>
    <x:row r="34" ht="28" customHeight="1">
      <x:c r="A34" s="16" t="str">
        <x:v>Барнаульская ТЭЦ-2</x:v>
      </x:c>
      <x:c r="B34" s="16" t="str">
        <x:v>2000593056-W111</x:v>
      </x:c>
      <x:c r="C34" s="16" t="str">
        <x:v>КОЛЬЦО РЕЗИН ПЭ500-180-3 116*3 СТП86-75</x:v>
      </x:c>
      <x:c r="D34" s="16" t="str">
        <x:v>ЗЧ к энергетич насос</x:v>
      </x:c>
      <x:c r="E34" s="16" t="str">
        <x:v>ШТ</x:v>
      </x:c>
      <x:c r="F34" s="25" t="n">
        <x:v>6</x:v>
      </x:c>
      <x:c r="G34" s="17" t="n">
        <x:v>166.2494</x:v>
      </x:c>
      <x:c r="H34" s="17" t="n">
        <x:f>G34*F34</x:f>
        <x:v>997.4964</x:v>
      </x:c>
      <x:c r="I34" s="26" t="str">
        <x:f>HYPERLINK("https://etp-aktiv.ru/catalog/materialy/zapasnye-chasti-promyshlennogo-oborudovaniya/2000593056-W111/","Открыть позицию")</x:f>
        <x:v>Открыть позицию</x:v>
      </x:c>
    </x:row>
    <x:row r="35" ht="28" customHeight="1">
      <x:c r="A35" s="16" t="str">
        <x:v>Барнаульская ТЭЦ-2</x:v>
      </x:c>
      <x:c r="B35" s="16" t="str">
        <x:v>2000593057-W111</x:v>
      </x:c>
      <x:c r="C35" s="16" t="str">
        <x:v>КОЛЬЦО РЕЗИН ПЭ500-180-3 150*5 СТП86-75</x:v>
      </x:c>
      <x:c r="D35" s="16" t="str">
        <x:v>ЗЧ к энергетич насос</x:v>
      </x:c>
      <x:c r="E35" s="16" t="str">
        <x:v>ШТ</x:v>
      </x:c>
      <x:c r="F35" s="25" t="n">
        <x:v>12</x:v>
      </x:c>
      <x:c r="G35" s="17" t="n">
        <x:v>193.6628</x:v>
      </x:c>
      <x:c r="H35" s="17" t="n">
        <x:f>G35*F35</x:f>
        <x:v>2323.9536</x:v>
      </x:c>
      <x:c r="I35" s="26" t="str">
        <x:f>HYPERLINK("https://etp-aktiv.ru/catalog/materialy/zapasnye-chasti-promyshlennogo-oborudovaniya/2000593057-W111/","Открыть позицию")</x:f>
        <x:v>Открыть позицию</x:v>
      </x:c>
    </x:row>
    <x:row r="36" ht="28" customHeight="1">
      <x:c r="A36" s="16" t="str">
        <x:v>Барнаульская ТЭЦ-2</x:v>
      </x:c>
      <x:c r="B36" s="16" t="str">
        <x:v>2000593271-W111</x:v>
      </x:c>
      <x:c r="C36" s="16" t="str">
        <x:v>КОЛЬЦО РЕЗИН ПЭ500-180-3 442*5 СТП86-75</x:v>
      </x:c>
      <x:c r="D36" s="16" t="str">
        <x:v>ЗЧ к энергетич насос</x:v>
      </x:c>
      <x:c r="E36" s="16" t="str">
        <x:v>ШТ</x:v>
      </x:c>
      <x:c r="F36" s="25" t="n">
        <x:v>4</x:v>
      </x:c>
      <x:c r="G36" s="17" t="n">
        <x:v>581.147</x:v>
      </x:c>
      <x:c r="H36" s="17" t="n">
        <x:f>G36*F36</x:f>
        <x:v>2324.588</x:v>
      </x:c>
      <x:c r="I36" s="26" t="str">
        <x:f>HYPERLINK("https://etp-aktiv.ru/catalog/materialy/zapasnye-chasti-promyshlennogo-oborudovaniya/2000593271-W111/","Открыть позицию")</x:f>
        <x:v>Открыть позицию</x:v>
      </x:c>
    </x:row>
    <x:row r="37" ht="28" customHeight="1">
      <x:c r="A37" s="16" t="str">
        <x:v>Барнаульская ТЭЦ-2</x:v>
      </x:c>
      <x:c r="B37" s="16" t="str">
        <x:v>2000593272-W111</x:v>
      </x:c>
      <x:c r="C37" s="16" t="str">
        <x:v>КОЛЬЦО РЕЗИН ПЭ500-180-3 520*8 СТП86-75</x:v>
      </x:c>
      <x:c r="D37" s="16" t="str">
        <x:v>ЗЧ к энергетич насос</x:v>
      </x:c>
      <x:c r="E37" s="16" t="str">
        <x:v>ШТ</x:v>
      </x:c>
      <x:c r="F37" s="25" t="n">
        <x:v>6</x:v>
      </x:c>
      <x:c r="G37" s="17" t="n">
        <x:v>699.975</x:v>
      </x:c>
      <x:c r="H37" s="17" t="n">
        <x:f>G37*F37</x:f>
        <x:v>4199.85</x:v>
      </x:c>
      <x:c r="I37" s="26" t="str">
        <x:f>HYPERLINK("https://etp-aktiv.ru/catalog/materialy/zapasnye-chasti-promyshlennogo-oborudovaniya/2000593272-W111/","Открыть позицию")</x:f>
        <x:v>Открыть позицию</x:v>
      </x:c>
    </x:row>
    <x:row r="38" ht="28" customHeight="1">
      <x:c r="A38" s="16" t="str">
        <x:v>Барнаульская ТЭЦ-2</x:v>
      </x:c>
      <x:c r="B38" s="16" t="str">
        <x:v>2000593273-W111</x:v>
      </x:c>
      <x:c r="C38" s="16" t="str">
        <x:v>КОЛЬЦО РЕЗИН ПЭ500-180-3 540*8 СТП86-75</x:v>
      </x:c>
      <x:c r="D38" s="16" t="str">
        <x:v>ЗЧ к энергетич насос</x:v>
      </x:c>
      <x:c r="E38" s="16" t="str">
        <x:v>ШТ</x:v>
      </x:c>
      <x:c r="F38" s="25" t="n">
        <x:v>39</x:v>
      </x:c>
      <x:c r="G38" s="17" t="n">
        <x:v>817.9368000000001</x:v>
      </x:c>
      <x:c r="H38" s="17" t="n">
        <x:f>G38*F38</x:f>
        <x:v>31899.535200000002</x:v>
      </x:c>
      <x:c r="I38" s="26" t="str">
        <x:f>HYPERLINK("https://etp-aktiv.ru/catalog/materialy/zapasnye-chasti-promyshlennogo-oborudovaniya/2000593273-W111/","Открыть позицию")</x:f>
        <x:v>Открыть позицию</x:v>
      </x:c>
    </x:row>
    <x:row r="39" ht="28" customHeight="1">
      <x:c r="A39" s="16" t="str">
        <x:v>Барнаульская ТЭЦ-2</x:v>
      </x:c>
      <x:c r="B39" s="16" t="str">
        <x:v>2000593274-W111</x:v>
      </x:c>
      <x:c r="C39" s="16" t="str">
        <x:v>КОЛЬЦО РЕЗИН ПЭ500-180-3 630*5 СТП86-75</x:v>
      </x:c>
      <x:c r="D39" s="16" t="str">
        <x:v>ЗЧ к энергетич насос</x:v>
      </x:c>
      <x:c r="E39" s="16" t="str">
        <x:v>ШТ</x:v>
      </x:c>
      <x:c r="F39" s="25" t="n">
        <x:v>18</x:v>
      </x:c>
      <x:c r="G39" s="17" t="n">
        <x:v>809.592</x:v>
      </x:c>
      <x:c r="H39" s="17" t="n">
        <x:f>G39*F39</x:f>
        <x:v>14572.655999999999</x:v>
      </x:c>
      <x:c r="I39" s="26" t="str">
        <x:f>HYPERLINK("https://etp-aktiv.ru/catalog/materialy/zapasnye-chasti-promyshlennogo-oborudovaniya/2000593274-W111/","Открыть позицию")</x:f>
        <x:v>Открыть позицию</x:v>
      </x:c>
    </x:row>
    <x:row r="40" ht="28" customHeight="1">
      <x:c r="A40" s="16" t="str">
        <x:v>Барнаульская ТЭЦ-2</x:v>
      </x:c>
      <x:c r="B40" s="16" t="str">
        <x:v>2000567265-W111</x:v>
      </x:c>
      <x:c r="C40" s="16" t="str">
        <x:v>КОЛЬЦО РЕЗИНОВОЕ 80*6,3 У0061 НАС ЦНС</x:v>
      </x:c>
      <x:c r="D40" s="16" t="str">
        <x:v>ЗЧ к энергетич насос</x:v>
      </x:c>
      <x:c r="E40" s="16" t="str">
        <x:v>ШТ</x:v>
      </x:c>
      <x:c r="F40" s="25" t="n">
        <x:v>4</x:v>
      </x:c>
      <x:c r="G40" s="17" t="n">
        <x:v>111.4104</x:v>
      </x:c>
      <x:c r="H40" s="17" t="n">
        <x:f>G40*F40</x:f>
        <x:v>445.6416</x:v>
      </x:c>
      <x:c r="I40" s="26" t="str">
        <x:f>HYPERLINK("https://etp-aktiv.ru/catalog/materialy/zapasnye-chasti-promyshlennogo-oborudovaniya/2000567265-W111/","Открыть позицию")</x:f>
        <x:v>Открыть позицию</x:v>
      </x:c>
    </x:row>
    <x:row r="41" ht="28" customHeight="1">
      <x:c r="A41" s="16" t="str">
        <x:v>Барнаульская ТЭЦ-2</x:v>
      </x:c>
      <x:c r="B41" s="16" t="str">
        <x:v>2000534220-W111</x:v>
      </x:c>
      <x:c r="C41" s="16" t="str">
        <x:v>КОЛЬЦО УПЛ 806.20.152.01 ПЭ500-180-3-Т</x:v>
      </x:c>
      <x:c r="D41" s="16" t="str">
        <x:v>ЗЧ к энергетич насос</x:v>
      </x:c>
      <x:c r="E41" s="16" t="str">
        <x:v>ШТ</x:v>
      </x:c>
      <x:c r="F41" s="25" t="n">
        <x:v>1</x:v>
      </x:c>
      <x:c r="G41" s="17" t="n">
        <x:v>25374.0968</x:v>
      </x:c>
      <x:c r="H41" s="17" t="n">
        <x:f>G41*F41</x:f>
        <x:v>25374.0968</x:v>
      </x:c>
      <x:c r="I41" s="26" t="str">
        <x:f>HYPERLINK("https://etp-aktiv.ru/catalog/materialy/zapasnye-chasti-promyshlennogo-oborudovaniya/2000534220-W111/","Открыть позицию")</x:f>
        <x:v>Открыть позицию</x:v>
      </x:c>
    </x:row>
    <x:row r="42" ht="28" customHeight="1">
      <x:c r="A42" s="16" t="str">
        <x:v>Барнаульская ТЭЦ-2</x:v>
      </x:c>
      <x:c r="B42" s="16" t="str">
        <x:v>2000474906-W111</x:v>
      </x:c>
      <x:c r="C42" s="16" t="str">
        <x:v>КОУШ D3 DIN6899</x:v>
      </x:c>
      <x:c r="D42" s="16" t="str">
        <x:v>Такелажные изделия</x:v>
      </x:c>
      <x:c r="E42" s="16" t="str">
        <x:v>ШТ</x:v>
      </x:c>
      <x:c r="F42" s="25" t="n">
        <x:v>2</x:v>
      </x:c>
      <x:c r="G42" s="17" t="n">
        <x:v>4.7702</x:v>
      </x:c>
      <x:c r="H42" s="17" t="n">
        <x:f>G42*F42</x:f>
        <x:v>9.5404</x:v>
      </x:c>
      <x:c r="I42" s="26" t="str">
        <x:f>HYPERLINK("https://etp-aktiv.ru/catalog/materialy/zapasnye-chasti-k-gruzopodemnoj-tekhnike-oborudovaniyu-i-mekhanizmam/2000474906-W111/","Открыть позицию")</x:f>
        <x:v>Открыть позицию</x:v>
      </x:c>
    </x:row>
    <x:row r="43" ht="28" customHeight="1">
      <x:c r="A43" s="16" t="str">
        <x:v>Барнаульская ТЭЦ-2</x:v>
      </x:c>
      <x:c r="B43" s="16" t="str">
        <x:v>2000138347-W111</x:v>
      </x:c>
      <x:c r="C43" s="16" t="str">
        <x:v>КРУГ ОТРЕЗНОЙ 180*3*32 13А</x:v>
      </x:c>
      <x:c r="D43" s="16" t="str">
        <x:v>Инструмент и спецосн</x:v>
      </x:c>
      <x:c r="E43" s="16" t="str">
        <x:v>ШТ</x:v>
      </x:c>
      <x:c r="F43" s="25" t="n">
        <x:v>9</x:v>
      </x:c>
      <x:c r="G43" s="17" t="n">
        <x:v>29.2556</x:v>
      </x:c>
      <x:c r="H43" s="17" t="n">
        <x:f>G43*F43</x:f>
        <x:v>263.3004</x:v>
      </x:c>
      <x:c r="I43" s="26" t="str">
        <x:f>HYPERLINK("https://etp-aktiv.ru/catalog/materialy/instrument-i-specosnastka/2000138347-W111/","Открыть позицию")</x:f>
        <x:v>Открыть позицию</x:v>
      </x:c>
    </x:row>
    <x:row r="44" ht="28" customHeight="1">
      <x:c r="A44" s="16" t="str">
        <x:v>Барнаульская ТЭЦ-2</x:v>
      </x:c>
      <x:c r="B44" s="16" t="str">
        <x:v>2000138134-W111</x:v>
      </x:c>
      <x:c r="C44" s="16" t="str">
        <x:v>КРУГ ОТРЕЗНОЙ 400*4*32 13А</x:v>
      </x:c>
      <x:c r="D44" s="16" t="str">
        <x:v>Инструмент и спецосн</x:v>
      </x:c>
      <x:c r="E44" s="16" t="str">
        <x:v>ШТ</x:v>
      </x:c>
      <x:c r="F44" s="25" t="n">
        <x:v>2</x:v>
      </x:c>
      <x:c r="G44" s="17" t="n">
        <x:v>155.794</x:v>
      </x:c>
      <x:c r="H44" s="17" t="n">
        <x:f>G44*F44</x:f>
        <x:v>311.588</x:v>
      </x:c>
      <x:c r="I44" s="26" t="str">
        <x:f>HYPERLINK("https://etp-aktiv.ru/catalog/materialy/instrument-i-specosnastka/2000138134-W111/","Открыть позицию")</x:f>
        <x:v>Открыть позицию</x:v>
      </x:c>
    </x:row>
    <x:row r="45" ht="28" customHeight="1">
      <x:c r="A45" s="16" t="str">
        <x:v>Барнаульская ТЭЦ-2</x:v>
      </x:c>
      <x:c r="B45" s="16" t="str">
        <x:v>2000581314-W111</x:v>
      </x:c>
      <x:c r="C45" s="16" t="str">
        <x:v>КРУГ ШЛИФОВАЛЬНЫЙ 200*20*32 25А 63</x:v>
      </x:c>
      <x:c r="D45" s="16" t="str">
        <x:v>Инструмент и спецосн</x:v>
      </x:c>
      <x:c r="E45" s="16" t="str">
        <x:v>ШТ</x:v>
      </x:c>
      <x:c r="F45" s="25" t="n">
        <x:v>1</x:v>
      </x:c>
      <x:c r="G45" s="17" t="n">
        <x:v>171.8004</x:v>
      </x:c>
      <x:c r="H45" s="17" t="n">
        <x:f>G45*F45</x:f>
        <x:v>171.8004</x:v>
      </x:c>
      <x:c r="I45" s="26" t="str">
        <x:f>HYPERLINK("https://etp-aktiv.ru/catalog/materialy/instrument-i-specosnastka/2000581314-W111/","Открыть позицию")</x:f>
        <x:v>Открыть позицию</x:v>
      </x:c>
    </x:row>
    <x:row r="46" ht="28" customHeight="1">
      <x:c r="A46" s="16" t="str">
        <x:v>Барнаульская ТЭЦ-2</x:v>
      </x:c>
      <x:c r="B46" s="16" t="str">
        <x:v>2000913974-W111</x:v>
      </x:c>
      <x:c r="C46" s="16" t="str">
        <x:v>ЛЕНТА МАГНИТНАЯ БЕЗ КЛЕЕВ СЛОЯ 10*2ММ</x:v>
      </x:c>
      <x:c r="D46" s="16" t="str">
        <x:v>Инструмент и спецосн</x:v>
      </x:c>
      <x:c r="E46" s="16" t="str">
        <x:v>М</x:v>
      </x:c>
      <x:c r="F46" s="25" t="n">
        <x:v>27</x:v>
      </x:c>
      <x:c r="G46" s="17" t="n">
        <x:v>58.9382</x:v>
      </x:c>
      <x:c r="H46" s="17" t="n">
        <x:f>G46*F46</x:f>
        <x:v>1591.3314</x:v>
      </x:c>
      <x:c r="I46" s="26" t="str">
        <x:f>HYPERLINK("https://etp-aktiv.ru/catalog/materialy/instrument-i-specosnastka/2000913974-W111/","Открыть позицию")</x:f>
        <x:v>Открыть позицию</x:v>
      </x:c>
    </x:row>
    <x:row r="47" ht="28" customHeight="1">
      <x:c r="A47" s="16" t="str">
        <x:v>Барнаульская ТЭЦ-2</x:v>
      </x:c>
      <x:c r="B47" s="16" t="str">
        <x:v>2000571474-W111</x:v>
      </x:c>
      <x:c r="C47" s="16" t="str">
        <x:v>НАСОС СТРУЙН ТУ-3560М1 ПОДАЧИ ГИДРАЗИНА</x:v>
      </x:c>
      <x:c r="D47" s="16" t="str">
        <x:v>ЗЧ спецоборудования</x:v>
      </x:c>
      <x:c r="E47" s="16" t="str">
        <x:v>ШТ</x:v>
      </x:c>
      <x:c r="F47" s="25" t="n">
        <x:v>1</x:v>
      </x:c>
      <x:c r="G47" s="17" t="n">
        <x:v>27952.335</x:v>
      </x:c>
      <x:c r="H47" s="17" t="n">
        <x:f>G47*F47</x:f>
        <x:v>27952.335</x:v>
      </x:c>
      <x:c r="I47" s="26" t="str">
        <x:f>HYPERLINK("https://etp-aktiv.ru/catalog/materialy/zapasnye-chasti-promyshlennogo-oborudovaniya/2000571474-W111/","Открыть позицию")</x:f>
        <x:v>Открыть позицию</x:v>
      </x:c>
    </x:row>
    <x:row r="48" ht="28" customHeight="1">
      <x:c r="A48" s="16" t="str">
        <x:v>Барнаульская ТЭЦ-2</x:v>
      </x:c>
      <x:c r="B48" s="16" t="str">
        <x:v>2000112684-W111</x:v>
      </x:c>
      <x:c r="C48" s="16" t="str">
        <x:v>НАСОС ШЕСТЕРЕННЫЙ Г11-22</x:v>
      </x:c>
      <x:c r="D48" s="16" t="str">
        <x:v>ЗЧ к инструмен насос</x:v>
      </x:c>
      <x:c r="E48" s="16" t="str">
        <x:v>ШТ</x:v>
      </x:c>
      <x:c r="F48" s="25" t="n">
        <x:v>1</x:v>
      </x:c>
      <x:c r="G48" s="17" t="n">
        <x:v>1704.2546</x:v>
      </x:c>
      <x:c r="H48" s="17" t="n">
        <x:f>G48*F48</x:f>
        <x:v>1704.2546</x:v>
      </x:c>
      <x:c r="I48" s="26" t="str">
        <x:f>HYPERLINK("https://etp-aktiv.ru/catalog/materialy/nasosno-kompressornoe-oborudovanie/2000112684-W111/","Открыть позицию")</x:f>
        <x:v>Открыть позицию</x:v>
      </x:c>
    </x:row>
    <x:row r="49" ht="28" customHeight="1">
      <x:c r="A49" s="16" t="str">
        <x:v>Барнаульская ТЭЦ-2</x:v>
      </x:c>
      <x:c r="B49" s="16" t="str">
        <x:v>2000534415-W111</x:v>
      </x:c>
      <x:c r="C49" s="16" t="str">
        <x:v>ПОДПЯТНИК Н41.198.00.018 А13В16/25У3</x:v>
      </x:c>
      <x:c r="D49" s="16" t="str">
        <x:v>ЗЧ к гидравлич насос</x:v>
      </x:c>
      <x:c r="E49" s="16" t="str">
        <x:v>ШТ</x:v>
      </x:c>
      <x:c r="F49" s="25" t="n">
        <x:v>4</x:v>
      </x:c>
      <x:c r="G49" s="17" t="n">
        <x:v>1446.7248</x:v>
      </x:c>
      <x:c r="H49" s="17" t="n">
        <x:f>G49*F49</x:f>
        <x:v>5786.8992</x:v>
      </x:c>
      <x:c r="I49" s="26" t="str">
        <x:f>HYPERLINK("https://etp-aktiv.ru/catalog/materialy/nasosno-kompressornoe-oborudovanie/2000534415-W111/","Открыть позицию")</x:f>
        <x:v>Открыть позицию</x:v>
      </x:c>
    </x:row>
    <x:row r="50" ht="28" customHeight="1">
      <x:c r="A50" s="16" t="str">
        <x:v>Барнаульская ТЭЦ-2</x:v>
      </x:c>
      <x:c r="B50" s="16" t="str">
        <x:v>2000534423-W111</x:v>
      </x:c>
      <x:c r="C50" s="16" t="str">
        <x:v>ПОДУШКА ГИДРОПЯТЫ Н17.59.108.03</x:v>
      </x:c>
      <x:c r="D50" s="16" t="str">
        <x:v>ЗЧ к энергетич насос</x:v>
      </x:c>
      <x:c r="E50" s="16" t="str">
        <x:v>ШТ</x:v>
      </x:c>
      <x:c r="F50" s="25" t="n">
        <x:v>1</x:v>
      </x:c>
      <x:c r="G50" s="17" t="n">
        <x:v>27318.6304</x:v>
      </x:c>
      <x:c r="H50" s="17" t="n">
        <x:f>G50*F50</x:f>
        <x:v>27318.6304</x:v>
      </x:c>
      <x:c r="I50" s="26" t="str">
        <x:f>HYPERLINK("https://etp-aktiv.ru/catalog/materialy/zapasnye-chasti-promyshlennogo-oborudovaniya/2000534423-W111/","Открыть позицию")</x:f>
        <x:v>Открыть позицию</x:v>
      </x:c>
    </x:row>
    <x:row r="51" ht="28" customHeight="1">
      <x:c r="A51" s="16" t="str">
        <x:v>Барнаульская ТЭЦ-2</x:v>
      </x:c>
      <x:c r="B51" s="16" t="str">
        <x:v>2000073035-W111</x:v>
      </x:c>
      <x:c r="C51" s="16" t="str">
        <x:v>ПОДШИПНИК 1027336</x:v>
      </x:c>
      <x:c r="D51" s="16" t="str">
        <x:v>Подшипники</x:v>
      </x:c>
      <x:c r="E51" s="16" t="str">
        <x:v>ШТ</x:v>
      </x:c>
      <x:c r="F51" s="25" t="n">
        <x:v>4</x:v>
      </x:c>
      <x:c r="G51" s="17" t="n">
        <x:v>5479.2884</x:v>
      </x:c>
      <x:c r="H51" s="17" t="n">
        <x:f>G51*F51</x:f>
        <x:v>21917.1536</x:v>
      </x:c>
      <x:c r="I51" s="26" t="str">
        <x:f>HYPERLINK("https://etp-aktiv.ru/catalog/materialy/podshipniki/2000073035-W111/","Открыть позицию")</x:f>
        <x:v>Открыть позицию</x:v>
      </x:c>
    </x:row>
    <x:row r="52" ht="28" customHeight="1">
      <x:c r="A52" s="16" t="str">
        <x:v>Барнаульская ТЭЦ-2</x:v>
      </x:c>
      <x:c r="B52" s="16" t="str">
        <x:v>2000454029-W111</x:v>
      </x:c>
      <x:c r="C52" s="16" t="str">
        <x:v>ПОДШИПНИК 1318</x:v>
      </x:c>
      <x:c r="D52" s="16" t="str">
        <x:v>Подшипники</x:v>
      </x:c>
      <x:c r="E52" s="16" t="str">
        <x:v>ШТ</x:v>
      </x:c>
      <x:c r="F52" s="25" t="n">
        <x:v>2</x:v>
      </x:c>
      <x:c r="G52" s="17" t="n">
        <x:v>775.4685999999999</x:v>
      </x:c>
      <x:c r="H52" s="17" t="n">
        <x:f>G52*F52</x:f>
        <x:v>1550.9371999999998</x:v>
      </x:c>
      <x:c r="I52" s="26" t="str">
        <x:f>HYPERLINK("https://etp-aktiv.ru/catalog/materialy/podshipniki/2000454029-W111/","Открыть позицию")</x:f>
        <x:v>Открыть позицию</x:v>
      </x:c>
    </x:row>
    <x:row r="53" ht="28" customHeight="1">
      <x:c r="A53" s="16" t="str">
        <x:v>Барнаульская ТЭЦ-2</x:v>
      </x:c>
      <x:c r="B53" s="16" t="str">
        <x:v>2000127303-W111</x:v>
      </x:c>
      <x:c r="C53" s="16" t="str">
        <x:v>ПОДШИПНИК 13528</x:v>
      </x:c>
      <x:c r="D53" s="16" t="str">
        <x:v>Подшипники</x:v>
      </x:c>
      <x:c r="E53" s="16" t="str">
        <x:v>ШТ</x:v>
      </x:c>
      <x:c r="F53" s="25" t="n">
        <x:v>2</x:v>
      </x:c>
      <x:c r="G53" s="17" t="n">
        <x:v>6761.2522</x:v>
      </x:c>
      <x:c r="H53" s="17" t="n">
        <x:f>G53*F53</x:f>
        <x:v>13522.5044</x:v>
      </x:c>
      <x:c r="I53" s="26" t="str">
        <x:f>HYPERLINK("https://etp-aktiv.ru/catalog/materialy/podshipniki/2000127303-W111/","Открыть позицию")</x:f>
        <x:v>Открыть позицию</x:v>
      </x:c>
    </x:row>
    <x:row r="54" ht="28" customHeight="1">
      <x:c r="A54" s="16" t="str">
        <x:v>Барнаульская ТЭЦ-2</x:v>
      </x:c>
      <x:c r="B54" s="16" t="str">
        <x:v>2000455616-W111</x:v>
      </x:c>
      <x:c r="C54" s="16" t="str">
        <x:v>ПОДШИПНИК 1515 2RS</x:v>
      </x:c>
      <x:c r="D54" s="16" t="str">
        <x:v>Подшипники</x:v>
      </x:c>
      <x:c r="E54" s="16" t="str">
        <x:v>ШТ</x:v>
      </x:c>
      <x:c r="F54" s="25" t="n">
        <x:v>2</x:v>
      </x:c>
      <x:c r="G54" s="17" t="n">
        <x:v>303.0968</x:v>
      </x:c>
      <x:c r="H54" s="17" t="n">
        <x:f>G54*F54</x:f>
        <x:v>606.1936</x:v>
      </x:c>
      <x:c r="I54" s="26" t="str">
        <x:f>HYPERLINK("https://etp-aktiv.ru/catalog/materialy/podshipniki/2000455616-W111/","Открыть позицию")</x:f>
        <x:v>Открыть позицию</x:v>
      </x:c>
    </x:row>
    <x:row r="55" ht="28" customHeight="1">
      <x:c r="A55" s="16" t="str">
        <x:v>Барнаульская ТЭЦ-2</x:v>
      </x:c>
      <x:c r="B55" s="16" t="str">
        <x:v>2000116383-W111</x:v>
      </x:c>
      <x:c r="C55" s="16" t="str">
        <x:v>ПОДШИПНИК 180210</x:v>
      </x:c>
      <x:c r="D55" s="16" t="str">
        <x:v>Подшипники</x:v>
      </x:c>
      <x:c r="E55" s="16" t="str">
        <x:v>ШТ</x:v>
      </x:c>
      <x:c r="F55" s="25" t="n">
        <x:v>2</x:v>
      </x:c>
      <x:c r="G55" s="17" t="n">
        <x:v>83.1674</x:v>
      </x:c>
      <x:c r="H55" s="17" t="n">
        <x:f>G55*F55</x:f>
        <x:v>166.3348</x:v>
      </x:c>
      <x:c r="I55" s="26" t="str">
        <x:f>HYPERLINK("https://etp-aktiv.ru/catalog/materialy/podshipniki/2000116383-W111/","Открыть позицию")</x:f>
        <x:v>Открыть позицию</x:v>
      </x:c>
    </x:row>
    <x:row r="56" ht="28" customHeight="1">
      <x:c r="A56" s="16" t="str">
        <x:v>Барнаульская ТЭЦ-2</x:v>
      </x:c>
      <x:c r="B56" s="16" t="str">
        <x:v>2000116561-W111</x:v>
      </x:c>
      <x:c r="C56" s="16" t="str">
        <x:v>ПОДШИПНИК 180314</x:v>
      </x:c>
      <x:c r="D56" s="16" t="str">
        <x:v>Подшипники</x:v>
      </x:c>
      <x:c r="E56" s="16" t="str">
        <x:v>ШТ</x:v>
      </x:c>
      <x:c r="F56" s="25" t="n">
        <x:v>2</x:v>
      </x:c>
      <x:c r="G56" s="17" t="n">
        <x:v>348.859</x:v>
      </x:c>
      <x:c r="H56" s="17" t="n">
        <x:f>G56*F56</x:f>
        <x:v>697.718</x:v>
      </x:c>
      <x:c r="I56" s="26" t="str">
        <x:f>HYPERLINK("https://etp-aktiv.ru/catalog/materialy/podshipniki/2000116561-W111/","Открыть позицию")</x:f>
        <x:v>Открыть позицию</x:v>
      </x:c>
    </x:row>
    <x:row r="57" ht="28" customHeight="1">
      <x:c r="A57" s="16" t="str">
        <x:v>Барнаульская ТЭЦ-2</x:v>
      </x:c>
      <x:c r="B57" s="16" t="str">
        <x:v>2000116907-W111</x:v>
      </x:c>
      <x:c r="C57" s="16" t="str">
        <x:v>ПОДШИПНИК 180603</x:v>
      </x:c>
      <x:c r="D57" s="16" t="str">
        <x:v>Подшипники</x:v>
      </x:c>
      <x:c r="E57" s="16" t="str">
        <x:v>ШТ</x:v>
      </x:c>
      <x:c r="F57" s="25" t="n">
        <x:v>6</x:v>
      </x:c>
      <x:c r="G57" s="17" t="n">
        <x:v>50.324999999999996</x:v>
      </x:c>
      <x:c r="H57" s="17" t="n">
        <x:f>G57*F57</x:f>
        <x:v>301.95</x:v>
      </x:c>
      <x:c r="I57" s="26" t="str">
        <x:f>HYPERLINK("https://etp-aktiv.ru/catalog/materialy/podshipniki/2000116907-W111/","Открыть позицию")</x:f>
        <x:v>Открыть позицию</x:v>
      </x:c>
    </x:row>
    <x:row r="58" ht="28" customHeight="1">
      <x:c r="A58" s="16" t="str">
        <x:v>Барнаульская ТЭЦ-2</x:v>
      </x:c>
      <x:c r="B58" s="16" t="str">
        <x:v>2000116495-W111</x:v>
      </x:c>
      <x:c r="C58" s="16" t="str">
        <x:v>ПОДШИПНИК 180610</x:v>
      </x:c>
      <x:c r="D58" s="16" t="str">
        <x:v>Подшипники</x:v>
      </x:c>
      <x:c r="E58" s="16" t="str">
        <x:v>ШТ</x:v>
      </x:c>
      <x:c r="F58" s="25" t="n">
        <x:v>2</x:v>
      </x:c>
      <x:c r="G58" s="17" t="n">
        <x:v>1083.7504000000001</x:v>
      </x:c>
      <x:c r="H58" s="17" t="n">
        <x:f>G58*F58</x:f>
        <x:v>2167.5008000000003</x:v>
      </x:c>
      <x:c r="I58" s="26" t="str">
        <x:f>HYPERLINK("https://etp-aktiv.ru/catalog/materialy/podshipniki/2000116495-W111/","Открыть позицию")</x:f>
        <x:v>Открыть позицию</x:v>
      </x:c>
    </x:row>
    <x:row r="59" ht="28" customHeight="1">
      <x:c r="A59" s="16" t="str">
        <x:v>Барнаульская ТЭЦ-2</x:v>
      </x:c>
      <x:c r="B59" s="16" t="str">
        <x:v>2000034320-W111</x:v>
      </x:c>
      <x:c r="C59" s="16" t="str">
        <x:v>ПОДШИПНИК 2007128</x:v>
      </x:c>
      <x:c r="D59" s="16" t="str">
        <x:v>Подшипники</x:v>
      </x:c>
      <x:c r="E59" s="16" t="str">
        <x:v>ШТ</x:v>
      </x:c>
      <x:c r="F59" s="25" t="n">
        <x:v>1</x:v>
      </x:c>
      <x:c r="G59" s="17" t="n">
        <x:v>1202.4564</x:v>
      </x:c>
      <x:c r="H59" s="17" t="n">
        <x:f>G59*F59</x:f>
        <x:v>1202.4564</x:v>
      </x:c>
      <x:c r="I59" s="26" t="str">
        <x:f>HYPERLINK("https://etp-aktiv.ru/catalog/materialy/podshipniki/2000034320-W111/","Открыть позицию")</x:f>
        <x:v>Открыть позицию</x:v>
      </x:c>
    </x:row>
    <x:row r="60" ht="28" customHeight="1">
      <x:c r="A60" s="16" t="str">
        <x:v>Барнаульская ТЭЦ-2</x:v>
      </x:c>
      <x:c r="B60" s="16" t="str">
        <x:v>2000116773-W111</x:v>
      </x:c>
      <x:c r="C60" s="16" t="str">
        <x:v>ПОДШИПНИК 2007144</x:v>
      </x:c>
      <x:c r="D60" s="16" t="str">
        <x:v>Подшипники</x:v>
      </x:c>
      <x:c r="E60" s="16" t="str">
        <x:v>ШТ</x:v>
      </x:c>
      <x:c r="F60" s="25" t="n">
        <x:v>2</x:v>
      </x:c>
      <x:c r="G60" s="17" t="n">
        <x:v>5619.551799999999</x:v>
      </x:c>
      <x:c r="H60" s="17" t="n">
        <x:f>G60*F60</x:f>
        <x:v>11239.103599999999</x:v>
      </x:c>
      <x:c r="I60" s="26" t="str">
        <x:f>HYPERLINK("https://etp-aktiv.ru/catalog/materialy/podshipniki/2000116773-W111/","Открыть позицию")</x:f>
        <x:v>Открыть позицию</x:v>
      </x:c>
    </x:row>
    <x:row r="61" ht="28" customHeight="1">
      <x:c r="A61" s="16" t="str">
        <x:v>Барнаульская ТЭЦ-2</x:v>
      </x:c>
      <x:c r="B61" s="16" t="str">
        <x:v>2000073049-W111</x:v>
      </x:c>
      <x:c r="C61" s="16" t="str">
        <x:v>ПОДШИПНИК 2007928</x:v>
      </x:c>
      <x:c r="D61" s="16" t="str">
        <x:v>Подшипники</x:v>
      </x:c>
      <x:c r="E61" s="16" t="str">
        <x:v>ШТ</x:v>
      </x:c>
      <x:c r="F61" s="25" t="n">
        <x:v>2</x:v>
      </x:c>
      <x:c r="G61" s="17" t="n">
        <x:v>781.0562</x:v>
      </x:c>
      <x:c r="H61" s="17" t="n">
        <x:f>G61*F61</x:f>
        <x:v>1562.1124</x:v>
      </x:c>
      <x:c r="I61" s="26" t="str">
        <x:f>HYPERLINK("https://etp-aktiv.ru/catalog/materialy/podshipniki/2000073049-W111/","Открыть позицию")</x:f>
        <x:v>Открыть позицию</x:v>
      </x:c>
    </x:row>
    <x:row r="62" ht="28" customHeight="1">
      <x:c r="A62" s="16" t="str">
        <x:v>Барнаульская ТЭЦ-2</x:v>
      </x:c>
      <x:c r="B62" s="16" t="str">
        <x:v>2000034345-W111</x:v>
      </x:c>
      <x:c r="C62" s="16" t="str">
        <x:v>ПОДШИПНИК 2230</x:v>
      </x:c>
      <x:c r="D62" s="16" t="str">
        <x:v>Подшипники</x:v>
      </x:c>
      <x:c r="E62" s="16" t="str">
        <x:v>ШТ</x:v>
      </x:c>
      <x:c r="F62" s="25" t="n">
        <x:v>2</x:v>
      </x:c>
      <x:c r="G62" s="17" t="n">
        <x:v>2546.1766000000002</x:v>
      </x:c>
      <x:c r="H62" s="17" t="n">
        <x:f>G62*F62</x:f>
        <x:v>5092.3532000000005</x:v>
      </x:c>
      <x:c r="I62" s="26" t="str">
        <x:f>HYPERLINK("https://etp-aktiv.ru/catalog/materialy/podshipniki/2000034345-W111/","Открыть позицию")</x:f>
        <x:v>Открыть позицию</x:v>
      </x:c>
    </x:row>
    <x:row r="63" ht="28" customHeight="1">
      <x:c r="A63" s="16" t="str">
        <x:v>Барнаульская ТЭЦ-2</x:v>
      </x:c>
      <x:c r="B63" s="16" t="str">
        <x:v>2000116667-W111</x:v>
      </x:c>
      <x:c r="C63" s="16" t="str">
        <x:v>ПОДШИПНИК 228</x:v>
      </x:c>
      <x:c r="D63" s="16" t="str">
        <x:v>Подшипники</x:v>
      </x:c>
      <x:c r="E63" s="16" t="str">
        <x:v>ШТ</x:v>
      </x:c>
      <x:c r="F63" s="25" t="n">
        <x:v>26</x:v>
      </x:c>
      <x:c r="G63" s="17" t="n">
        <x:v>2569.1736</x:v>
      </x:c>
      <x:c r="H63" s="17" t="n">
        <x:f>G63*F63</x:f>
        <x:v>66798.5136</x:v>
      </x:c>
      <x:c r="I63" s="26" t="str">
        <x:f>HYPERLINK("https://etp-aktiv.ru/catalog/materialy/podshipniki/2000116667-W111/","Открыть позицию")</x:f>
        <x:v>Открыть позицию</x:v>
      </x:c>
    </x:row>
    <x:row r="64" ht="28" customHeight="1">
      <x:c r="A64" s="16" t="str">
        <x:v>Барнаульская ТЭЦ-2</x:v>
      </x:c>
      <x:c r="B64" s="16" t="str">
        <x:v>2000116863-W111</x:v>
      </x:c>
      <x:c r="C64" s="16" t="str">
        <x:v>ПОДШИПНИК 230</x:v>
      </x:c>
      <x:c r="D64" s="16" t="str">
        <x:v>Подшипники</x:v>
      </x:c>
      <x:c r="E64" s="16" t="str">
        <x:v>ШТ</x:v>
      </x:c>
      <x:c r="F64" s="25" t="n">
        <x:v>1</x:v>
      </x:c>
      <x:c r="G64" s="17" t="n">
        <x:v>3054.6969999999997</x:v>
      </x:c>
      <x:c r="H64" s="17" t="n">
        <x:f>G64*F64</x:f>
        <x:v>3054.6969999999997</x:v>
      </x:c>
      <x:c r="I64" s="26" t="str">
        <x:f>HYPERLINK("https://etp-aktiv.ru/catalog/materialy/podshipniki/2000116863-W111/","Открыть позицию")</x:f>
        <x:v>Открыть позицию</x:v>
      </x:c>
    </x:row>
    <x:row r="65" ht="28" customHeight="1">
      <x:c r="A65" s="16" t="str">
        <x:v>Барнаульская ТЭЦ-2</x:v>
      </x:c>
      <x:c r="B65" s="16" t="str">
        <x:v>2000174223-W111</x:v>
      </x:c>
      <x:c r="C65" s="16" t="str">
        <x:v>ПОДШИПНИК 32208</x:v>
      </x:c>
      <x:c r="D65" s="16" t="str">
        <x:v>Подшипники</x:v>
      </x:c>
      <x:c r="E65" s="16" t="str">
        <x:v>ШТ</x:v>
      </x:c>
      <x:c r="F65" s="25" t="n">
        <x:v>2</x:v>
      </x:c>
      <x:c r="G65" s="17" t="n">
        <x:v>119.499</x:v>
      </x:c>
      <x:c r="H65" s="17" t="n">
        <x:f>G65*F65</x:f>
        <x:v>238.998</x:v>
      </x:c>
      <x:c r="I65" s="26" t="str">
        <x:f>HYPERLINK("https://etp-aktiv.ru/catalog/materialy/podshipniki/2000174223-W111/","Открыть позицию")</x:f>
        <x:v>Открыть позицию</x:v>
      </x:c>
    </x:row>
    <x:row r="66" ht="28" customHeight="1">
      <x:c r="A66" s="16" t="str">
        <x:v>Барнаульская ТЭЦ-2</x:v>
      </x:c>
      <x:c r="B66" s="16" t="str">
        <x:v>2000005662-W111</x:v>
      </x:c>
      <x:c r="C66" s="16" t="str">
        <x:v>ПОДШИПНИК 32309</x:v>
      </x:c>
      <x:c r="D66" s="16" t="str">
        <x:v>Подшипники</x:v>
      </x:c>
      <x:c r="E66" s="16" t="str">
        <x:v>ШТ</x:v>
      </x:c>
      <x:c r="F66" s="25" t="n">
        <x:v>1</x:v>
      </x:c>
      <x:c r="G66" s="17" t="n">
        <x:v>72.6388</x:v>
      </x:c>
      <x:c r="H66" s="17" t="n">
        <x:f>G66*F66</x:f>
        <x:v>72.6388</x:v>
      </x:c>
      <x:c r="I66" s="26" t="str">
        <x:f>HYPERLINK("https://etp-aktiv.ru/catalog/materialy/podshipniki/2000005662-W111/","Открыть позицию")</x:f>
        <x:v>Открыть позицию</x:v>
      </x:c>
    </x:row>
    <x:row r="67" ht="28" customHeight="1">
      <x:c r="A67" s="16" t="str">
        <x:v>Барнаульская ТЭЦ-2</x:v>
      </x:c>
      <x:c r="B67" s="16" t="str">
        <x:v>2000151401-W111</x:v>
      </x:c>
      <x:c r="C67" s="16" t="str">
        <x:v>ПОДШИПНИК 3536 АМНК</x:v>
      </x:c>
      <x:c r="D67" s="16" t="str">
        <x:v>Подшипники</x:v>
      </x:c>
      <x:c r="E67" s="16" t="str">
        <x:v>ШТ</x:v>
      </x:c>
      <x:c r="F67" s="25" t="n">
        <x:v>7</x:v>
      </x:c>
      <x:c r="G67" s="17" t="n">
        <x:v>6496.5</x:v>
      </x:c>
      <x:c r="H67" s="17" t="n">
        <x:f>G67*F67</x:f>
        <x:v>45475.5</x:v>
      </x:c>
      <x:c r="I67" s="26" t="str">
        <x:f>HYPERLINK("https://etp-aktiv.ru/catalog/materialy/podshipniki/2000151401-W111/","Открыть позицию")</x:f>
        <x:v>Открыть позицию</x:v>
      </x:c>
    </x:row>
    <x:row r="68" ht="28" customHeight="1">
      <x:c r="A68" s="16" t="str">
        <x:v>Барнаульская ТЭЦ-2</x:v>
      </x:c>
      <x:c r="B68" s="16" t="str">
        <x:v>2000116647-W111</x:v>
      </x:c>
      <x:c r="C68" s="16" t="str">
        <x:v>ПОДШИПНИК 3614</x:v>
      </x:c>
      <x:c r="D68" s="16" t="str">
        <x:v>Подшипники</x:v>
      </x:c>
      <x:c r="E68" s="16" t="str">
        <x:v>ШТ</x:v>
      </x:c>
      <x:c r="F68" s="25" t="n">
        <x:v>2</x:v>
      </x:c>
      <x:c r="G68" s="17" t="n">
        <x:v>1253.0254</x:v>
      </x:c>
      <x:c r="H68" s="17" t="n">
        <x:f>G68*F68</x:f>
        <x:v>2506.0508</x:v>
      </x:c>
      <x:c r="I68" s="26" t="str">
        <x:f>HYPERLINK("https://etp-aktiv.ru/catalog/materialy/podshipniki/2000116647-W111/","Открыть позицию")</x:f>
        <x:v>Открыть позицию</x:v>
      </x:c>
    </x:row>
    <x:row r="69" ht="28" customHeight="1">
      <x:c r="A69" s="16" t="str">
        <x:v>Барнаульская ТЭЦ-2</x:v>
      </x:c>
      <x:c r="B69" s="16" t="str">
        <x:v>2000289108-W111</x:v>
      </x:c>
      <x:c r="C69" s="16" t="str">
        <x:v>ПОДШИПНИК 3632Н</x:v>
      </x:c>
      <x:c r="D69" s="16" t="str">
        <x:v>Подшипники</x:v>
      </x:c>
      <x:c r="E69" s="16" t="str">
        <x:v>ШТ</x:v>
      </x:c>
      <x:c r="F69" s="25" t="n">
        <x:v>1</x:v>
      </x:c>
      <x:c r="G69" s="17" t="n">
        <x:v>8935.5484</x:v>
      </x:c>
      <x:c r="H69" s="17" t="n">
        <x:f>G69*F69</x:f>
        <x:v>8935.5484</x:v>
      </x:c>
      <x:c r="I69" s="26" t="str">
        <x:f>HYPERLINK("https://etp-aktiv.ru/catalog/materialy/podshipniki/2000289108-W111/","Открыть позицию")</x:f>
        <x:v>Открыть позицию</x:v>
      </x:c>
    </x:row>
    <x:row r="70" ht="28" customHeight="1">
      <x:c r="A70" s="16" t="str">
        <x:v>Барнаульская ТЭЦ-2</x:v>
      </x:c>
      <x:c r="B70" s="16" t="str">
        <x:v>2000208809-W111</x:v>
      </x:c>
      <x:c r="C70" s="16" t="str">
        <x:v>ПОДШИПНИК 3634АМН</x:v>
      </x:c>
      <x:c r="D70" s="16" t="str">
        <x:v>Подшипники</x:v>
      </x:c>
      <x:c r="E70" s="16" t="str">
        <x:v>ШТ</x:v>
      </x:c>
      <x:c r="F70" s="25" t="n">
        <x:v>1</x:v>
      </x:c>
      <x:c r="G70" s="17" t="n">
        <x:v>16614.5212</x:v>
      </x:c>
      <x:c r="H70" s="17" t="n">
        <x:f>G70*F70</x:f>
        <x:v>16614.5212</x:v>
      </x:c>
      <x:c r="I70" s="26" t="str">
        <x:f>HYPERLINK("https://etp-aktiv.ru/catalog/materialy/podshipniki/2000208809-W111/","Открыть позицию")</x:f>
        <x:v>Открыть позицию</x:v>
      </x:c>
    </x:row>
    <x:row r="71" ht="28" customHeight="1">
      <x:c r="A71" s="16" t="str">
        <x:v>Барнаульская ТЭЦ-2</x:v>
      </x:c>
      <x:c r="B71" s="16" t="str">
        <x:v>2000574443-W111</x:v>
      </x:c>
      <x:c r="C71" s="16" t="str">
        <x:v>ПОДШИПНИК 409 Ш5</x:v>
      </x:c>
      <x:c r="D71" s="16" t="str">
        <x:v>Подшипники</x:v>
      </x:c>
      <x:c r="E71" s="16" t="str">
        <x:v>ШТ</x:v>
      </x:c>
      <x:c r="F71" s="25" t="n">
        <x:v>4</x:v>
      </x:c>
      <x:c r="G71" s="17" t="n">
        <x:v>862.2106</x:v>
      </x:c>
      <x:c r="H71" s="17" t="n">
        <x:f>G71*F71</x:f>
        <x:v>3448.8424</x:v>
      </x:c>
      <x:c r="I71" s="26" t="str">
        <x:f>HYPERLINK("https://etp-aktiv.ru/catalog/materialy/podshipniki/2000574443-W111/","Открыть позицию")</x:f>
        <x:v>Открыть позицию</x:v>
      </x:c>
    </x:row>
    <x:row r="72" ht="28" customHeight="1">
      <x:c r="A72" s="16" t="str">
        <x:v>Барнаульская ТЭЦ-2</x:v>
      </x:c>
      <x:c r="B72" s="16" t="str">
        <x:v>2000116566-W111</x:v>
      </x:c>
      <x:c r="C72" s="16" t="str">
        <x:v>ПОДШИПНИК 42215</x:v>
      </x:c>
      <x:c r="D72" s="16" t="str">
        <x:v>Подшипники</x:v>
      </x:c>
      <x:c r="E72" s="16" t="str">
        <x:v>ШТ</x:v>
      </x:c>
      <x:c r="F72" s="25" t="n">
        <x:v>2</x:v>
      </x:c>
      <x:c r="G72" s="17" t="n">
        <x:v>337.635</x:v>
      </x:c>
      <x:c r="H72" s="17" t="n">
        <x:f>G72*F72</x:f>
        <x:v>675.27</x:v>
      </x:c>
      <x:c r="I72" s="26" t="str">
        <x:f>HYPERLINK("https://etp-aktiv.ru/catalog/materialy/podshipniki/2000116566-W111/","Открыть позицию")</x:f>
        <x:v>Открыть позицию</x:v>
      </x:c>
    </x:row>
    <x:row r="73" ht="28" customHeight="1">
      <x:c r="A73" s="16" t="str">
        <x:v>Барнаульская ТЭЦ-2</x:v>
      </x:c>
      <x:c r="B73" s="16" t="str">
        <x:v>2000116777-W111</x:v>
      </x:c>
      <x:c r="C73" s="16" t="str">
        <x:v>ПОДШИПНИК 42328</x:v>
      </x:c>
      <x:c r="D73" s="16" t="str">
        <x:v>Подшипники</x:v>
      </x:c>
      <x:c r="E73" s="16" t="str">
        <x:v>ШТ</x:v>
      </x:c>
      <x:c r="F73" s="25" t="n">
        <x:v>2</x:v>
      </x:c>
      <x:c r="G73" s="17" t="n">
        <x:v>5899.4929999999995</x:v>
      </x:c>
      <x:c r="H73" s="17" t="n">
        <x:f>G73*F73</x:f>
        <x:v>11798.985999999999</x:v>
      </x:c>
      <x:c r="I73" s="26" t="str">
        <x:f>HYPERLINK("https://etp-aktiv.ru/catalog/materialy/podshipniki/2000116777-W111/","Открыть позицию")</x:f>
        <x:v>Открыть позицию</x:v>
      </x:c>
    </x:row>
    <x:row r="74" ht="28" customHeight="1">
      <x:c r="A74" s="16" t="str">
        <x:v>Барнаульская ТЭЦ-2</x:v>
      </x:c>
      <x:c r="B74" s="16" t="str">
        <x:v>2000006790-W111</x:v>
      </x:c>
      <x:c r="C74" s="16" t="str">
        <x:v>ПОДШИПНИК 46217</x:v>
      </x:c>
      <x:c r="D74" s="16" t="str">
        <x:v>Подшипники</x:v>
      </x:c>
      <x:c r="E74" s="16" t="str">
        <x:v>ШТ</x:v>
      </x:c>
      <x:c r="F74" s="25" t="n">
        <x:v>4</x:v>
      </x:c>
      <x:c r="G74" s="17" t="n">
        <x:v>556.5518</x:v>
      </x:c>
      <x:c r="H74" s="17" t="n">
        <x:f>G74*F74</x:f>
        <x:v>2226.2072</x:v>
      </x:c>
      <x:c r="I74" s="26" t="str">
        <x:f>HYPERLINK("https://etp-aktiv.ru/catalog/materialy/podshipniki/2000006790-W111/","Открыть позицию")</x:f>
        <x:v>Открыть позицию</x:v>
      </x:c>
    </x:row>
    <x:row r="75" ht="28" customHeight="1">
      <x:c r="A75" s="16" t="str">
        <x:v>Барнаульская ТЭЦ-2</x:v>
      </x:c>
      <x:c r="B75" s="16" t="str">
        <x:v>2000167481-W111</x:v>
      </x:c>
      <x:c r="C75" s="16" t="str">
        <x:v>ПОДШИПНИК 46234Л</x:v>
      </x:c>
      <x:c r="D75" s="16" t="str">
        <x:v>Подшипники</x:v>
      </x:c>
      <x:c r="E75" s="16" t="str">
        <x:v>ШТ</x:v>
      </x:c>
      <x:c r="F75" s="25" t="n">
        <x:v>1</x:v>
      </x:c>
      <x:c r="G75" s="17" t="n">
        <x:v>3849.8686000000002</x:v>
      </x:c>
      <x:c r="H75" s="17" t="n">
        <x:f>G75*F75</x:f>
        <x:v>3849.8686000000002</x:v>
      </x:c>
      <x:c r="I75" s="26" t="str">
        <x:f>HYPERLINK("https://etp-aktiv.ru/catalog/materialy/podshipniki/2000167481-W111/","Открыть позицию")</x:f>
        <x:v>Открыть позицию</x:v>
      </x:c>
    </x:row>
    <x:row r="76" ht="28" customHeight="1">
      <x:c r="A76" s="16" t="str">
        <x:v>Барнаульская ТЭЦ-2</x:v>
      </x:c>
      <x:c r="B76" s="16" t="str">
        <x:v>2000116705-W111</x:v>
      </x:c>
      <x:c r="C76" s="16" t="str">
        <x:v>ПОДШИПНИК 46318</x:v>
      </x:c>
      <x:c r="D76" s="16" t="str">
        <x:v>Подшипники</x:v>
      </x:c>
      <x:c r="E76" s="16" t="str">
        <x:v>ШТ</x:v>
      </x:c>
      <x:c r="F76" s="25" t="n">
        <x:v>7</x:v>
      </x:c>
      <x:c r="G76" s="17" t="n">
        <x:v>4545.7932</x:v>
      </x:c>
      <x:c r="H76" s="17" t="n">
        <x:f>G76*F76</x:f>
        <x:v>31820.5524</x:v>
      </x:c>
      <x:c r="I76" s="26" t="str">
        <x:f>HYPERLINK("https://etp-aktiv.ru/catalog/materialy/podshipniki/2000116705-W111/","Открыть позицию")</x:f>
        <x:v>Открыть позицию</x:v>
      </x:c>
    </x:row>
    <x:row r="77" ht="28" customHeight="1">
      <x:c r="A77" s="16" t="str">
        <x:v>Барнаульская ТЭЦ-2</x:v>
      </x:c>
      <x:c r="B77" s="16" t="str">
        <x:v>2000556638-W111</x:v>
      </x:c>
      <x:c r="C77" s="16" t="str">
        <x:v>ПОДШИПНИК 5-66409 ЛШ1</x:v>
      </x:c>
      <x:c r="D77" s="16" t="str">
        <x:v>Подшипники</x:v>
      </x:c>
      <x:c r="E77" s="16" t="str">
        <x:v>ШТ</x:v>
      </x:c>
      <x:c r="F77" s="25" t="n">
        <x:v>2</x:v>
      </x:c>
      <x:c r="G77" s="17" t="n">
        <x:v>2309.7162</x:v>
      </x:c>
      <x:c r="H77" s="17" t="n">
        <x:f>G77*F77</x:f>
        <x:v>4619.4324</x:v>
      </x:c>
      <x:c r="I77" s="26" t="str">
        <x:f>HYPERLINK("https://etp-aktiv.ru/catalog/materialy/podshipniki/2000556638-W111/","Открыть позицию")</x:f>
        <x:v>Открыть позицию</x:v>
      </x:c>
    </x:row>
    <x:row r="78" ht="28" customHeight="1">
      <x:c r="A78" s="16" t="str">
        <x:v>Барнаульская ТЭЦ-2</x:v>
      </x:c>
      <x:c r="B78" s="16" t="str">
        <x:v>2000556543-W111</x:v>
      </x:c>
      <x:c r="C78" s="16" t="str">
        <x:v>ПОДШИПНИК 53620</x:v>
      </x:c>
      <x:c r="D78" s="16" t="str">
        <x:v>Подшипники</x:v>
      </x:c>
      <x:c r="E78" s="16" t="str">
        <x:v>ШТ</x:v>
      </x:c>
      <x:c r="F78" s="25" t="n">
        <x:v>1</x:v>
      </x:c>
      <x:c r="G78" s="17" t="n">
        <x:v>2686.623</x:v>
      </x:c>
      <x:c r="H78" s="17" t="n">
        <x:f>G78*F78</x:f>
        <x:v>2686.623</x:v>
      </x:c>
      <x:c r="I78" s="26" t="str">
        <x:f>HYPERLINK("https://etp-aktiv.ru/catalog/materialy/podshipniki/2000556543-W111/","Открыть позицию")</x:f>
        <x:v>Открыть позицию</x:v>
      </x:c>
    </x:row>
    <x:row r="79" ht="28" customHeight="1">
      <x:c r="A79" s="16" t="str">
        <x:v>Барнаульская ТЭЦ-2</x:v>
      </x:c>
      <x:c r="B79" s="16" t="str">
        <x:v>2000579351-W111</x:v>
      </x:c>
      <x:c r="C79" s="16" t="str">
        <x:v>ПОДШИПНИК 553309</x:v>
      </x:c>
      <x:c r="D79" s="16" t="str">
        <x:v>Подшипники</x:v>
      </x:c>
      <x:c r="E79" s="16" t="str">
        <x:v>ШТ</x:v>
      </x:c>
      <x:c r="F79" s="25" t="n">
        <x:v>2</x:v>
      </x:c>
      <x:c r="G79" s="17" t="n">
        <x:v>1465.5616</x:v>
      </x:c>
      <x:c r="H79" s="17" t="n">
        <x:f>G79*F79</x:f>
        <x:v>2931.1232</x:v>
      </x:c>
      <x:c r="I79" s="26" t="str">
        <x:f>HYPERLINK("https://etp-aktiv.ru/catalog/materialy/podshipniki/2000579351-W111/","Открыть позицию")</x:f>
        <x:v>Открыть позицию</x:v>
      </x:c>
    </x:row>
    <x:row r="80" ht="28" customHeight="1">
      <x:c r="A80" s="16" t="str">
        <x:v>Барнаульская ТЭЦ-2</x:v>
      </x:c>
      <x:c r="B80" s="16" t="str">
        <x:v>2000116362-W111</x:v>
      </x:c>
      <x:c r="C80" s="16" t="str">
        <x:v>ПОДШИПНИК 60307</x:v>
      </x:c>
      <x:c r="D80" s="16" t="str">
        <x:v>Подшипники</x:v>
      </x:c>
      <x:c r="E80" s="16" t="str">
        <x:v>ШТ</x:v>
      </x:c>
      <x:c r="F80" s="25" t="n">
        <x:v>2</x:v>
      </x:c>
      <x:c r="G80" s="17" t="n">
        <x:v>489.8422</x:v>
      </x:c>
      <x:c r="H80" s="17" t="n">
        <x:f>G80*F80</x:f>
        <x:v>979.6844</x:v>
      </x:c>
      <x:c r="I80" s="26" t="str">
        <x:f>HYPERLINK("https://etp-aktiv.ru/catalog/materialy/podshipniki/2000116362-W111/","Открыть позицию")</x:f>
        <x:v>Открыть позицию</x:v>
      </x:c>
    </x:row>
    <x:row r="81" ht="28" customHeight="1">
      <x:c r="A81" s="16" t="str">
        <x:v>Барнаульская ТЭЦ-2</x:v>
      </x:c>
      <x:c r="B81" s="16" t="str">
        <x:v>2000115326-W111</x:v>
      </x:c>
      <x:c r="C81" s="16" t="str">
        <x:v>ПОДШИПНИК 60309</x:v>
      </x:c>
      <x:c r="D81" s="16" t="str">
        <x:v>Подшипники</x:v>
      </x:c>
      <x:c r="E81" s="16" t="str">
        <x:v>ШТ</x:v>
      </x:c>
      <x:c r="F81" s="25" t="n">
        <x:v>2</x:v>
      </x:c>
      <x:c r="G81" s="17" t="n">
        <x:v>588.6012</x:v>
      </x:c>
      <x:c r="H81" s="17" t="n">
        <x:f>G81*F81</x:f>
        <x:v>1177.2024</x:v>
      </x:c>
      <x:c r="I81" s="26" t="str">
        <x:f>HYPERLINK("https://etp-aktiv.ru/catalog/materialy/podshipniki/2000115326-W111/","Открыть позицию")</x:f>
        <x:v>Открыть позицию</x:v>
      </x:c>
    </x:row>
    <x:row r="82" ht="28" customHeight="1">
      <x:c r="A82" s="16" t="str">
        <x:v>Барнаульская ТЭЦ-2</x:v>
      </x:c>
      <x:c r="B82" s="16" t="str">
        <x:v>2000286402-W111</x:v>
      </x:c>
      <x:c r="C82" s="16" t="str">
        <x:v>ПОДШИПНИК 6207</x:v>
      </x:c>
      <x:c r="D82" s="16" t="str">
        <x:v>Подшипники</x:v>
      </x:c>
      <x:c r="E82" s="16" t="str">
        <x:v>ШТ</x:v>
      </x:c>
      <x:c r="F82" s="25" t="n">
        <x:v>6</x:v>
      </x:c>
      <x:c r="G82" s="17" t="n">
        <x:v>83.9482</x:v>
      </x:c>
      <x:c r="H82" s="17" t="n">
        <x:f>G82*F82</x:f>
        <x:v>503.6892</x:v>
      </x:c>
      <x:c r="I82" s="26" t="str">
        <x:f>HYPERLINK("https://etp-aktiv.ru/catalog/materialy/podshipniki/2000286402-W111/","Открыть позицию")</x:f>
        <x:v>Открыть позицию</x:v>
      </x:c>
    </x:row>
    <x:row r="83" ht="28" customHeight="1">
      <x:c r="A83" s="16" t="str">
        <x:v>Барнаульская ТЭЦ-2</x:v>
      </x:c>
      <x:c r="B83" s="16" t="str">
        <x:v>2000143849-W111</x:v>
      </x:c>
      <x:c r="C83" s="16" t="str">
        <x:v>ПОДШИПНИК 66309</x:v>
      </x:c>
      <x:c r="D83" s="16" t="str">
        <x:v>Подшипники</x:v>
      </x:c>
      <x:c r="E83" s="16" t="str">
        <x:v>ШТ</x:v>
      </x:c>
      <x:c r="F83" s="25" t="n">
        <x:v>2</x:v>
      </x:c>
      <x:c r="G83" s="17" t="n">
        <x:v>201.3976</x:v>
      </x:c>
      <x:c r="H83" s="17" t="n">
        <x:f>G83*F83</x:f>
        <x:v>402.7952</x:v>
      </x:c>
      <x:c r="I83" s="26" t="str">
        <x:f>HYPERLINK("https://etp-aktiv.ru/catalog/materialy/podshipniki/2000143849-W111/","Открыть позицию")</x:f>
        <x:v>Открыть позицию</x:v>
      </x:c>
    </x:row>
    <x:row r="84" ht="28" customHeight="1">
      <x:c r="A84" s="16" t="str">
        <x:v>Барнаульская ТЭЦ-2</x:v>
      </x:c>
      <x:c r="B84" s="16" t="str">
        <x:v>2000003802-W111</x:v>
      </x:c>
      <x:c r="C84" s="16" t="str">
        <x:v>ПОДШИПНИК 7203</x:v>
      </x:c>
      <x:c r="D84" s="16" t="str">
        <x:v>Подшипники</x:v>
      </x:c>
      <x:c r="E84" s="16" t="str">
        <x:v>ШТ</x:v>
      </x:c>
      <x:c r="F84" s="25" t="n">
        <x:v>6</x:v>
      </x:c>
      <x:c r="G84" s="17" t="n">
        <x:v>48.6292</x:v>
      </x:c>
      <x:c r="H84" s="17" t="n">
        <x:f>G84*F84</x:f>
        <x:v>291.7752</x:v>
      </x:c>
      <x:c r="I84" s="26" t="str">
        <x:f>HYPERLINK("https://etp-aktiv.ru/catalog/materialy/podshipniki/2000003802-W111/","Открыть позицию")</x:f>
        <x:v>Открыть позицию</x:v>
      </x:c>
    </x:row>
    <x:row r="85" ht="28" customHeight="1">
      <x:c r="A85" s="16" t="str">
        <x:v>Барнаульская ТЭЦ-2</x:v>
      </x:c>
      <x:c r="B85" s="16" t="str">
        <x:v>2000556669-W111</x:v>
      </x:c>
      <x:c r="C85" s="16" t="str">
        <x:v>ПОДШИПНИК 7210 А</x:v>
      </x:c>
      <x:c r="D85" s="16" t="str">
        <x:v>Подшипники</x:v>
      </x:c>
      <x:c r="E85" s="16" t="str">
        <x:v>ШТ</x:v>
      </x:c>
      <x:c r="F85" s="25" t="n">
        <x:v>2</x:v>
      </x:c>
      <x:c r="G85" s="17" t="n">
        <x:v>159.9298</x:v>
      </x:c>
      <x:c r="H85" s="17" t="n">
        <x:f>G85*F85</x:f>
        <x:v>319.8596</x:v>
      </x:c>
      <x:c r="I85" s="26" t="str">
        <x:f>HYPERLINK("https://etp-aktiv.ru/catalog/materialy/podshipniki/2000556669-W111/","Открыть позицию")</x:f>
        <x:v>Открыть позицию</x:v>
      </x:c>
    </x:row>
    <x:row r="86" ht="28" customHeight="1">
      <x:c r="A86" s="16" t="str">
        <x:v>Барнаульская ТЭЦ-2</x:v>
      </x:c>
      <x:c r="B86" s="16" t="str">
        <x:v>2000127361-W111</x:v>
      </x:c>
      <x:c r="C86" s="16" t="str">
        <x:v>ПОДШИПНИК 7217</x:v>
      </x:c>
      <x:c r="D86" s="16" t="str">
        <x:v>Подшипники</x:v>
      </x:c>
      <x:c r="E86" s="16" t="str">
        <x:v>ШТ</x:v>
      </x:c>
      <x:c r="F86" s="25" t="n">
        <x:v>4</x:v>
      </x:c>
      <x:c r="G86" s="17" t="n">
        <x:v>407.0896</x:v>
      </x:c>
      <x:c r="H86" s="17" t="n">
        <x:f>G86*F86</x:f>
        <x:v>1628.3584</x:v>
      </x:c>
      <x:c r="I86" s="26" t="str">
        <x:f>HYPERLINK("https://etp-aktiv.ru/catalog/materialy/podshipniki/2000127361-W111/","Открыть позицию")</x:f>
        <x:v>Открыть позицию</x:v>
      </x:c>
    </x:row>
    <x:row r="87" ht="28" customHeight="1">
      <x:c r="A87" s="16" t="str">
        <x:v>Барнаульская ТЭЦ-2</x:v>
      </x:c>
      <x:c r="B87" s="16" t="str">
        <x:v>2000116418-W111</x:v>
      </x:c>
      <x:c r="C87" s="16" t="str">
        <x:v>ПОДШИПНИК 7309</x:v>
      </x:c>
      <x:c r="D87" s="16" t="str">
        <x:v>Подшипники</x:v>
      </x:c>
      <x:c r="E87" s="16" t="str">
        <x:v>ШТ</x:v>
      </x:c>
      <x:c r="F87" s="25" t="n">
        <x:v>7</x:v>
      </x:c>
      <x:c r="G87" s="17" t="n">
        <x:v>193.0894</x:v>
      </x:c>
      <x:c r="H87" s="17" t="n">
        <x:f>G87*F87</x:f>
        <x:v>1351.6258</x:v>
      </x:c>
      <x:c r="I87" s="26" t="str">
        <x:f>HYPERLINK("https://etp-aktiv.ru/catalog/materialy/podshipniki/2000116418-W111/","Открыть позицию")</x:f>
        <x:v>Открыть позицию</x:v>
      </x:c>
    </x:row>
    <x:row r="88" ht="28" customHeight="1">
      <x:c r="A88" s="16" t="str">
        <x:v>Барнаульская ТЭЦ-2</x:v>
      </x:c>
      <x:c r="B88" s="16" t="str">
        <x:v>2000116533-W111</x:v>
      </x:c>
      <x:c r="C88" s="16" t="str">
        <x:v>ПОДШИПНИК 7518</x:v>
      </x:c>
      <x:c r="D88" s="16" t="str">
        <x:v>Подшипники</x:v>
      </x:c>
      <x:c r="E88" s="16" t="str">
        <x:v>ШТ</x:v>
      </x:c>
      <x:c r="F88" s="25" t="n">
        <x:v>4</x:v>
      </x:c>
      <x:c r="G88" s="17" t="n">
        <x:v>602.4603999999999</x:v>
      </x:c>
      <x:c r="H88" s="17" t="n">
        <x:f>G88*F88</x:f>
        <x:v>2409.8415999999997</x:v>
      </x:c>
      <x:c r="I88" s="26" t="str">
        <x:f>HYPERLINK("https://etp-aktiv.ru/catalog/materialy/podshipniki/2000116533-W111/","Открыть позицию")</x:f>
        <x:v>Открыть позицию</x:v>
      </x:c>
    </x:row>
    <x:row r="89" ht="28" customHeight="1">
      <x:c r="A89" s="16" t="str">
        <x:v>Барнаульская ТЭЦ-2</x:v>
      </x:c>
      <x:c r="B89" s="16" t="str">
        <x:v>2000008813-W111</x:v>
      </x:c>
      <x:c r="C89" s="16" t="str">
        <x:v>ПОДШИПНИК 7520</x:v>
      </x:c>
      <x:c r="D89" s="16" t="str">
        <x:v>Подшипники</x:v>
      </x:c>
      <x:c r="E89" s="16" t="str">
        <x:v>ШТ</x:v>
      </x:c>
      <x:c r="F89" s="25" t="n">
        <x:v>1</x:v>
      </x:c>
      <x:c r="G89" s="17" t="n">
        <x:v>790.9748000000001</x:v>
      </x:c>
      <x:c r="H89" s="17" t="n">
        <x:f>G89*F89</x:f>
        <x:v>790.9748000000001</x:v>
      </x:c>
      <x:c r="I89" s="26" t="str">
        <x:f>HYPERLINK("https://etp-aktiv.ru/catalog/materialy/podshipniki/2000008813-W111/","Открыть позицию")</x:f>
        <x:v>Открыть позицию</x:v>
      </x:c>
    </x:row>
    <x:row r="90" ht="28" customHeight="1">
      <x:c r="A90" s="16" t="str">
        <x:v>Барнаульская ТЭЦ-2</x:v>
      </x:c>
      <x:c r="B90" s="16" t="str">
        <x:v>2000034659-W111</x:v>
      </x:c>
      <x:c r="C90" s="16" t="str">
        <x:v>ПОДШИПНИК 80305</x:v>
      </x:c>
      <x:c r="D90" s="16" t="str">
        <x:v>Подшипники</x:v>
      </x:c>
      <x:c r="E90" s="16" t="str">
        <x:v>ШТ</x:v>
      </x:c>
      <x:c r="F90" s="25" t="n">
        <x:v>2</x:v>
      </x:c>
      <x:c r="G90" s="17" t="n">
        <x:v>51.24</x:v>
      </x:c>
      <x:c r="H90" s="17" t="n">
        <x:f>G90*F90</x:f>
        <x:v>102.48</x:v>
      </x:c>
      <x:c r="I90" s="26" t="str">
        <x:f>HYPERLINK("https://etp-aktiv.ru/catalog/materialy/podshipniki/2000034659-W111/","Открыть позицию")</x:f>
        <x:v>Открыть позицию</x:v>
      </x:c>
    </x:row>
    <x:row r="91" ht="28" customHeight="1">
      <x:c r="A91" s="16" t="str">
        <x:v>Барнаульская ТЭЦ-2</x:v>
      </x:c>
      <x:c r="B91" s="16" t="str">
        <x:v>2000034660-W111</x:v>
      </x:c>
      <x:c r="C91" s="16" t="str">
        <x:v>ПОДШИПНИК 80306</x:v>
      </x:c>
      <x:c r="D91" s="16" t="str">
        <x:v>Подшипники</x:v>
      </x:c>
      <x:c r="E91" s="16" t="str">
        <x:v>ШТ</x:v>
      </x:c>
      <x:c r="F91" s="25" t="n">
        <x:v>2</x:v>
      </x:c>
      <x:c r="G91" s="17" t="n">
        <x:v>58.9748</x:v>
      </x:c>
      <x:c r="H91" s="17" t="n">
        <x:f>G91*F91</x:f>
        <x:v>117.9496</x:v>
      </x:c>
      <x:c r="I91" s="26" t="str">
        <x:f>HYPERLINK("https://etp-aktiv.ru/catalog/materialy/podshipniki/2000034660-W111/","Открыть позицию")</x:f>
        <x:v>Открыть позицию</x:v>
      </x:c>
    </x:row>
    <x:row r="92" ht="28" customHeight="1">
      <x:c r="A92" s="16" t="str">
        <x:v>Барнаульская ТЭЦ-2</x:v>
      </x:c>
      <x:c r="B92" s="16" t="str">
        <x:v>2000116381-W111</x:v>
      </x:c>
      <x:c r="C92" s="16" t="str">
        <x:v>ПОДШИПНИК 8112</x:v>
      </x:c>
      <x:c r="D92" s="16" t="str">
        <x:v>Подшипники</x:v>
      </x:c>
      <x:c r="E92" s="16" t="str">
        <x:v>ШТ</x:v>
      </x:c>
      <x:c r="F92" s="25" t="n">
        <x:v>11</x:v>
      </x:c>
      <x:c r="G92" s="17" t="n">
        <x:v>174.46</x:v>
      </x:c>
      <x:c r="H92" s="17" t="n">
        <x:f>G92*F92</x:f>
        <x:v>1919.0600000000002</x:v>
      </x:c>
      <x:c r="I92" s="26" t="str">
        <x:f>HYPERLINK("https://etp-aktiv.ru/catalog/materialy/podshipniki/2000116381-W111/","Открыть позицию")</x:f>
        <x:v>Открыть позицию</x:v>
      </x:c>
    </x:row>
    <x:row r="93" ht="28" customHeight="1">
      <x:c r="A93" s="16" t="str">
        <x:v>Барнаульская ТЭЦ-2</x:v>
      </x:c>
      <x:c r="B93" s="16" t="str">
        <x:v>2000034670-W111</x:v>
      </x:c>
      <x:c r="C93" s="16" t="str">
        <x:v>ПОДШИПНИК 8116</x:v>
      </x:c>
      <x:c r="D93" s="16" t="str">
        <x:v>Подшипники</x:v>
      </x:c>
      <x:c r="E93" s="16" t="str">
        <x:v>ШТ</x:v>
      </x:c>
      <x:c r="F93" s="25" t="n">
        <x:v>2</x:v>
      </x:c>
      <x:c r="G93" s="17" t="n">
        <x:v>411.8232</x:v>
      </x:c>
      <x:c r="H93" s="17" t="n">
        <x:f>G93*F93</x:f>
        <x:v>823.6464</x:v>
      </x:c>
      <x:c r="I93" s="26" t="str">
        <x:f>HYPERLINK("https://etp-aktiv.ru/catalog/materialy/podshipniki/2000034670-W111/","Открыть позицию")</x:f>
        <x:v>Открыть позицию</x:v>
      </x:c>
    </x:row>
    <x:row r="94" ht="28" customHeight="1">
      <x:c r="A94" s="16" t="str">
        <x:v>Барнаульская ТЭЦ-2</x:v>
      </x:c>
      <x:c r="B94" s="16" t="str">
        <x:v>2000127085-W111</x:v>
      </x:c>
      <x:c r="C94" s="16" t="str">
        <x:v>ПОДШИПНИК 8212</x:v>
      </x:c>
      <x:c r="D94" s="16" t="str">
        <x:v>Подшипники</x:v>
      </x:c>
      <x:c r="E94" s="16" t="str">
        <x:v>ШТ</x:v>
      </x:c>
      <x:c r="F94" s="25" t="n">
        <x:v>6</x:v>
      </x:c>
      <x:c r="G94" s="17" t="n">
        <x:v>282.3324</x:v>
      </x:c>
      <x:c r="H94" s="17" t="n">
        <x:f>G94*F94</x:f>
        <x:v>1693.9944</x:v>
      </x:c>
      <x:c r="I94" s="26" t="str">
        <x:f>HYPERLINK("https://etp-aktiv.ru/catalog/materialy/podshipniki/2000127085-W111/","Открыть позицию")</x:f>
        <x:v>Открыть позицию</x:v>
      </x:c>
    </x:row>
    <x:row r="95" ht="28" customHeight="1">
      <x:c r="A95" s="16" t="str">
        <x:v>Барнаульская ТЭЦ-2</x:v>
      </x:c>
      <x:c r="B95" s="16" t="str">
        <x:v>2000034684-W111</x:v>
      </x:c>
      <x:c r="C95" s="16" t="str">
        <x:v>ПОДШИПНИК 8214</x:v>
      </x:c>
      <x:c r="D95" s="16" t="str">
        <x:v>Подшипники</x:v>
      </x:c>
      <x:c r="E95" s="16" t="str">
        <x:v>ШТ</x:v>
      </x:c>
      <x:c r="F95" s="25" t="n">
        <x:v>2</x:v>
      </x:c>
      <x:c r="G95" s="17" t="n">
        <x:v>246.3912</x:v>
      </x:c>
      <x:c r="H95" s="17" t="n">
        <x:f>G95*F95</x:f>
        <x:v>492.7824</x:v>
      </x:c>
      <x:c r="I95" s="26" t="str">
        <x:f>HYPERLINK("https://etp-aktiv.ru/catalog/materialy/podshipniki/2000034684-W111/","Открыть позицию")</x:f>
        <x:v>Открыть позицию</x:v>
      </x:c>
    </x:row>
    <x:row r="96" ht="28" customHeight="1">
      <x:c r="A96" s="16" t="str">
        <x:v>Барнаульская ТЭЦ-2</x:v>
      </x:c>
      <x:c r="B96" s="16" t="str">
        <x:v>2000127346-W111</x:v>
      </x:c>
      <x:c r="C96" s="16" t="str">
        <x:v>ПОДШИПНИК 8217</x:v>
      </x:c>
      <x:c r="D96" s="16" t="str">
        <x:v>Подшипники</x:v>
      </x:c>
      <x:c r="E96" s="16" t="str">
        <x:v>ШТ</x:v>
      </x:c>
      <x:c r="F96" s="25" t="n">
        <x:v>7</x:v>
      </x:c>
      <x:c r="G96" s="17" t="n">
        <x:v>434.137</x:v>
      </x:c>
      <x:c r="H96" s="17" t="n">
        <x:f>G96*F96</x:f>
        <x:v>3038.959</x:v>
      </x:c>
      <x:c r="I96" s="26" t="str">
        <x:f>HYPERLINK("https://etp-aktiv.ru/catalog/materialy/podshipniki/2000127346-W111/","Открыть позицию")</x:f>
        <x:v>Открыть позицию</x:v>
      </x:c>
    </x:row>
    <x:row r="97" ht="28" customHeight="1">
      <x:c r="A97" s="16" t="str">
        <x:v>Барнаульская ТЭЦ-2</x:v>
      </x:c>
      <x:c r="B97" s="16" t="str">
        <x:v>2000011160-W111</x:v>
      </x:c>
      <x:c r="C97" s="16" t="str">
        <x:v>ПОДШИПНИК 8236</x:v>
      </x:c>
      <x:c r="D97" s="16" t="str">
        <x:v>Подшипники</x:v>
      </x:c>
      <x:c r="E97" s="16" t="str">
        <x:v>ШТ</x:v>
      </x:c>
      <x:c r="F97" s="25" t="n">
        <x:v>1</x:v>
      </x:c>
      <x:c r="G97" s="17" t="n">
        <x:v>1819.7153999999998</x:v>
      </x:c>
      <x:c r="H97" s="17" t="n">
        <x:f>G97*F97</x:f>
        <x:v>1819.7153999999998</x:v>
      </x:c>
      <x:c r="I97" s="26" t="str">
        <x:f>HYPERLINK("https://etp-aktiv.ru/catalog/materialy/podshipniki/2000011160-W111/","Открыть позицию")</x:f>
        <x:v>Открыть позицию</x:v>
      </x:c>
    </x:row>
    <x:row r="98" ht="28" customHeight="1">
      <x:c r="A98" s="16" t="str">
        <x:v>Барнаульская ТЭЦ-2</x:v>
      </x:c>
      <x:c r="B98" s="16" t="str">
        <x:v>2000167536-W111</x:v>
      </x:c>
      <x:c r="C98" s="16" t="str">
        <x:v>ПОДШИПНИК 8236Л</x:v>
      </x:c>
      <x:c r="D98" s="16" t="str">
        <x:v>Подшипники</x:v>
      </x:c>
      <x:c r="E98" s="16" t="str">
        <x:v>ШТ</x:v>
      </x:c>
      <x:c r="F98" s="25" t="n">
        <x:v>1</x:v>
      </x:c>
      <x:c r="G98" s="17" t="n">
        <x:v>2442.5863999999997</x:v>
      </x:c>
      <x:c r="H98" s="17" t="n">
        <x:f>G98*F98</x:f>
        <x:v>2442.5863999999997</x:v>
      </x:c>
      <x:c r="I98" s="26" t="str">
        <x:f>HYPERLINK("https://etp-aktiv.ru/catalog/materialy/podshipniki/2000167536-W111/","Открыть позицию")</x:f>
        <x:v>Открыть позицию</x:v>
      </x:c>
    </x:row>
    <x:row r="99" ht="28" customHeight="1">
      <x:c r="A99" s="16" t="str">
        <x:v>Барнаульская ТЭЦ-2</x:v>
      </x:c>
      <x:c r="B99" s="16" t="str">
        <x:v>2000340841-W111</x:v>
      </x:c>
      <x:c r="C99" s="16" t="str">
        <x:v>ПОДШИПНИК РАДИАЛЬНЫЙ 6317-2Z</x:v>
      </x:c>
      <x:c r="D99" s="16" t="str">
        <x:v>Подшипники</x:v>
      </x:c>
      <x:c r="E99" s="16" t="str">
        <x:v>ШТ</x:v>
      </x:c>
      <x:c r="F99" s="25" t="n">
        <x:v>2</x:v>
      </x:c>
      <x:c r="G99" s="17" t="n">
        <x:v>2847.9436</x:v>
      </x:c>
      <x:c r="H99" s="17" t="n">
        <x:f>G99*F99</x:f>
        <x:v>5695.8872</x:v>
      </x:c>
      <x:c r="I99" s="26" t="str">
        <x:f>HYPERLINK("https://etp-aktiv.ru/catalog/materialy/podshipniki/2000340841-W111/","Открыть позицию")</x:f>
        <x:v>Открыть позицию</x:v>
      </x:c>
    </x:row>
    <x:row r="100" ht="28" customHeight="1">
      <x:c r="A100" s="16" t="str">
        <x:v>Барнаульская ТЭЦ-2</x:v>
      </x:c>
      <x:c r="B100" s="16" t="str">
        <x:v>2000590477-W111</x:v>
      </x:c>
      <x:c r="C100" s="16" t="str">
        <x:v>ПОДШИПНИК РОЛИКОВЫЙ 42540</x:v>
      </x:c>
      <x:c r="D100" s="16" t="str">
        <x:v>Подшипники</x:v>
      </x:c>
      <x:c r="E100" s="16" t="str">
        <x:v>ШТ</x:v>
      </x:c>
      <x:c r="F100" s="25" t="n">
        <x:v>2</x:v>
      </x:c>
      <x:c r="G100" s="17" t="n">
        <x:v>34312.5</x:v>
      </x:c>
      <x:c r="H100" s="17" t="n">
        <x:f>G100*F100</x:f>
        <x:v>68625</x:v>
      </x:c>
      <x:c r="I100" s="26" t="str">
        <x:f>HYPERLINK("https://etp-aktiv.ru/catalog/materialy/podshipniki/2000590477-W111/","Открыть позицию")</x:f>
        <x:v>Открыть позицию</x:v>
      </x:c>
    </x:row>
    <x:row r="101" ht="28" customHeight="1">
      <x:c r="A101" s="16" t="str">
        <x:v>Барнаульская ТЭЦ-2</x:v>
      </x:c>
      <x:c r="B101" s="16" t="str">
        <x:v>2000623840-W111</x:v>
      </x:c>
      <x:c r="C101" s="16" t="str">
        <x:v>ПОДШИПНИК ШАРИКОВЫЙ R-1660HH</x:v>
      </x:c>
      <x:c r="D101" s="16" t="str">
        <x:v>Подшипники</x:v>
      </x:c>
      <x:c r="E101" s="16" t="str">
        <x:v>ШТ</x:v>
      </x:c>
      <x:c r="F101" s="25" t="n">
        <x:v>16</x:v>
      </x:c>
      <x:c r="G101" s="17" t="n">
        <x:v>857.8186</x:v>
      </x:c>
      <x:c r="H101" s="17" t="n">
        <x:f>G101*F101</x:f>
        <x:v>13725.0976</x:v>
      </x:c>
      <x:c r="I101" s="26" t="str">
        <x:f>HYPERLINK("https://etp-aktiv.ru/catalog/materialy/podshipniki/2000623840-W111/","Открыть позицию")</x:f>
        <x:v>Открыть позицию</x:v>
      </x:c>
    </x:row>
    <x:row r="102" ht="28" customHeight="1">
      <x:c r="A102" s="16" t="str">
        <x:v>Барнаульская ТЭЦ-2</x:v>
      </x:c>
      <x:c r="B102" s="16" t="str">
        <x:v>2000534453-W111</x:v>
      </x:c>
      <x:c r="C102" s="16" t="str">
        <x:v>ПРОКЛАД ЗУБ 806.27.100.01 ПЭ500-180-3-Т</x:v>
      </x:c>
      <x:c r="D102" s="16" t="str">
        <x:v>ЗЧ к энергетич насос</x:v>
      </x:c>
      <x:c r="E102" s="16" t="str">
        <x:v>ШТ</x:v>
      </x:c>
      <x:c r="F102" s="25" t="n">
        <x:v>2</x:v>
      </x:c>
      <x:c r="G102" s="17" t="n">
        <x:v>17826.3472</x:v>
      </x:c>
      <x:c r="H102" s="17" t="n">
        <x:f>G102*F102</x:f>
        <x:v>35652.6944</x:v>
      </x:c>
      <x:c r="I102" s="26" t="str">
        <x:f>HYPERLINK("https://etp-aktiv.ru/catalog/materialy/zapasnye-chasti-promyshlennogo-oborudovaniya/2000534453-W111/","Открыть позицию")</x:f>
        <x:v>Открыть позицию</x:v>
      </x:c>
    </x:row>
    <x:row r="103" ht="28" customHeight="1">
      <x:c r="A103" s="16" t="str">
        <x:v>Барнаульская ТЭЦ-2</x:v>
      </x:c>
      <x:c r="B103" s="16" t="str">
        <x:v>2000534450-W111</x:v>
      </x:c>
      <x:c r="C103" s="16" t="str">
        <x:v>ПРОКЛАДКА 806.15.100.02 ПЭ 500-180-3-Т</x:v>
      </x:c>
      <x:c r="D103" s="16" t="str">
        <x:v>ЗЧ к энергетич насос</x:v>
      </x:c>
      <x:c r="E103" s="16" t="str">
        <x:v>ШТ</x:v>
      </x:c>
      <x:c r="F103" s="25" t="n">
        <x:v>1</x:v>
      </x:c>
      <x:c r="G103" s="17" t="n">
        <x:v>10420.2518</x:v>
      </x:c>
      <x:c r="H103" s="17" t="n">
        <x:f>G103*F103</x:f>
        <x:v>10420.2518</x:v>
      </x:c>
      <x:c r="I103" s="26" t="str">
        <x:f>HYPERLINK("https://etp-aktiv.ru/catalog/materialy/zapasnye-chasti-promyshlennogo-oborudovaniya/2000534450-W111/","Открыть позицию")</x:f>
        <x:v>Открыть позицию</x:v>
      </x:c>
    </x:row>
    <x:row r="104" ht="28" customHeight="1">
      <x:c r="A104" s="16" t="str">
        <x:v>Барнаульская ТЭЦ-2</x:v>
      </x:c>
      <x:c r="B104" s="16" t="str">
        <x:v>2000255847-W111</x:v>
      </x:c>
      <x:c r="C104" s="16" t="str">
        <x:v>ПРОКЛАДКА Н17.183.100.09</x:v>
      </x:c>
      <x:c r="D104" s="16" t="str">
        <x:v>ЗЧ к энергетич насос</x:v>
      </x:c>
      <x:c r="E104" s="16" t="str">
        <x:v>ШТ</x:v>
      </x:c>
      <x:c r="F104" s="25" t="n">
        <x:v>2</x:v>
      </x:c>
      <x:c r="G104" s="17" t="n">
        <x:v>9064.9172</x:v>
      </x:c>
      <x:c r="H104" s="17" t="n">
        <x:f>G104*F104</x:f>
        <x:v>18129.8344</x:v>
      </x:c>
      <x:c r="I104" s="26" t="str">
        <x:f>HYPERLINK("https://etp-aktiv.ru/catalog/materialy/zapasnye-chasti-promyshlennogo-oborudovaniya/2000255847-W111/","Открыть позицию")</x:f>
        <x:v>Открыть позицию</x:v>
      </x:c>
    </x:row>
    <x:row r="105" ht="28" customHeight="1">
      <x:c r="A105" s="16" t="str">
        <x:v>Барнаульская ТЭЦ-2</x:v>
      </x:c>
      <x:c r="B105" s="16" t="str">
        <x:v>2000534460-W111</x:v>
      </x:c>
      <x:c r="C105" s="16" t="str">
        <x:v>ПРОКЛАДКА Н17.183.100.10 ПЭН-380-185/200</x:v>
      </x:c>
      <x:c r="D105" s="16" t="str">
        <x:v>ЗЧ к энергетич насос</x:v>
      </x:c>
      <x:c r="E105" s="16" t="str">
        <x:v>ШТ</x:v>
      </x:c>
      <x:c r="F105" s="25" t="n">
        <x:v>2</x:v>
      </x:c>
      <x:c r="G105" s="17" t="n">
        <x:v>11028.4828</x:v>
      </x:c>
      <x:c r="H105" s="17" t="n">
        <x:f>G105*F105</x:f>
        <x:v>22056.9656</x:v>
      </x:c>
      <x:c r="I105" s="26" t="str">
        <x:f>HYPERLINK("https://etp-aktiv.ru/catalog/materialy/zapasnye-chasti-promyshlennogo-oborudovaniya/2000534460-W111/","Открыть позицию")</x:f>
        <x:v>Открыть позицию</x:v>
      </x:c>
    </x:row>
    <x:row r="106" ht="28" customHeight="1">
      <x:c r="A106" s="16" t="str">
        <x:v>Барнаульская ТЭЦ-2</x:v>
      </x:c>
      <x:c r="B106" s="16" t="str">
        <x:v>2000534475-W111</x:v>
      </x:c>
      <x:c r="C106" s="16" t="str">
        <x:v>ПЯТА Н41.198.00.019 НАСОСА А13В16/25У3</x:v>
      </x:c>
      <x:c r="D106" s="16" t="str">
        <x:v>ЗЧ к энергетич насос</x:v>
      </x:c>
      <x:c r="E106" s="16" t="str">
        <x:v>ШТ</x:v>
      </x:c>
      <x:c r="F106" s="25" t="n">
        <x:v>4</x:v>
      </x:c>
      <x:c r="G106" s="17" t="n">
        <x:v>1140.7</x:v>
      </x:c>
      <x:c r="H106" s="17" t="n">
        <x:f>G106*F106</x:f>
        <x:v>4562.8</x:v>
      </x:c>
      <x:c r="I106" s="26" t="str">
        <x:f>HYPERLINK("https://etp-aktiv.ru/catalog/materialy/zapasnye-chasti-promyshlennogo-oborudovaniya/2000534475-W111/","Открыть позицию")</x:f>
        <x:v>Открыть позицию</x:v>
      </x:c>
    </x:row>
    <x:row r="107" ht="28" customHeight="1">
      <x:c r="A107" s="16" t="str">
        <x:v>Барнаульская ТЭЦ-2</x:v>
      </x:c>
      <x:c r="B107" s="16" t="str">
        <x:v>2000595276-W111</x:v>
      </x:c>
      <x:c r="C107" s="16" t="str">
        <x:v>РЕДУКТОР ЧЕРВ 1Ч-80-20-52 У4 20 УППЛ-1</x:v>
      </x:c>
      <x:c r="D107" s="16" t="str">
        <x:v>Редукторы стандартны</x:v>
      </x:c>
      <x:c r="E107" s="16" t="str">
        <x:v>ШТ</x:v>
      </x:c>
      <x:c r="F107" s="25" t="n">
        <x:v>1</x:v>
      </x:c>
      <x:c r="G107" s="17" t="n">
        <x:v>13142.230399999999</x:v>
      </x:c>
      <x:c r="H107" s="17" t="n">
        <x:f>G107*F107</x:f>
        <x:v>13142.230399999999</x:v>
      </x:c>
      <x:c r="I107" s="26" t="str">
        <x:f>HYPERLINK("https://etp-aktiv.ru/catalog/materialy/reduktory/2000595276-W111/","Открыть позицию")</x:f>
        <x:v>Открыть позицию</x:v>
      </x:c>
    </x:row>
    <x:row r="108" ht="28" customHeight="1">
      <x:c r="A108" s="16" t="str">
        <x:v>Барнаульская ТЭЦ-2</x:v>
      </x:c>
      <x:c r="B108" s="16" t="str">
        <x:v>2000552520-W111</x:v>
      </x:c>
      <x:c r="C108" s="16" t="str">
        <x:v>РОЛИКООПОРА ЖГ 140-159-30</x:v>
      </x:c>
      <x:c r="D108" s="16" t="str">
        <x:v>ЗЧ конвейеров поверх</x:v>
      </x:c>
      <x:c r="E108" s="16" t="str">
        <x:v>ШТ</x:v>
      </x:c>
      <x:c r="F108" s="25" t="n">
        <x:v>200</x:v>
      </x:c>
      <x:c r="G108" s="17" t="n">
        <x:v>625.677</x:v>
      </x:c>
      <x:c r="H108" s="17" t="n">
        <x:f>G108*F108</x:f>
        <x:v>125135.40000000001</x:v>
      </x:c>
      <x:c r="I108" s="26" t="str">
        <x:f>HYPERLINK("https://etp-aktiv.ru/catalog/materialy/zapasnye-chasti-k-drobilno-sortirovochnomu-oborudovaniyu/2000552520-W111/","Открыть позицию")</x:f>
        <x:v>Открыть позицию</x:v>
      </x:c>
    </x:row>
    <x:row r="109" ht="28" customHeight="1">
      <x:c r="A109" s="16" t="str">
        <x:v>Барнаульская ТЭЦ-2</x:v>
      </x:c>
      <x:c r="B109" s="16" t="str">
        <x:v>2000617617-W111</x:v>
      </x:c>
      <x:c r="C109" s="16" t="str">
        <x:v>РОЛИКООПОРА ЖЦГ 140-159-30 ГОСТ22645-7</x:v>
      </x:c>
      <x:c r="D109" s="16" t="str">
        <x:v>ЗЧ конвейеров поверх</x:v>
      </x:c>
      <x:c r="E109" s="16" t="str">
        <x:v>ШТ</x:v>
      </x:c>
      <x:c r="F109" s="25" t="n">
        <x:v>2</x:v>
      </x:c>
      <x:c r="G109" s="17" t="n">
        <x:v>13494.4322</x:v>
      </x:c>
      <x:c r="H109" s="17" t="n">
        <x:f>G109*F109</x:f>
        <x:v>26988.8644</x:v>
      </x:c>
      <x:c r="I109" s="26" t="str">
        <x:f>HYPERLINK("https://etp-aktiv.ru/catalog/materialy/zapasnye-chasti-k-drobilno-sortirovochnomu-oborudovaniyu/2000617617-W111/","Открыть позицию")</x:f>
        <x:v>Открыть позицию</x:v>
      </x:c>
    </x:row>
    <x:row r="110" ht="28" customHeight="1">
      <x:c r="A110" s="16" t="str">
        <x:v>Барнаульская ТЭЦ-2</x:v>
      </x:c>
      <x:c r="B110" s="16" t="str">
        <x:v>2000588591-W111</x:v>
      </x:c>
      <x:c r="C110" s="16" t="str">
        <x:v>РОЛИКООПОРА ЖЦГ120-127-30 1200 В</x:v>
      </x:c>
      <x:c r="D110" s="16" t="str">
        <x:v>ЗЧ конвейеров поверх</x:v>
      </x:c>
      <x:c r="E110" s="16" t="str">
        <x:v>ШТ</x:v>
      </x:c>
      <x:c r="F110" s="25" t="n">
        <x:v>2</x:v>
      </x:c>
      <x:c r="G110" s="17" t="n">
        <x:v>21382.061599999997</x:v>
      </x:c>
      <x:c r="H110" s="17" t="n">
        <x:f>G110*F110</x:f>
        <x:v>42764.123199999995</x:v>
      </x:c>
      <x:c r="I110" s="26" t="str">
        <x:f>HYPERLINK("https://etp-aktiv.ru/catalog/materialy/zapasnye-chasti-k-drobilno-sortirovochnomu-oborudovaniyu/2000588591-W111/","Открыть позицию")</x:f>
        <x:v>Открыть позицию</x:v>
      </x:c>
    </x:row>
    <x:row r="111" ht="28" customHeight="1">
      <x:c r="A111" s="16" t="str">
        <x:v>Барнаульская ТЭЦ-2</x:v>
      </x:c>
      <x:c r="B111" s="16" t="str">
        <x:v>2000446041-W111</x:v>
      </x:c>
      <x:c r="C111" s="16" t="str">
        <x:v>ТАЛРЕП ОЦИНКОВ КРЮК-КРЮК М12 DIN1480</x:v>
      </x:c>
      <x:c r="D111" s="16" t="str">
        <x:v>ЗЧ грузоподъемн обор</x:v>
      </x:c>
      <x:c r="E111" s="16" t="str">
        <x:v>ШТ</x:v>
      </x:c>
      <x:c r="F111" s="25" t="n">
        <x:v>26</x:v>
      </x:c>
      <x:c r="G111" s="17" t="n">
        <x:v>71.37</x:v>
      </x:c>
      <x:c r="H111" s="17" t="n">
        <x:f>G111*F111</x:f>
        <x:v>1855.6200000000001</x:v>
      </x:c>
      <x:c r="I111" s="26" t="str">
        <x:f>HYPERLINK("https://etp-aktiv.ru/catalog/materialy/zapasnye-chasti-k-gruzopodemnoj-tekhnike-oborudovaniyu-i-mekhanizmam/2000446041-W111/","Открыть позицию")</x:f>
        <x:v>Открыть позицию</x:v>
      </x:c>
    </x:row>
    <x:row r="112" ht="28" customHeight="1">
      <x:c r="A112" s="16" t="str">
        <x:v>Барнаульская ТЭЦ-2</x:v>
      </x:c>
      <x:c r="B112" s="16" t="str">
        <x:v>2000640226-W111</x:v>
      </x:c>
      <x:c r="C112" s="16" t="str">
        <x:v>ЧЕРВЯК РЕДУКТОРА 41872.02</x:v>
      </x:c>
      <x:c r="D112" s="16" t="str">
        <x:v>Детали редукторов</x:v>
      </x:c>
      <x:c r="E112" s="16" t="str">
        <x:v>ШТ</x:v>
      </x:c>
      <x:c r="F112" s="25" t="n">
        <x:v>1</x:v>
      </x:c>
      <x:c r="G112" s="17" t="n">
        <x:v>5510.2032</x:v>
      </x:c>
      <x:c r="H112" s="17" t="n">
        <x:f>G112*F112</x:f>
        <x:v>5510.2032</x:v>
      </x:c>
      <x:c r="I112" s="26" t="str">
        <x:f>HYPERLINK("https://etp-aktiv.ru/catalog/materialy/reduktory/2000640226-W111/","Открыть позицию")</x:f>
        <x:v>Открыть позицию</x:v>
      </x:c>
    </x:row>
    <x:row r="113" ht="28" customHeight="1">
      <x:c r="A113" s="16" t="str">
        <x:v>Барнаульская ТЭЦ-2</x:v>
      </x:c>
      <x:c r="B113" s="16" t="str">
        <x:v>2000170373-W111</x:v>
      </x:c>
      <x:c r="C113" s="16" t="str">
        <x:v>ШЕСТЕРНЯ ВЕДУЩАЯ 36438</x:v>
      </x:c>
      <x:c r="D113" s="16" t="str">
        <x:v>ЗЧ конвейеров поверх</x:v>
      </x:c>
      <x:c r="E113" s="16" t="str">
        <x:v>ШТ</x:v>
      </x:c>
      <x:c r="F113" s="25" t="n">
        <x:v>2</x:v>
      </x:c>
      <x:c r="G113" s="17" t="n">
        <x:v>6862.5</x:v>
      </x:c>
      <x:c r="H113" s="17" t="n">
        <x:f>G113*F113</x:f>
        <x:v>13725</x:v>
      </x:c>
      <x:c r="I113" s="26" t="str">
        <x:f>HYPERLINK("https://etp-aktiv.ru/catalog/materialy/zapasnye-chasti-k-drobilno-sortirovochnomu-oborudovaniyu/2000170373-W111/","Открыть позицию")</x:f>
        <x:v>Открыть позицию</x:v>
      </x:c>
    </x:row>
    <x:row r="114" ht="28" customHeight="1">
      <x:c r="A114" s="16" t="str">
        <x:v>Барнаульская ТЭЦ-2</x:v>
      </x:c>
      <x:c r="B114" s="16" t="str">
        <x:v>2000045932-W111</x:v>
      </x:c>
      <x:c r="C114" s="16" t="str">
        <x:v>ШЛИФКРУГ 150*20*32 63С40СМ1КБ35</x:v>
      </x:c>
      <x:c r="D114" s="16" t="str">
        <x:v>Инструмент и спецосн</x:v>
      </x:c>
      <x:c r="E114" s="16" t="str">
        <x:v>ШТ</x:v>
      </x:c>
      <x:c r="F114" s="25" t="n">
        <x:v>51</x:v>
      </x:c>
      <x:c r="G114" s="17" t="n">
        <x:v>170.0314</x:v>
      </x:c>
      <x:c r="H114" s="17" t="n">
        <x:f>G114*F114</x:f>
        <x:v>8671.6014</x:v>
      </x:c>
      <x:c r="I114" s="26" t="str">
        <x:f>HYPERLINK("https://etp-aktiv.ru/catalog/materialy/instrument-i-specosnastka/2000045932-W111/","Открыть позицию")</x:f>
        <x:v>Открыть позицию</x:v>
      </x:c>
    </x:row>
    <x:row r="115" ht="28" customHeight="1">
      <x:c r="A115" s="16" t="str">
        <x:v>Барнаульская ТЭЦ-2</x:v>
      </x:c>
      <x:c r="B115" s="16" t="str">
        <x:v>2000045990-W111</x:v>
      </x:c>
      <x:c r="C115" s="16" t="str">
        <x:v>ШЛИФКРУГ 200*20*32 25А</x:v>
      </x:c>
      <x:c r="D115" s="16" t="str">
        <x:v>Инструмент и спецосн</x:v>
      </x:c>
      <x:c r="E115" s="16" t="str">
        <x:v>ШТ</x:v>
      </x:c>
      <x:c r="F115" s="25" t="n">
        <x:v>5</x:v>
      </x:c>
      <x:c r="G115" s="17" t="n">
        <x:v>172.6544</x:v>
      </x:c>
      <x:c r="H115" s="17" t="n">
        <x:f>G115*F115</x:f>
        <x:v>863.272</x:v>
      </x:c>
      <x:c r="I115" s="26" t="str">
        <x:f>HYPERLINK("https://etp-aktiv.ru/catalog/materialy/instrument-i-specosnastka/2000045990-W111/","Открыть позицию")</x:f>
        <x:v>Открыть позицию</x:v>
      </x:c>
    </x:row>
    <x:row r="116" ht="28" customHeight="1">
      <x:c r="A116" s="16" t="str">
        <x:v>Барнаульская ТЭЦ-2</x:v>
      </x:c>
      <x:c r="B116" s="16" t="str">
        <x:v>2000138159-W111</x:v>
      </x:c>
      <x:c r="C116" s="16" t="str">
        <x:v>ШЛИФКРУГ 230*6*22 13АМ</x:v>
      </x:c>
      <x:c r="D116" s="16" t="str">
        <x:v>Инструмент и спецосн</x:v>
      </x:c>
      <x:c r="E116" s="16" t="str">
        <x:v>ШТ</x:v>
      </x:c>
      <x:c r="F116" s="25" t="n">
        <x:v>21</x:v>
      </x:c>
      <x:c r="G116" s="17" t="n">
        <x:v>80.4956</x:v>
      </x:c>
      <x:c r="H116" s="17" t="n">
        <x:f>G116*F116</x:f>
        <x:v>1690.4076</x:v>
      </x:c>
      <x:c r="I116" s="26" t="str">
        <x:f>HYPERLINK("https://etp-aktiv.ru/catalog/materialy/instrument-i-specosnastka/2000138159-W111/","Открыть позицию")</x:f>
        <x:v>Открыть позицию</x:v>
      </x:c>
    </x:row>
    <x:row r="117" ht="28" customHeight="1">
      <x:c r="A117" s="16" t="str">
        <x:v>Барнаульская ТЭЦ-3</x:v>
      </x:c>
      <x:c r="B117" s="16" t="str">
        <x:v>5000057676-W112</x:v>
      </x:c>
      <x:c r="C117" s="16" t="str">
        <x:v>АГР НАС Ш80-16-36/6 А180М6 18,5/380/975</x:v>
      </x:c>
      <x:c r="D117" s="16" t="str">
        <x:v>НасосыГидравлические</x:v>
      </x:c>
      <x:c r="E117" s="16" t="str">
        <x:v>ШТ</x:v>
      </x:c>
      <x:c r="F117" s="25" t="n">
        <x:v>2</x:v>
      </x:c>
      <x:c r="G117" s="17" t="n">
        <x:v>36600</x:v>
      </x:c>
      <x:c r="H117" s="17" t="n">
        <x:f>G117*F117</x:f>
        <x:v>73200</x:v>
      </x:c>
      <x:c r="I117" s="26" t="str">
        <x:f>HYPERLINK("https://etp-aktiv.ru/catalog/materialy/nasosno-kompressornoe-oborudovanie/5000057676-W112/","Открыть позицию")</x:f>
        <x:v>Открыть позицию</x:v>
      </x:c>
    </x:row>
    <x:row r="118" ht="28" customHeight="1">
      <x:c r="A118" s="16" t="str">
        <x:v>Барнаульская ТЭЦ-3</x:v>
      </x:c>
      <x:c r="B118" s="16" t="str">
        <x:v>2000255365-W112</x:v>
      </x:c>
      <x:c r="C118" s="16" t="str">
        <x:v>БАРАБАН НАТЯЖНОЙ 6460.00.00А-61</x:v>
      </x:c>
      <x:c r="D118" s="16" t="str">
        <x:v>ЗЧ конвейеров поверх</x:v>
      </x:c>
      <x:c r="E118" s="16" t="str">
        <x:v>ШТ</x:v>
      </x:c>
      <x:c r="F118" s="25" t="n">
        <x:v>1</x:v>
      </x:c>
      <x:c r="G118" s="17" t="n">
        <x:v>161612.4484</x:v>
      </x:c>
      <x:c r="H118" s="17" t="n">
        <x:f>G118*F118</x:f>
        <x:v>161612.4484</x:v>
      </x:c>
      <x:c r="I118" s="26" t="str">
        <x:f>HYPERLINK("https://etp-aktiv.ru/catalog/materialy/zapasnye-chasti-k-drobilno-sortirovochnomu-oborudovaniyu/2000255365-W112/","Открыть позицию")</x:f>
        <x:v>Открыть позицию</x:v>
      </x:c>
    </x:row>
    <x:row r="119" ht="28" customHeight="1">
      <x:c r="A119" s="16" t="str">
        <x:v>Барнаульская ТЭЦ-3</x:v>
      </x:c>
      <x:c r="B119" s="16" t="str">
        <x:v>2000621084-W112</x:v>
      </x:c>
      <x:c r="C119" s="16" t="str">
        <x:v>БАРАБАН О-1612-14063 6460.00.00А-55</x:v>
      </x:c>
      <x:c r="D119" s="16" t="str">
        <x:v>ЗЧ конвейеров поверх</x:v>
      </x:c>
      <x:c r="E119" s="16" t="str">
        <x:v>ШТ</x:v>
      </x:c>
      <x:c r="F119" s="25" t="n">
        <x:v>3</x:v>
      </x:c>
      <x:c r="G119" s="17" t="n">
        <x:v>76083.2992</x:v>
      </x:c>
      <x:c r="H119" s="17" t="n">
        <x:f>G119*F119</x:f>
        <x:v>228249.89759999997</x:v>
      </x:c>
      <x:c r="I119" s="26" t="str">
        <x:f>HYPERLINK("https://etp-aktiv.ru/catalog/materialy/zapasnye-chasti-k-drobilno-sortirovochnomu-oborudovaniyu/2000621084-W112/","Открыть позицию")</x:f>
        <x:v>Открыть позицию</x:v>
      </x:c>
    </x:row>
    <x:row r="120" ht="28" customHeight="1">
      <x:c r="A120" s="16" t="str">
        <x:v>Барнаульская ТЭЦ-3</x:v>
      </x:c>
      <x:c r="B120" s="16" t="str">
        <x:v>2000723581-W112</x:v>
      </x:c>
      <x:c r="C120" s="16" t="str">
        <x:v>БАРАБАН ПРИВОД 6460.00.00А-62</x:v>
      </x:c>
      <x:c r="D120" s="16" t="str">
        <x:v>ЗЧ конвейеров поверх</x:v>
      </x:c>
      <x:c r="E120" s="16" t="str">
        <x:v>ШТ</x:v>
      </x:c>
      <x:c r="F120" s="25" t="n">
        <x:v>1</x:v>
      </x:c>
      <x:c r="G120" s="17" t="n">
        <x:v>400385.7</x:v>
      </x:c>
      <x:c r="H120" s="17" t="n">
        <x:f>G120*F120</x:f>
        <x:v>400385.7</x:v>
      </x:c>
      <x:c r="I120" s="26" t="str">
        <x:f>HYPERLINK("https://etp-aktiv.ru/catalog/materialy/zapasnye-chasti-k-drobilno-sortirovochnomu-oborudovaniyu/2000723581-W112/","Открыть позицию")</x:f>
        <x:v>Открыть позицию</x:v>
      </x:c>
    </x:row>
    <x:row r="121" ht="28" customHeight="1">
      <x:c r="A121" s="16" t="str">
        <x:v>Барнаульская ТЭЦ-3</x:v>
      </x:c>
      <x:c r="B121" s="16" t="str">
        <x:v>2000080908-W112</x:v>
      </x:c>
      <x:c r="C121" s="16" t="str">
        <x:v>КЛЮЧ ГАЕЧНЫЙ ОДНОСТ 75ММ</x:v>
      </x:c>
      <x:c r="D121" s="16" t="str">
        <x:v>Инструмент и спецосн</x:v>
      </x:c>
      <x:c r="E121" s="16" t="str">
        <x:v>ШТ</x:v>
      </x:c>
      <x:c r="F121" s="25" t="n">
        <x:v>2</x:v>
      </x:c>
      <x:c r="G121" s="17" t="n">
        <x:v>416.94719999999995</x:v>
      </x:c>
      <x:c r="H121" s="17" t="n">
        <x:f>G121*F121</x:f>
        <x:v>833.8943999999999</x:v>
      </x:c>
      <x:c r="I121" s="26" t="str">
        <x:f>HYPERLINK("https://etp-aktiv.ru/catalog/materialy/instrument-i-specosnastka/2000080908-W112/","Открыть позицию")</x:f>
        <x:v>Открыть позицию</x:v>
      </x:c>
    </x:row>
    <x:row r="122" ht="28" customHeight="1">
      <x:c r="A122" s="16" t="str">
        <x:v>Барнаульская ТЭЦ-3</x:v>
      </x:c>
      <x:c r="B122" s="16" t="str">
        <x:v>2000011480-W112</x:v>
      </x:c>
      <x:c r="C122" s="16" t="str">
        <x:v>КОМПРЕССОР 16.3509012</x:v>
      </x:c>
      <x:c r="D122" s="16" t="str">
        <x:v>ЗЧ автотрансп оборуд</x:v>
      </x:c>
      <x:c r="E122" s="16" t="str">
        <x:v>ШТ</x:v>
      </x:c>
      <x:c r="F122" s="25" t="n">
        <x:v>1</x:v>
      </x:c>
      <x:c r="G122" s="17" t="n">
        <x:v>2635.2</x:v>
      </x:c>
      <x:c r="H122" s="17" t="n">
        <x:f>G122*F122</x:f>
        <x:v>2635.2</x:v>
      </x:c>
      <x:c r="I122" s="26" t="str">
        <x:f>HYPERLINK("https://etp-aktiv.ru/catalog/materialy/zapasnye-chasti-k-avtotransportnomu-oborudovaniyu/2000011480-W112/","Открыть позицию")</x:f>
        <x:v>Открыть позицию</x:v>
      </x:c>
    </x:row>
    <x:row r="123" ht="28" customHeight="1">
      <x:c r="A123" s="16" t="str">
        <x:v>Барнаульская ТЭЦ-3</x:v>
      </x:c>
      <x:c r="B123" s="16" t="str">
        <x:v>2000544110-W112</x:v>
      </x:c>
      <x:c r="C123" s="16" t="str">
        <x:v>КРУГ 41 180*2*22,23 A36SBF 80М/С 8500МЕТ</x:v>
      </x:c>
      <x:c r="D123" s="16" t="str">
        <x:v>Инструмент и спецосн</x:v>
      </x:c>
      <x:c r="E123" s="16" t="str">
        <x:v>ШТ</x:v>
      </x:c>
      <x:c r="F123" s="25" t="n">
        <x:v>129</x:v>
      </x:c>
      <x:c r="G123" s="17" t="n">
        <x:v>21.179199999999998</x:v>
      </x:c>
      <x:c r="H123" s="17" t="n">
        <x:f>G123*F123</x:f>
        <x:v>2732.1168</x:v>
      </x:c>
      <x:c r="I123" s="26" t="str">
        <x:f>HYPERLINK("https://etp-aktiv.ru/catalog/materialy/instrument-i-specosnastka/2000544110-W112/","Открыть позицию")</x:f>
        <x:v>Открыть позицию</x:v>
      </x:c>
    </x:row>
    <x:row r="124" ht="28" customHeight="1">
      <x:c r="A124" s="16" t="str">
        <x:v>Барнаульская ТЭЦ-3</x:v>
      </x:c>
      <x:c r="B124" s="16" t="str">
        <x:v>2000581308-W112</x:v>
      </x:c>
      <x:c r="C124" s="16" t="str">
        <x:v>КРУГ ЗАЧИСТНОЙ 27 180*6*22 14А BF</x:v>
      </x:c>
      <x:c r="D124" s="16" t="str">
        <x:v>Инструмент и спецосн</x:v>
      </x:c>
      <x:c r="E124" s="16" t="str">
        <x:v>ШТ</x:v>
      </x:c>
      <x:c r="F124" s="25" t="n">
        <x:v>28</x:v>
      </x:c>
      <x:c r="G124" s="17" t="n">
        <x:v>46.1648</x:v>
      </x:c>
      <x:c r="H124" s="17" t="n">
        <x:f>G124*F124</x:f>
        <x:v>1292.6144</x:v>
      </x:c>
      <x:c r="I124" s="26" t="str">
        <x:f>HYPERLINK("https://etp-aktiv.ru/catalog/materialy/instrument-i-specosnastka/2000581308-W112/","Открыть позицию")</x:f>
        <x:v>Открыть позицию</x:v>
      </x:c>
    </x:row>
    <x:row r="125" ht="28" customHeight="1">
      <x:c r="A125" s="16" t="str">
        <x:v>Барнаульская ТЭЦ-3</x:v>
      </x:c>
      <x:c r="B125" s="16" t="str">
        <x:v>2000294327-W112</x:v>
      </x:c>
      <x:c r="C125" s="16" t="str">
        <x:v>КРУГ ЛЕПЕСТКОВЫЙ 150*22,2 Р60</x:v>
      </x:c>
      <x:c r="D125" s="16" t="str">
        <x:v>Инструмент и спецосн</x:v>
      </x:c>
      <x:c r="E125" s="16" t="str">
        <x:v>ШТ</x:v>
      </x:c>
      <x:c r="F125" s="25" t="n">
        <x:v>229</x:v>
      </x:c>
      <x:c r="G125" s="17" t="n">
        <x:v>46.9334</x:v>
      </x:c>
      <x:c r="H125" s="17" t="n">
        <x:f>G125*F125</x:f>
        <x:v>10747.748599999999</x:v>
      </x:c>
      <x:c r="I125" s="26" t="str">
        <x:f>HYPERLINK("https://etp-aktiv.ru/catalog/materialy/instrument-i-specosnastka/2000294327-W112/","Открыть позицию")</x:f>
        <x:v>Открыть позицию</x:v>
      </x:c>
    </x:row>
    <x:row r="126" ht="28" customHeight="1">
      <x:c r="A126" s="16" t="str">
        <x:v>Барнаульская ТЭЦ-3</x:v>
      </x:c>
      <x:c r="B126" s="16" t="str">
        <x:v>2000138134-W112</x:v>
      </x:c>
      <x:c r="C126" s="16" t="str">
        <x:v>КРУГ ОТРЕЗНОЙ 400*4*32 13А</x:v>
      </x:c>
      <x:c r="D126" s="16" t="str">
        <x:v>Инструмент и спецосн</x:v>
      </x:c>
      <x:c r="E126" s="16" t="str">
        <x:v>ШТ</x:v>
      </x:c>
      <x:c r="F126" s="25" t="n">
        <x:v>4</x:v>
      </x:c>
      <x:c r="G126" s="17" t="n">
        <x:v>174.1916</x:v>
      </x:c>
      <x:c r="H126" s="17" t="n">
        <x:f>G126*F126</x:f>
        <x:v>696.7664</x:v>
      </x:c>
      <x:c r="I126" s="26" t="str">
        <x:f>HYPERLINK("https://etp-aktiv.ru/catalog/materialy/instrument-i-specosnastka/2000138134-W112/","Открыть позицию")</x:f>
        <x:v>Открыть позицию</x:v>
      </x:c>
    </x:row>
    <x:row r="127" ht="28" customHeight="1">
      <x:c r="A127" s="16" t="str">
        <x:v>Барнаульская ТЭЦ-3</x:v>
      </x:c>
      <x:c r="B127" s="16" t="str">
        <x:v>2000544148-W112</x:v>
      </x:c>
      <x:c r="C127" s="16" t="str">
        <x:v>КРУГ ШЛ 180*6*22 14А А24 3650-180-06-111</x:v>
      </x:c>
      <x:c r="D127" s="16" t="str">
        <x:v>Инструмент и спецосн</x:v>
      </x:c>
      <x:c r="E127" s="16" t="str">
        <x:v>ШТ</x:v>
      </x:c>
      <x:c r="F127" s="25" t="n">
        <x:v>80</x:v>
      </x:c>
      <x:c r="G127" s="17" t="n">
        <x:v>46.2136</x:v>
      </x:c>
      <x:c r="H127" s="17" t="n">
        <x:f>G127*F127</x:f>
        <x:v>3697.0879999999997</x:v>
      </x:c>
      <x:c r="I127" s="26" t="str">
        <x:f>HYPERLINK("https://etp-aktiv.ru/catalog/materialy/instrument-i-specosnastka/2000544148-W112/","Открыть позицию")</x:f>
        <x:v>Открыть позицию</x:v>
      </x:c>
    </x:row>
    <x:row r="128" ht="28" customHeight="1">
      <x:c r="A128" s="16" t="str">
        <x:v>Барнаульская ТЭЦ-3</x:v>
      </x:c>
      <x:c r="B128" s="16" t="str">
        <x:v>2000544058-W112</x:v>
      </x:c>
      <x:c r="C128" s="16" t="str">
        <x:v>КРУГ ШЛИФОВАЛЬНЫЙ 180*22 5/40 Р60 18060Л</x:v>
      </x:c>
      <x:c r="D128" s="16" t="str">
        <x:v>Инструмент и спецосн</x:v>
      </x:c>
      <x:c r="E128" s="16" t="str">
        <x:v>ШТ</x:v>
      </x:c>
      <x:c r="F128" s="25" t="n">
        <x:v>340</x:v>
      </x:c>
      <x:c r="G128" s="17" t="n">
        <x:v>67.8686</x:v>
      </x:c>
      <x:c r="H128" s="17" t="n">
        <x:f>G128*F128</x:f>
        <x:v>23075.324</x:v>
      </x:c>
      <x:c r="I128" s="26" t="str">
        <x:f>HYPERLINK("https://etp-aktiv.ru/catalog/materialy/instrument-i-specosnastka/2000544058-W112/","Открыть позицию")</x:f>
        <x:v>Открыть позицию</x:v>
      </x:c>
    </x:row>
    <x:row r="129" ht="28" customHeight="1">
      <x:c r="A129" s="16" t="str">
        <x:v>Барнаульская ТЭЦ-3</x:v>
      </x:c>
      <x:c r="B129" s="16" t="str">
        <x:v>2000030713-W112</x:v>
      </x:c>
      <x:c r="C129" s="16" t="str">
        <x:v>МЕТЧИК МАШ СКВОЗ ПРАВ 10*1,25</x:v>
      </x:c>
      <x:c r="D129" s="16" t="str">
        <x:v>Инструм/спецосн спец</x:v>
      </x:c>
      <x:c r="E129" s="16" t="str">
        <x:v>ШТ</x:v>
      </x:c>
      <x:c r="F129" s="25" t="n">
        <x:v>2</x:v>
      </x:c>
      <x:c r="G129" s="17" t="n">
        <x:v>32.1226</x:v>
      </x:c>
      <x:c r="H129" s="17" t="n">
        <x:f>G129*F129</x:f>
        <x:v>64.2452</x:v>
      </x:c>
      <x:c r="I129" s="26" t="str">
        <x:f>HYPERLINK("https://etp-aktiv.ru/catalog/materialy/instrument-i-specosnastka/2000030713-W112/","Открыть позицию")</x:f>
        <x:v>Открыть позицию</x:v>
      </x:c>
    </x:row>
    <x:row r="130" ht="28" customHeight="1">
      <x:c r="A130" s="16" t="str">
        <x:v>Барнаульская ТЭЦ-3</x:v>
      </x:c>
      <x:c r="B130" s="16" t="str">
        <x:v>2000178524-W112</x:v>
      </x:c>
      <x:c r="C130" s="16" t="str">
        <x:v>МУФТА ВВОДНАЯ МВПНГ 15</x:v>
      </x:c>
      <x:c r="D130" s="16" t="str">
        <x:v>Монтажн изд д/кабел</x:v>
      </x:c>
      <x:c r="E130" s="16" t="str">
        <x:v>ШТ</x:v>
      </x:c>
      <x:c r="F130" s="25" t="n">
        <x:v>50</x:v>
      </x:c>
      <x:c r="G130" s="17" t="n">
        <x:v>5.3435999999999995</x:v>
      </x:c>
      <x:c r="H130" s="17" t="n">
        <x:f>G130*F130</x:f>
        <x:v>267.17999999999995</x:v>
      </x:c>
      <x:c r="I130" s="26" t="str">
        <x:f>HYPERLINK("https://etp-aktiv.ru/catalog/materialy/ehlektrotekhnicheskie-materialy/2000178524-W112/","Открыть позицию")</x:f>
        <x:v>Открыть позицию</x:v>
      </x:c>
    </x:row>
    <x:row r="131" ht="28" customHeight="1">
      <x:c r="A131" s="16" t="str">
        <x:v>Барнаульская ТЭЦ-3</x:v>
      </x:c>
      <x:c r="B131" s="16" t="str">
        <x:v>2000005375-W112</x:v>
      </x:c>
      <x:c r="C131" s="16" t="str">
        <x:v>МУФТА ПОДШИПНИКОМ 130-1602052</x:v>
      </x:c>
      <x:c r="D131" s="16" t="str">
        <x:v>ЗЧ автотрансп оборуд</x:v>
      </x:c>
      <x:c r="E131" s="16" t="str">
        <x:v>ШТ</x:v>
      </x:c>
      <x:c r="F131" s="25" t="n">
        <x:v>2</x:v>
      </x:c>
      <x:c r="G131" s="17" t="n">
        <x:v>209.413</x:v>
      </x:c>
      <x:c r="H131" s="17" t="n">
        <x:f>G131*F131</x:f>
        <x:v>418.826</x:v>
      </x:c>
      <x:c r="I131" s="26" t="str">
        <x:f>HYPERLINK("https://etp-aktiv.ru/catalog/materialy/zapasnye-chasti-k-avtotransportnomu-oborudovaniyu/2000005375-W112/","Открыть позицию")</x:f>
        <x:v>Открыть позицию</x:v>
      </x:c>
    </x:row>
    <x:row r="132" ht="28" customHeight="1">
      <x:c r="A132" s="16" t="str">
        <x:v>Барнаульская ТЭЦ-3</x:v>
      </x:c>
      <x:c r="B132" s="16" t="str">
        <x:v>2000059287-W112</x:v>
      </x:c>
      <x:c r="C132" s="16" t="str">
        <x:v>МУФТА РАЗРЫВНАЯ Н.036.50.000</x:v>
      </x:c>
      <x:c r="D132" s="16" t="str">
        <x:v>ЗЧ к ДСТ менее 20т</x:v>
      </x:c>
      <x:c r="E132" s="16" t="str">
        <x:v>ШТ</x:v>
      </x:c>
      <x:c r="F132" s="25" t="n">
        <x:v>2</x:v>
      </x:c>
      <x:c r="G132" s="17" t="n">
        <x:v>245.9032</x:v>
      </x:c>
      <x:c r="H132" s="17" t="n">
        <x:f>G132*F132</x:f>
        <x:v>491.8064</x:v>
      </x:c>
      <x:c r="I132" s="26" t="str">
        <x:f>HYPERLINK("https://etp-aktiv.ru/catalog/materialy/zapasnye-chasti-k-dorozhno-stroitelnoj-tekhnike/2000059287-W112/","Открыть позицию")</x:f>
        <x:v>Открыть позицию</x:v>
      </x:c>
    </x:row>
    <x:row r="133" ht="28" customHeight="1">
      <x:c r="A133" s="16" t="str">
        <x:v>Барнаульская ТЭЦ-3</x:v>
      </x:c>
      <x:c r="B133" s="16" t="str">
        <x:v>2000529296-W112</x:v>
      </x:c>
      <x:c r="C133" s="16" t="str">
        <x:v>МУФТА СЦЕПЛЕНИЯ 3110-1601180-10 СБ</x:v>
      </x:c>
      <x:c r="D133" s="16" t="str">
        <x:v>ЗЧ автотрансп оборуд</x:v>
      </x:c>
      <x:c r="E133" s="16" t="str">
        <x:v>ШТ</x:v>
      </x:c>
      <x:c r="F133" s="25" t="n">
        <x:v>2</x:v>
      </x:c>
      <x:c r="G133" s="17" t="n">
        <x:v>118.63279999999999</x:v>
      </x:c>
      <x:c r="H133" s="17" t="n">
        <x:f>G133*F133</x:f>
        <x:v>237.26559999999998</x:v>
      </x:c>
      <x:c r="I133" s="26" t="str">
        <x:f>HYPERLINK("https://etp-aktiv.ru/catalog/materialy/zapasnye-chasti-k-avtotransportnomu-oborudovaniyu/2000529296-W112/","Открыть позицию")</x:f>
        <x:v>Открыть позицию</x:v>
      </x:c>
    </x:row>
    <x:row r="134" ht="28" customHeight="1">
      <x:c r="A134" s="16" t="str">
        <x:v>Барнаульская ТЭЦ-3</x:v>
      </x:c>
      <x:c r="B134" s="16" t="str">
        <x:v>2000384565-W112</x:v>
      </x:c>
      <x:c r="C134" s="16" t="str">
        <x:v>НАСОС ВОДЯНОЙ 245-1307015-01</x:v>
      </x:c>
      <x:c r="D134" s="16" t="str">
        <x:v>ЗЧ автотрансп оборуд</x:v>
      </x:c>
      <x:c r="E134" s="16" t="str">
        <x:v>ШТ</x:v>
      </x:c>
      <x:c r="F134" s="25" t="n">
        <x:v>3</x:v>
      </x:c>
      <x:c r="G134" s="17" t="n">
        <x:v>1193.465</x:v>
      </x:c>
      <x:c r="H134" s="17" t="n">
        <x:f>G134*F134</x:f>
        <x:v>3580.3949999999995</x:v>
      </x:c>
      <x:c r="I134" s="26" t="str">
        <x:f>HYPERLINK("https://etp-aktiv.ru/catalog/materialy/zapasnye-chasti-k-avtotransportnomu-oborudovaniyu/2000384565-W112/","Открыть позицию")</x:f>
        <x:v>Открыть позицию</x:v>
      </x:c>
    </x:row>
    <x:row r="135" ht="28" customHeight="1">
      <x:c r="A135" s="16" t="str">
        <x:v>Барнаульская ТЭЦ-3</x:v>
      </x:c>
      <x:c r="B135" s="16" t="str">
        <x:v>5000090229-W112</x:v>
      </x:c>
      <x:c r="C135" s="16" t="str">
        <x:v>НАСОС КОНСОЛЬНЫЙ К 160/30 Б/Э/ДВИГ</x:v>
      </x:c>
      <x:c r="D135" s="16" t="str">
        <x:v>НасосОдноступЭнергет</x:v>
      </x:c>
      <x:c r="E135" s="16" t="str">
        <x:v>ШТ</x:v>
      </x:c>
      <x:c r="F135" s="25" t="n">
        <x:v>2</x:v>
      </x:c>
      <x:c r="G135" s="17" t="n">
        <x:v>1639.3384</x:v>
      </x:c>
      <x:c r="H135" s="17" t="n">
        <x:f>G135*F135</x:f>
        <x:v>3278.6768</x:v>
      </x:c>
      <x:c r="I135" s="26" t="str">
        <x:f>HYPERLINK("https://etp-aktiv.ru/catalog/materialy/nasosno-kompressornoe-oborudovanie/5000090229-W112/","Открыть позицию")</x:f>
        <x:v>Открыть позицию</x:v>
      </x:c>
    </x:row>
    <x:row r="136" ht="28" customHeight="1">
      <x:c r="A136" s="16" t="str">
        <x:v>Барнаульская ТЭЦ-3</x:v>
      </x:c>
      <x:c r="B136" s="16" t="str">
        <x:v>2000011667-W112</x:v>
      </x:c>
      <x:c r="C136" s="16" t="str">
        <x:v>НАСОС МАСЛЯНЫЙ 236-1011014-В3</x:v>
      </x:c>
      <x:c r="D136" s="16" t="str">
        <x:v>ЗЧ автотрансп оборуд</x:v>
      </x:c>
      <x:c r="E136" s="16" t="str">
        <x:v>ШТ</x:v>
      </x:c>
      <x:c r="F136" s="25" t="n">
        <x:v>1</x:v>
      </x:c>
      <x:c r="G136" s="17" t="n">
        <x:v>1547.0331999999999</x:v>
      </x:c>
      <x:c r="H136" s="17" t="n">
        <x:f>G136*F136</x:f>
        <x:v>1547.0331999999999</x:v>
      </x:c>
      <x:c r="I136" s="26" t="str">
        <x:f>HYPERLINK("https://etp-aktiv.ru/catalog/materialy/zapasnye-chasti-k-avtotransportnomu-oborudovaniyu/2000011667-W112/","Открыть позицию")</x:f>
        <x:v>Открыть позицию</x:v>
      </x:c>
    </x:row>
    <x:row r="137" ht="28" customHeight="1">
      <x:c r="A137" s="16" t="str">
        <x:v>Барнаульская ТЭЦ-3</x:v>
      </x:c>
      <x:c r="B137" s="16" t="str">
        <x:v>2000116471-W112</x:v>
      </x:c>
      <x:c r="C137" s="16" t="str">
        <x:v>ПОДШИПНИК 118</x:v>
      </x:c>
      <x:c r="D137" s="16" t="str">
        <x:v>Подшипники</x:v>
      </x:c>
      <x:c r="E137" s="16" t="str">
        <x:v>ШТ</x:v>
      </x:c>
      <x:c r="F137" s="25" t="n">
        <x:v>1</x:v>
      </x:c>
      <x:c r="G137" s="17" t="n">
        <x:v>1069.635</x:v>
      </x:c>
      <x:c r="H137" s="17" t="n">
        <x:f>G137*F137</x:f>
        <x:v>1069.635</x:v>
      </x:c>
      <x:c r="I137" s="26" t="str">
        <x:f>HYPERLINK("https://etp-aktiv.ru/catalog/materialy/podshipniki/2000116471-W112/","Открыть позицию")</x:f>
        <x:v>Открыть позицию</x:v>
      </x:c>
    </x:row>
    <x:row r="138" ht="28" customHeight="1">
      <x:c r="A138" s="16" t="str">
        <x:v>Барнаульская ТЭЦ-3</x:v>
      </x:c>
      <x:c r="B138" s="16" t="str">
        <x:v>2000556591-W112</x:v>
      </x:c>
      <x:c r="C138" s="16" t="str">
        <x:v>ПОДШИПНИК 2314 Л</x:v>
      </x:c>
      <x:c r="D138" s="16" t="str">
        <x:v>Подшипники</x:v>
      </x:c>
      <x:c r="E138" s="16" t="str">
        <x:v>ШТ</x:v>
      </x:c>
      <x:c r="F138" s="25" t="n">
        <x:v>1</x:v>
      </x:c>
      <x:c r="G138" s="17" t="n">
        <x:v>1574.105</x:v>
      </x:c>
      <x:c r="H138" s="17" t="n">
        <x:f>G138*F138</x:f>
        <x:v>1574.105</x:v>
      </x:c>
      <x:c r="I138" s="26" t="str">
        <x:f>HYPERLINK("https://etp-aktiv.ru/catalog/materialy/podshipniki/2000556591-W112/","Открыть позицию")</x:f>
        <x:v>Открыть позицию</x:v>
      </x:c>
    </x:row>
    <x:row r="139" ht="28" customHeight="1">
      <x:c r="A139" s="16" t="str">
        <x:v>Барнаульская ТЭЦ-3</x:v>
      </x:c>
      <x:c r="B139" s="16" t="str">
        <x:v>2000127195-W112</x:v>
      </x:c>
      <x:c r="C139" s="16" t="str">
        <x:v>ПОДШИПНИК 3086313</x:v>
      </x:c>
      <x:c r="D139" s="16" t="str">
        <x:v>Подшипники</x:v>
      </x:c>
      <x:c r="E139" s="16" t="str">
        <x:v>ШТ</x:v>
      </x:c>
      <x:c r="F139" s="25" t="n">
        <x:v>2</x:v>
      </x:c>
      <x:c r="G139" s="17" t="n">
        <x:v>4630.693</x:v>
      </x:c>
      <x:c r="H139" s="17" t="n">
        <x:f>G139*F139</x:f>
        <x:v>9261.386</x:v>
      </x:c>
      <x:c r="I139" s="26" t="str">
        <x:f>HYPERLINK("https://etp-aktiv.ru/catalog/materialy/podshipniki/2000127195-W112/","Открыть позицию")</x:f>
        <x:v>Открыть позицию</x:v>
      </x:c>
    </x:row>
    <x:row r="140" ht="28" customHeight="1">
      <x:c r="A140" s="16" t="str">
        <x:v>Барнаульская ТЭЦ-3</x:v>
      </x:c>
      <x:c r="B140" s="16" t="str">
        <x:v>2000116771-W112</x:v>
      </x:c>
      <x:c r="C140" s="16" t="str">
        <x:v>ПОДШИПНИК 3632</x:v>
      </x:c>
      <x:c r="D140" s="16" t="str">
        <x:v>Подшипники</x:v>
      </x:c>
      <x:c r="E140" s="16" t="str">
        <x:v>ШТ</x:v>
      </x:c>
      <x:c r="F140" s="25" t="n">
        <x:v>1</x:v>
      </x:c>
      <x:c r="G140" s="17" t="n">
        <x:v>14747.6284</x:v>
      </x:c>
      <x:c r="H140" s="17" t="n">
        <x:f>G140*F140</x:f>
        <x:v>14747.6284</x:v>
      </x:c>
      <x:c r="I140" s="26" t="str">
        <x:f>HYPERLINK("https://etp-aktiv.ru/catalog/materialy/podshipniki/2000116771-W112/","Открыть позицию")</x:f>
        <x:v>Открыть позицию</x:v>
      </x:c>
    </x:row>
    <x:row r="141" ht="28" customHeight="1">
      <x:c r="A141" s="16" t="str">
        <x:v>Барнаульская ТЭЦ-3</x:v>
      </x:c>
      <x:c r="B141" s="16" t="str">
        <x:v>2000116468-W112</x:v>
      </x:c>
      <x:c r="C141" s="16" t="str">
        <x:v>ПОДШИПНИК 7611</x:v>
      </x:c>
      <x:c r="D141" s="16" t="str">
        <x:v>Подшипники</x:v>
      </x:c>
      <x:c r="E141" s="16" t="str">
        <x:v>ШТ</x:v>
      </x:c>
      <x:c r="F141" s="25" t="n">
        <x:v>1</x:v>
      </x:c>
      <x:c r="G141" s="17" t="n">
        <x:v>148.6936</x:v>
      </x:c>
      <x:c r="H141" s="17" t="n">
        <x:f>G141*F141</x:f>
        <x:v>148.6936</x:v>
      </x:c>
      <x:c r="I141" s="26" t="str">
        <x:f>HYPERLINK("https://etp-aktiv.ru/catalog/materialy/podshipniki/2000116468-W112/","Открыть позицию")</x:f>
        <x:v>Открыть позицию</x:v>
      </x:c>
    </x:row>
    <x:row r="142" ht="28" customHeight="1">
      <x:c r="A142" s="16" t="str">
        <x:v>Барнаульская ТЭЦ-3</x:v>
      </x:c>
      <x:c r="B142" s="16" t="str">
        <x:v>2000034670-W112</x:v>
      </x:c>
      <x:c r="C142" s="16" t="str">
        <x:v>ПОДШИПНИК 8116</x:v>
      </x:c>
      <x:c r="D142" s="16" t="str">
        <x:v>Подшипники</x:v>
      </x:c>
      <x:c r="E142" s="16" t="str">
        <x:v>ШТ</x:v>
      </x:c>
      <x:c r="F142" s="25" t="n">
        <x:v>2</x:v>
      </x:c>
      <x:c r="G142" s="17" t="n">
        <x:v>549.0975999999999</x:v>
      </x:c>
      <x:c r="H142" s="17" t="n">
        <x:f>G142*F142</x:f>
        <x:v>1098.1951999999999</x:v>
      </x:c>
      <x:c r="I142" s="26" t="str">
        <x:f>HYPERLINK("https://etp-aktiv.ru/catalog/materialy/podshipniki/2000034670-W112/","Открыть позицию")</x:f>
        <x:v>Открыть позицию</x:v>
      </x:c>
    </x:row>
    <x:row r="143" ht="28" customHeight="1">
      <x:c r="A143" s="16" t="str">
        <x:v>Барнаульская ТЭЦ-3</x:v>
      </x:c>
      <x:c r="B143" s="16" t="str">
        <x:v>2000449758-W112</x:v>
      </x:c>
      <x:c r="C143" s="16" t="str">
        <x:v>ПОДШИПНИК 8216</x:v>
      </x:c>
      <x:c r="D143" s="16" t="str">
        <x:v>Подшипники</x:v>
      </x:c>
      <x:c r="E143" s="16" t="str">
        <x:v>ШТ</x:v>
      </x:c>
      <x:c r="F143" s="25" t="n">
        <x:v>1</x:v>
      </x:c>
      <x:c r="G143" s="17" t="n">
        <x:v>653.5052</x:v>
      </x:c>
      <x:c r="H143" s="17" t="n">
        <x:f>G143*F143</x:f>
        <x:v>653.5052</x:v>
      </x:c>
      <x:c r="I143" s="26" t="str">
        <x:f>HYPERLINK("https://etp-aktiv.ru/catalog/materialy/podshipniki/2000449758-W112/","Открыть позицию")</x:f>
        <x:v>Открыть позицию</x:v>
      </x:c>
    </x:row>
    <x:row r="144" ht="28" customHeight="1">
      <x:c r="A144" s="16" t="str">
        <x:v>Барнаульская ТЭЦ-3</x:v>
      </x:c>
      <x:c r="B144" s="16" t="str">
        <x:v>2000562903-W112</x:v>
      </x:c>
      <x:c r="C144" s="16" t="str">
        <x:v>ТУРБОКОМПРЕССОР ТКР 6-01.1</x:v>
      </x:c>
      <x:c r="D144" s="16" t="str">
        <x:v>ЗЧ автотрансп оборуд</x:v>
      </x:c>
      <x:c r="E144" s="16" t="str">
        <x:v>ШТ</x:v>
      </x:c>
      <x:c r="F144" s="25" t="n">
        <x:v>1</x:v>
      </x:c>
      <x:c r="G144" s="17" t="n">
        <x:v>9287.25</x:v>
      </x:c>
      <x:c r="H144" s="17" t="n">
        <x:f>G144*F144</x:f>
        <x:v>9287.25</x:v>
      </x:c>
      <x:c r="I144" s="26" t="str">
        <x:f>HYPERLINK("https://etp-aktiv.ru/catalog/materialy/zapasnye-chasti-k-avtotransportnomu-oborudovaniyu/2000562903-W112/","Открыть позицию")</x:f>
        <x:v>Открыть позицию</x:v>
      </x:c>
    </x:row>
    <x:row r="145" ht="28" customHeight="1">
      <x:c r="A145" s="16" t="str">
        <x:v>Барнаульская ТЭЦ-3</x:v>
      </x:c>
      <x:c r="B145" s="16" t="str">
        <x:v>2000168663-W112</x:v>
      </x:c>
      <x:c r="C145" s="16" t="str">
        <x:v>ТЯГА В/Т ТП-4375</x:v>
      </x:c>
      <x:c r="D145" s="16" t="str">
        <x:v>ЗЧ конвейеров поверх</x:v>
      </x:c>
      <x:c r="E145" s="16" t="str">
        <x:v>ШТ</x:v>
      </x:c>
      <x:c r="F145" s="25" t="n">
        <x:v>4</x:v>
      </x:c>
      <x:c r="G145" s="17" t="n">
        <x:v>7720.3186</x:v>
      </x:c>
      <x:c r="H145" s="17" t="n">
        <x:f>G145*F145</x:f>
        <x:v>30881.2744</x:v>
      </x:c>
      <x:c r="I145" s="26" t="str">
        <x:f>HYPERLINK("https://etp-aktiv.ru/catalog/materialy/zapasnye-chasti-k-drobilno-sortirovochnomu-oborudovaniyu/2000168663-W112/","Открыть позицию")</x:f>
        <x:v>Открыть позицию</x:v>
      </x:c>
    </x:row>
    <x:row r="146" ht="28" customHeight="1">
      <x:c r="A146" s="16" t="str">
        <x:v>Барнаульская ТЭЦ-3</x:v>
      </x:c>
      <x:c r="B146" s="16" t="str">
        <x:v>2000527643-W112</x:v>
      </x:c>
      <x:c r="C146" s="16" t="str">
        <x:v>УСТРОЙСТВО ЗАРЯДНОЕ AL2450DV 2607225028</x:v>
      </x:c>
      <x:c r="D146" s="16" t="str">
        <x:v>ЗЧ ремонт-механ обор</x:v>
      </x:c>
      <x:c r="E146" s="16" t="str">
        <x:v>ШТ</x:v>
      </x:c>
      <x:c r="F146" s="25" t="n">
        <x:v>2</x:v>
      </x:c>
      <x:c r="G146" s="17" t="n">
        <x:v>1390.1168</x:v>
      </x:c>
      <x:c r="H146" s="17" t="n">
        <x:f>G146*F146</x:f>
        <x:v>2780.2336</x:v>
      </x:c>
      <x:c r="I146" s="26" t="str">
        <x:f>HYPERLINK("https://etp-aktiv.ru/catalog/materialy/zapasnye-chasti-promyshlennogo-oborudovaniya/2000527643-W112/","Открыть позицию")</x:f>
        <x:v>Открыть позицию</x:v>
      </x:c>
    </x:row>
    <x:row r="147" ht="28" customHeight="1">
      <x:c r="A147" s="16" t="str">
        <x:v>Барнаульская ТЭЦ-3</x:v>
      </x:c>
      <x:c r="B147" s="16" t="str">
        <x:v>2000111218-W112</x:v>
      </x:c>
      <x:c r="C147" s="16" t="str">
        <x:v>ЦЕПЬ ПР-19.05-3180 (ШТ)</x:v>
      </x:c>
      <x:c r="D147" s="16" t="str">
        <x:v>Приводные цепи/комп</x:v>
      </x:c>
      <x:c r="E147" s="16" t="str">
        <x:v>ШТ</x:v>
      </x:c>
      <x:c r="F147" s="25" t="n">
        <x:v>3</x:v>
      </x:c>
      <x:c r="G147" s="17" t="n">
        <x:v>1613.7306</x:v>
      </x:c>
      <x:c r="H147" s="17" t="n">
        <x:f>G147*F147</x:f>
        <x:v>4841.1918000000005</x:v>
      </x:c>
      <x:c r="I147" s="26" t="str">
        <x:f>HYPERLINK("https://etp-aktiv.ru/catalog/materialy/zapasnye-chasti-promyshlennogo-oborudovaniya/2000111218-W112/","Открыть позицию")</x:f>
        <x:v>Открыть позицию</x:v>
      </x:c>
    </x:row>
    <x:row r="148" ht="28" customHeight="1">
      <x:c r="A148" s="16" t="str">
        <x:v>Барнаульская ТЭЦ-3</x:v>
      </x:c>
      <x:c r="B148" s="16" t="str">
        <x:v>2000136089-W112</x:v>
      </x:c>
      <x:c r="C148" s="16" t="str">
        <x:v>ЩЕТКА ПЛОСКАЯ 125ММ 74656</x:v>
      </x:c>
      <x:c r="D148" s="16" t="str">
        <x:v>Инструмент и спецосн</x:v>
      </x:c>
      <x:c r="E148" s="16" t="str">
        <x:v>ШТ</x:v>
      </x:c>
      <x:c r="F148" s="25" t="n">
        <x:v>1</x:v>
      </x:c>
      <x:c r="G148" s="17" t="n">
        <x:v>65.0992</x:v>
      </x:c>
      <x:c r="H148" s="17" t="n">
        <x:f>G148*F148</x:f>
        <x:v>65.0992</x:v>
      </x:c>
      <x:c r="I148" s="26" t="str">
        <x:f>HYPERLINK("https://etp-aktiv.ru/catalog/materialy/instrument-i-specosnastka/2000136089-W112/","Открыть позицию")</x:f>
        <x:v>Открыть позицию</x:v>
      </x:c>
    </x:row>
    <x:row r="149" ht="28" customHeight="1">
      <x:c r="A149" s="16" t="str">
        <x:v>Бийскэнерго</x:v>
      </x:c>
      <x:c r="B149" s="16" t="str">
        <x:v>2000579893-W113</x:v>
      </x:c>
      <x:c r="C149" s="16" t="str">
        <x:v>БАРАБАН КОНЦЕВОЙ 100100-100</x:v>
      </x:c>
      <x:c r="D149" s="16" t="str">
        <x:v>ЗЧ конвейеров поверх</x:v>
      </x:c>
      <x:c r="E149" s="16" t="str">
        <x:v>ШТ</x:v>
      </x:c>
      <x:c r="F149" s="25" t="n">
        <x:v>1</x:v>
      </x:c>
      <x:c r="G149" s="17" t="n">
        <x:v>311580.375</x:v>
      </x:c>
      <x:c r="H149" s="17" t="n">
        <x:f>G149*F149</x:f>
        <x:v>311580.375</x:v>
      </x:c>
      <x:c r="I149" s="26" t="str">
        <x:f>HYPERLINK("https://etp-aktiv.ru/catalog/materialy/zapasnye-chasti-k-drobilno-sortirovochnomu-oborudovaniyu/2000579893-W113/","Открыть позицию")</x:f>
        <x:v>Открыть позицию</x:v>
      </x:c>
    </x:row>
    <x:row r="150" ht="28" customHeight="1">
      <x:c r="A150" s="16" t="str">
        <x:v>Бийскэнерго</x:v>
      </x:c>
      <x:c r="B150" s="16" t="str">
        <x:v>2000579894-W113</x:v>
      </x:c>
      <x:c r="C150" s="16" t="str">
        <x:v>БАРАБАН КОНЦЕВОЙ 10063-80</x:v>
      </x:c>
      <x:c r="D150" s="16" t="str">
        <x:v>ЗЧ конвейеров поверх</x:v>
      </x:c>
      <x:c r="E150" s="16" t="str">
        <x:v>ШТ</x:v>
      </x:c>
      <x:c r="F150" s="25" t="n">
        <x:v>1</x:v>
      </x:c>
      <x:c r="G150" s="17" t="n">
        <x:v>139203.525</x:v>
      </x:c>
      <x:c r="H150" s="17" t="n">
        <x:f>G150*F150</x:f>
        <x:v>139203.525</x:v>
      </x:c>
      <x:c r="I150" s="26" t="str">
        <x:f>HYPERLINK("https://etp-aktiv.ru/catalog/materialy/zapasnye-chasti-k-drobilno-sortirovochnomu-oborudovaniyu/2000579894-W113/","Открыть позицию")</x:f>
        <x:v>Открыть позицию</x:v>
      </x:c>
    </x:row>
    <x:row r="151" ht="28" customHeight="1">
      <x:c r="A151" s="16" t="str">
        <x:v>Бийскэнерго</x:v>
      </x:c>
      <x:c r="B151" s="16" t="str">
        <x:v>2000579892-W113</x:v>
      </x:c>
      <x:c r="C151" s="16" t="str">
        <x:v>БАРАБАН ПРИВОДНОЙ 100125Ф-160</x:v>
      </x:c>
      <x:c r="D151" s="16" t="str">
        <x:v>ЗЧ конвейеров поверх</x:v>
      </x:c>
      <x:c r="E151" s="16" t="str">
        <x:v>ШТ</x:v>
      </x:c>
      <x:c r="F151" s="25" t="n">
        <x:v>1</x:v>
      </x:c>
      <x:c r="G151" s="17" t="n">
        <x:v>514687.5</x:v>
      </x:c>
      <x:c r="H151" s="17" t="n">
        <x:f>G151*F151</x:f>
        <x:v>514687.5</x:v>
      </x:c>
      <x:c r="I151" s="26" t="str">
        <x:f>HYPERLINK("https://etp-aktiv.ru/catalog/materialy/zapasnye-chasti-k-drobilno-sortirovochnomu-oborudovaniyu/2000579892-W113/","Открыть позицию")</x:f>
        <x:v>Открыть позицию</x:v>
      </x:c>
    </x:row>
    <x:row r="152" ht="28" customHeight="1">
      <x:c r="A152" s="16" t="str">
        <x:v>Бийскэнерго</x:v>
      </x:c>
      <x:c r="B152" s="16" t="str">
        <x:v>2000169295-W113</x:v>
      </x:c>
      <x:c r="C152" s="16" t="str">
        <x:v>БУР SDS-PLUS 10*150ММ 1020320</x:v>
      </x:c>
      <x:c r="D152" s="16" t="str">
        <x:v>Инструмент и спецосн</x:v>
      </x:c>
      <x:c r="E152" s="16" t="str">
        <x:v>ШТ</x:v>
      </x:c>
      <x:c r="F152" s="25" t="n">
        <x:v>10</x:v>
      </x:c>
      <x:c r="G152" s="17" t="n">
        <x:v>27.2182</x:v>
      </x:c>
      <x:c r="H152" s="17" t="n">
        <x:f>G152*F152</x:f>
        <x:v>272.182</x:v>
      </x:c>
      <x:c r="I152" s="26" t="str">
        <x:f>HYPERLINK("https://etp-aktiv.ru/catalog/materialy/instrument-i-specosnastka/2000169295-W113/","Открыть позицию")</x:f>
        <x:v>Открыть позицию</x:v>
      </x:c>
    </x:row>
    <x:row r="153" ht="28" customHeight="1">
      <x:c r="A153" s="16" t="str">
        <x:v>Бийскэнерго</x:v>
      </x:c>
      <x:c r="B153" s="16" t="str">
        <x:v>2000622054-W113</x:v>
      </x:c>
      <x:c r="C153" s="16" t="str">
        <x:v>БУР SDS-PLUS 8*210 DEXTER 16659811</x:v>
      </x:c>
      <x:c r="D153" s="16" t="str">
        <x:v>Инструмент и спецосн</x:v>
      </x:c>
      <x:c r="E153" s="16" t="str">
        <x:v>ШТ</x:v>
      </x:c>
      <x:c r="F153" s="25" t="n">
        <x:v>8</x:v>
      </x:c>
      <x:c r="G153" s="17" t="n">
        <x:v>32.7936</x:v>
      </x:c>
      <x:c r="H153" s="17" t="n">
        <x:f>G153*F153</x:f>
        <x:v>262.3488</x:v>
      </x:c>
      <x:c r="I153" s="26" t="str">
        <x:f>HYPERLINK("https://etp-aktiv.ru/catalog/materialy/instrument-i-specosnastka/2000622054-W113/","Открыть позицию")</x:f>
        <x:v>Открыть позицию</x:v>
      </x:c>
    </x:row>
    <x:row r="154" ht="28" customHeight="1">
      <x:c r="A154" s="16" t="str">
        <x:v>Бийскэнерго</x:v>
      </x:c>
      <x:c r="B154" s="16" t="str">
        <x:v>5000065534-W113</x:v>
      </x:c>
      <x:c r="C154" s="16" t="str">
        <x:v>ВИБРАТОР ИВ-11-50 380В</x:v>
      </x:c>
      <x:c r="D154" s="16" t="str">
        <x:v>Средства малой механ</x:v>
      </x:c>
      <x:c r="E154" s="16" t="str">
        <x:v>ШТ</x:v>
      </x:c>
      <x:c r="F154" s="25" t="n">
        <x:v>2</x:v>
      </x:c>
      <x:c r="G154" s="17" t="n">
        <x:v>1707.3412</x:v>
      </x:c>
      <x:c r="H154" s="17" t="n">
        <x:f>G154*F154</x:f>
        <x:v>3414.6824</x:v>
      </x:c>
      <x:c r="I154" s="26" t="str">
        <x:f>HYPERLINK("https://etp-aktiv.ru/catalog/materialy/prochie-materialy/5000065534-W113/","Открыть позицию")</x:f>
        <x:v>Открыть позицию</x:v>
      </x:c>
    </x:row>
    <x:row r="155" ht="28" customHeight="1">
      <x:c r="A155" s="16" t="str">
        <x:v>Бийскэнерго</x:v>
      </x:c>
      <x:c r="B155" s="16" t="str">
        <x:v>2000250462-W113</x:v>
      </x:c>
      <x:c r="C155" s="16" t="str">
        <x:v>ВКЛАДЫШ КАБИНЫ ЛИФТА 6-88-3-05-2004</x:v>
      </x:c>
      <x:c r="D155" s="16" t="str">
        <x:v>ЗЧ грузоподъемн обор</x:v>
      </x:c>
      <x:c r="E155" s="16" t="str">
        <x:v>ШТ</x:v>
      </x:c>
      <x:c r="F155" s="25" t="n">
        <x:v>6</x:v>
      </x:c>
      <x:c r="G155" s="17" t="n">
        <x:v>1235.25</x:v>
      </x:c>
      <x:c r="H155" s="17" t="n">
        <x:f>G155*F155</x:f>
        <x:v>7411.5</x:v>
      </x:c>
      <x:c r="I155" s="26" t="str">
        <x:f>HYPERLINK("https://etp-aktiv.ru/catalog/materialy/zapasnye-chasti-k-gruzopodemnoj-tekhnike-oborudovaniyu-i-mekhanizmam/2000250462-W113/","Открыть позицию")</x:f>
        <x:v>Открыть позицию</x:v>
      </x:c>
    </x:row>
    <x:row r="156" ht="28" customHeight="1">
      <x:c r="A156" s="16" t="str">
        <x:v>Бийскэнерго</x:v>
      </x:c>
      <x:c r="B156" s="16" t="str">
        <x:v>2000533479-W113</x:v>
      </x:c>
      <x:c r="C156" s="16" t="str">
        <x:v>ВТУЛКА 819.07.12.03 НАСОСОВ СЭ</x:v>
      </x:c>
      <x:c r="D156" s="16" t="str">
        <x:v>ЗЧ к энергетич насос</x:v>
      </x:c>
      <x:c r="E156" s="16" t="str">
        <x:v>ШТ</x:v>
      </x:c>
      <x:c r="F156" s="25" t="n">
        <x:v>2</x:v>
      </x:c>
      <x:c r="G156" s="17" t="n">
        <x:v>22481.55</x:v>
      </x:c>
      <x:c r="H156" s="17" t="n">
        <x:f>G156*F156</x:f>
        <x:v>44963.1</x:v>
      </x:c>
      <x:c r="I156" s="26" t="str">
        <x:f>HYPERLINK("https://etp-aktiv.ru/catalog/materialy/zapasnye-chasti-promyshlennogo-oborudovaniya/2000533479-W113/","Открыть позицию")</x:f>
        <x:v>Открыть позицию</x:v>
      </x:c>
    </x:row>
    <x:row r="157" ht="28" customHeight="1">
      <x:c r="A157" s="16" t="str">
        <x:v>Бийскэнерго</x:v>
      </x:c>
      <x:c r="B157" s="16" t="str">
        <x:v>2000255285-W113</x:v>
      </x:c>
      <x:c r="C157" s="16" t="str">
        <x:v>ВТУЛКА Н42.878.01.00.001</x:v>
      </x:c>
      <x:c r="D157" s="16" t="str">
        <x:v>ЗЧ к энергетич насос</x:v>
      </x:c>
      <x:c r="E157" s="16" t="str">
        <x:v>ШТ</x:v>
      </x:c>
      <x:c r="F157" s="25" t="n">
        <x:v>3</x:v>
      </x:c>
      <x:c r="G157" s="17" t="n">
        <x:v>5877.923400000001</x:v>
      </x:c>
      <x:c r="H157" s="17" t="n">
        <x:f>G157*F157</x:f>
        <x:v>17633.770200000003</x:v>
      </x:c>
      <x:c r="I157" s="26" t="str">
        <x:f>HYPERLINK("https://etp-aktiv.ru/catalog/materialy/zapasnye-chasti-promyshlennogo-oborudovaniya/2000255285-W113/","Открыть позицию")</x:f>
        <x:v>Открыть позицию</x:v>
      </x:c>
    </x:row>
    <x:row r="158" ht="28" customHeight="1">
      <x:c r="A158" s="16" t="str">
        <x:v>Бийскэнерго</x:v>
      </x:c>
      <x:c r="B158" s="16" t="str">
        <x:v>2000255289-W113</x:v>
      </x:c>
      <x:c r="C158" s="16" t="str">
        <x:v>ВТУЛКА Н42.878.01.00.003</x:v>
      </x:c>
      <x:c r="D158" s="16" t="str">
        <x:v>ЗЧ к энергетич насос</x:v>
      </x:c>
      <x:c r="E158" s="16" t="str">
        <x:v>ШТ</x:v>
      </x:c>
      <x:c r="F158" s="25" t="n">
        <x:v>3</x:v>
      </x:c>
      <x:c r="G158" s="17" t="n">
        <x:v>5877.923400000001</x:v>
      </x:c>
      <x:c r="H158" s="17" t="n">
        <x:f>G158*F158</x:f>
        <x:v>17633.770200000003</x:v>
      </x:c>
      <x:c r="I158" s="26" t="str">
        <x:f>HYPERLINK("https://etp-aktiv.ru/catalog/materialy/zapasnye-chasti-promyshlennogo-oborudovaniya/2000255289-W113/","Открыть позицию")</x:f>
        <x:v>Открыть позицию</x:v>
      </x:c>
    </x:row>
    <x:row r="159" ht="28" customHeight="1">
      <x:c r="A159" s="16" t="str">
        <x:v>Бийскэнерго</x:v>
      </x:c>
      <x:c r="B159" s="16" t="str">
        <x:v>2000525958-W113</x:v>
      </x:c>
      <x:c r="C159" s="16" t="str">
        <x:v>ГАЙКА М30*2 9.00.111.03</x:v>
      </x:c>
      <x:c r="D159" s="16" t="str">
        <x:v>ЗЧ дроб-сорт оборуд</x:v>
      </x:c>
      <x:c r="E159" s="16" t="str">
        <x:v>ШТ</x:v>
      </x:c>
      <x:c r="F159" s="25" t="n">
        <x:v>64</x:v>
      </x:c>
      <x:c r="G159" s="17" t="n">
        <x:v>21.96</x:v>
      </x:c>
      <x:c r="H159" s="17" t="n">
        <x:f>G159*F159</x:f>
        <x:v>1405.44</x:v>
      </x:c>
      <x:c r="I159" s="26" t="str">
        <x:f>HYPERLINK("https://etp-aktiv.ru/catalog/materialy/zapasnye-chasti-k-drobilno-sortirovochnomu-oborudovaniyu/2000525958-W113/","Открыть позицию")</x:f>
        <x:v>Открыть позицию</x:v>
      </x:c>
    </x:row>
    <x:row r="160" ht="28" customHeight="1">
      <x:c r="A160" s="16" t="str">
        <x:v>Бийскэнерго</x:v>
      </x:c>
      <x:c r="B160" s="16" t="str">
        <x:v>2000270144-W113</x:v>
      </x:c>
      <x:c r="C160" s="16" t="str">
        <x:v>ДИСК ШЛИФОВАЛЬНЫЙ 230*6*22 200274</x:v>
      </x:c>
      <x:c r="D160" s="16" t="str">
        <x:v>Инструмент и спецосн</x:v>
      </x:c>
      <x:c r="E160" s="16" t="str">
        <x:v>ШТ</x:v>
      </x:c>
      <x:c r="F160" s="25" t="n">
        <x:v>2</x:v>
      </x:c>
      <x:c r="G160" s="17" t="n">
        <x:v>85.7782</x:v>
      </x:c>
      <x:c r="H160" s="17" t="n">
        <x:f>G160*F160</x:f>
        <x:v>171.5564</x:v>
      </x:c>
      <x:c r="I160" s="26" t="str">
        <x:f>HYPERLINK("https://etp-aktiv.ru/catalog/materialy/instrument-i-specosnastka/2000270144-W113/","Открыть позицию")</x:f>
        <x:v>Открыть позицию</x:v>
      </x:c>
    </x:row>
    <x:row r="161" ht="28" customHeight="1">
      <x:c r="A161" s="16" t="str">
        <x:v>Бийскэнерго</x:v>
      </x:c>
      <x:c r="B161" s="16" t="str">
        <x:v>5000058087-W113</x:v>
      </x:c>
      <x:c r="C161" s="16" t="str">
        <x:v>ДРЕЛЬ БЕЗУДАРНАЯ MAKITA DP4011</x:v>
      </x:c>
      <x:c r="D161" s="16" t="str">
        <x:v>Средства малой механ</x:v>
      </x:c>
      <x:c r="E161" s="16" t="str">
        <x:v>ШТ</x:v>
      </x:c>
      <x:c r="F161" s="25" t="n">
        <x:v>1</x:v>
      </x:c>
      <x:c r="G161" s="17" t="n">
        <x:v>861.8201999999999</x:v>
      </x:c>
      <x:c r="H161" s="17" t="n">
        <x:f>G161*F161</x:f>
        <x:v>861.8201999999999</x:v>
      </x:c>
      <x:c r="I161" s="26" t="str">
        <x:f>HYPERLINK("https://etp-aktiv.ru/catalog/materialy/prochie-materialy/5000058087-W113/","Открыть позицию")</x:f>
        <x:v>Открыть позицию</x:v>
      </x:c>
    </x:row>
    <x:row r="162" ht="28" customHeight="1">
      <x:c r="A162" s="16" t="str">
        <x:v>Бийскэнерго</x:v>
      </x:c>
      <x:c r="B162" s="16" t="str">
        <x:v>2000539526-W113</x:v>
      </x:c>
      <x:c r="C162" s="16" t="str">
        <x:v>КЛАПАН 15Б1П DN20 PN16 Б/ПР МАХОВ МУФТ А</x:v>
      </x:c>
      <x:c r="D162" s="16" t="str">
        <x:v>Армат из медн сплав</x:v>
      </x:c>
      <x:c r="E162" s="16" t="str">
        <x:v>ШТ</x:v>
      </x:c>
      <x:c r="F162" s="25" t="n">
        <x:v>4</x:v>
      </x:c>
      <x:c r="G162" s="17" t="n">
        <x:v>164.7</x:v>
      </x:c>
      <x:c r="H162" s="17" t="n">
        <x:f>G162*F162</x:f>
        <x:v>658.8</x:v>
      </x:c>
      <x:c r="I162" s="26" t="str">
        <x:f>HYPERLINK("https://etp-aktiv.ru/catalog/materialy/truboprovodnaya-armatura-i-komplektuyushchie/2000539526-W113/","Открыть позицию")</x:f>
        <x:v>Открыть позицию</x:v>
      </x:c>
    </x:row>
    <x:row r="163" ht="28" customHeight="1">
      <x:c r="A163" s="16" t="str">
        <x:v>Бийскэнерго</x:v>
      </x:c>
      <x:c r="B163" s="16" t="str">
        <x:v>2000539527-W113</x:v>
      </x:c>
      <x:c r="C163" s="16" t="str">
        <x:v>КЛАПАН 15Б1П DN25 PN16 Б/ПР МАХОВ МУФТ А</x:v>
      </x:c>
      <x:c r="D163" s="16" t="str">
        <x:v>Армат из медн сплав</x:v>
      </x:c>
      <x:c r="E163" s="16" t="str">
        <x:v>ШТ</x:v>
      </x:c>
      <x:c r="F163" s="25" t="n">
        <x:v>12</x:v>
      </x:c>
      <x:c r="G163" s="17" t="n">
        <x:v>329.4</x:v>
      </x:c>
      <x:c r="H163" s="17" t="n">
        <x:f>G163*F163</x:f>
        <x:v>3952.7999999999997</x:v>
      </x:c>
      <x:c r="I163" s="26" t="str">
        <x:f>HYPERLINK("https://etp-aktiv.ru/catalog/materialy/truboprovodnaya-armatura-i-komplektuyushchie/2000539527-W113/","Открыть позицию")</x:f>
        <x:v>Открыть позицию</x:v>
      </x:c>
    </x:row>
    <x:row r="164" ht="28" customHeight="1">
      <x:c r="A164" s="16" t="str">
        <x:v>Бийскэнерго</x:v>
      </x:c>
      <x:c r="B164" s="16" t="str">
        <x:v>2000539663-W113</x:v>
      </x:c>
      <x:c r="C164" s="16" t="str">
        <x:v>КЛАПАН 15Ч8Р DN40 PN16 Р/П МУФТ А</x:v>
      </x:c>
      <x:c r="D164" s="16" t="str">
        <x:v>ЧугунАрмат (кр.затв)</x:v>
      </x:c>
      <x:c r="E164" s="16" t="str">
        <x:v>ШТ</x:v>
      </x:c>
      <x:c r="F164" s="25" t="n">
        <x:v>2</x:v>
      </x:c>
      <x:c r="G164" s="17" t="n">
        <x:v>256.2</x:v>
      </x:c>
      <x:c r="H164" s="17" t="n">
        <x:f>G164*F164</x:f>
        <x:v>512.4</x:v>
      </x:c>
      <x:c r="I164" s="26" t="str">
        <x:f>HYPERLINK("https://etp-aktiv.ru/catalog/materialy/truboprovodnaya-armatura-i-komplektuyushchie/2000539663-W113/","Открыть позицию")</x:f>
        <x:v>Открыть позицию</x:v>
      </x:c>
    </x:row>
    <x:row r="165" ht="28" customHeight="1">
      <x:c r="A165" s="16" t="str">
        <x:v>Бийскэнерго</x:v>
      </x:c>
      <x:c r="B165" s="16" t="str">
        <x:v>2000630335-W113</x:v>
      </x:c>
      <x:c r="C165" s="16" t="str">
        <x:v>КЛЮЧ ВЕНТИЛЬНЫЙ Д/ЗАДВИЖ 50*400 ST34685</x:v>
      </x:c>
      <x:c r="D165" s="16" t="str">
        <x:v>Инструмент и спецосн</x:v>
      </x:c>
      <x:c r="E165" s="16" t="str">
        <x:v>ШТ</x:v>
      </x:c>
      <x:c r="F165" s="25" t="n">
        <x:v>12</x:v>
      </x:c>
      <x:c r="G165" s="17" t="n">
        <x:v>505.15319999999997</x:v>
      </x:c>
      <x:c r="H165" s="17" t="n">
        <x:f>G165*F165</x:f>
        <x:v>6061.8384</x:v>
      </x:c>
      <x:c r="I165" s="26" t="str">
        <x:f>HYPERLINK("https://etp-aktiv.ru/catalog/materialy/instrument-i-specosnastka/2000630335-W113/","Открыть позицию")</x:f>
        <x:v>Открыть позицию</x:v>
      </x:c>
    </x:row>
    <x:row r="166" ht="28" customHeight="1">
      <x:c r="A166" s="16" t="str">
        <x:v>Бийскэнерго</x:v>
      </x:c>
      <x:c r="B166" s="16" t="str">
        <x:v>M2000564883-W113</x:v>
      </x:c>
      <x:c r="C166" s="16" t="str">
        <x:v>КОЛЕСО РАБ ПРАВ МВ-17 03.8210.490</x:v>
      </x:c>
      <x:c r="D166" s="16" t="str">
        <x:v>ЗЧ вентиляц оборуд</x:v>
      </x:c>
      <x:c r="E166" s="16" t="str">
        <x:v>ШТ</x:v>
      </x:c>
      <x:c r="F166" s="25" t="n">
        <x:v>3</x:v>
      </x:c>
      <x:c r="G166" s="17" t="n">
        <x:v>6748.125</x:v>
      </x:c>
      <x:c r="H166" s="17" t="n">
        <x:f>G166*F166</x:f>
        <x:v>20244.375</x:v>
      </x:c>
      <x:c r="I166" s="26" t="str">
        <x:f>HYPERLINK("https://etp-aktiv.ru/catalog/materialy/zapasnye-chasti-promyshlennogo-oborudovaniya/M2000564883-W113/","Открыть позицию")</x:f>
        <x:v>Открыть позицию</x:v>
      </x:c>
    </x:row>
    <x:row r="167" ht="28" customHeight="1">
      <x:c r="A167" s="16" t="str">
        <x:v>Бийскэнерго</x:v>
      </x:c>
      <x:c r="B167" s="16" t="str">
        <x:v>2000534068-W113</x:v>
      </x:c>
      <x:c r="C167" s="16" t="str">
        <x:v>КОЛЬЦО Н83.27.00.011 НМШ8-25-6,3/2,5</x:v>
      </x:c>
      <x:c r="D167" s="16" t="str">
        <x:v>ЗЧ к гидравлич насос</x:v>
      </x:c>
      <x:c r="E167" s="16" t="str">
        <x:v>ШТ</x:v>
      </x:c>
      <x:c r="F167" s="25" t="n">
        <x:v>2</x:v>
      </x:c>
      <x:c r="G167" s="17" t="n">
        <x:v>562.5054</x:v>
      </x:c>
      <x:c r="H167" s="17" t="n">
        <x:f>G167*F167</x:f>
        <x:v>1125.0108</x:v>
      </x:c>
      <x:c r="I167" s="26" t="str">
        <x:f>HYPERLINK("https://etp-aktiv.ru/catalog/materialy/nasosno-kompressornoe-oborudovanie/2000534068-W113/","Открыть позицию")</x:f>
        <x:v>Открыть позицию</x:v>
      </x:c>
    </x:row>
    <x:row r="168" ht="28" customHeight="1">
      <x:c r="A168" s="16" t="str">
        <x:v>Бийскэнерго</x:v>
      </x:c>
      <x:c r="B168" s="16" t="str">
        <x:v>2000515556-W113</x:v>
      </x:c>
      <x:c r="C168" s="16" t="str">
        <x:v>КРУГ ОТРЕЗНОЙ 150*1,2*22 14А</x:v>
      </x:c>
      <x:c r="D168" s="16" t="str">
        <x:v>Инструмент и спецосн</x:v>
      </x:c>
      <x:c r="E168" s="16" t="str">
        <x:v>ШТ</x:v>
      </x:c>
      <x:c r="F168" s="25" t="n">
        <x:v>1</x:v>
      </x:c>
      <x:c r="G168" s="17" t="n">
        <x:v>14.9328</x:v>
      </x:c>
      <x:c r="H168" s="17" t="n">
        <x:f>G168*F168</x:f>
        <x:v>14.9328</x:v>
      </x:c>
      <x:c r="I168" s="26" t="str">
        <x:f>HYPERLINK("https://etp-aktiv.ru/catalog/materialy/instrument-i-specosnastka/2000515556-W113/","Открыть позицию")</x:f>
        <x:v>Открыть позицию</x:v>
      </x:c>
    </x:row>
    <x:row r="169" ht="28" customHeight="1">
      <x:c r="A169" s="16" t="str">
        <x:v>Бийскэнерго</x:v>
      </x:c>
      <x:c r="B169" s="16" t="str">
        <x:v>2000138348-W113</x:v>
      </x:c>
      <x:c r="C169" s="16" t="str">
        <x:v>КРУГ ОТРЕЗНОЙ 180*3*22 13А</x:v>
      </x:c>
      <x:c r="D169" s="16" t="str">
        <x:v>Инструмент и спецосн</x:v>
      </x:c>
      <x:c r="E169" s="16" t="str">
        <x:v>ШТ</x:v>
      </x:c>
      <x:c r="F169" s="25" t="n">
        <x:v>31</x:v>
      </x:c>
      <x:c r="G169" s="17" t="n">
        <x:v>24.107200000000002</x:v>
      </x:c>
      <x:c r="H169" s="17" t="n">
        <x:f>G169*F169</x:f>
        <x:v>747.3232</x:v>
      </x:c>
      <x:c r="I169" s="26" t="str">
        <x:f>HYPERLINK("https://etp-aktiv.ru/catalog/materialy/instrument-i-specosnastka/2000138348-W113/","Открыть позицию")</x:f>
        <x:v>Открыть позицию</x:v>
      </x:c>
    </x:row>
    <x:row r="170" ht="28" customHeight="1">
      <x:c r="A170" s="16" t="str">
        <x:v>Бийскэнерго</x:v>
      </x:c>
      <x:c r="B170" s="16" t="str">
        <x:v>2000138347-W113</x:v>
      </x:c>
      <x:c r="C170" s="16" t="str">
        <x:v>КРУГ ОТРЕЗНОЙ 180*3*32 13А</x:v>
      </x:c>
      <x:c r="D170" s="16" t="str">
        <x:v>Инструмент и спецосн</x:v>
      </x:c>
      <x:c r="E170" s="16" t="str">
        <x:v>ШТ</x:v>
      </x:c>
      <x:c r="F170" s="25" t="n">
        <x:v>3</x:v>
      </x:c>
      <x:c r="G170" s="17" t="n">
        <x:v>37.9786</x:v>
      </x:c>
      <x:c r="H170" s="17" t="n">
        <x:f>G170*F170</x:f>
        <x:v>113.9358</x:v>
      </x:c>
      <x:c r="I170" s="26" t="str">
        <x:f>HYPERLINK("https://etp-aktiv.ru/catalog/materialy/instrument-i-specosnastka/2000138347-W113/","Открыть позицию")</x:f>
        <x:v>Открыть позицию</x:v>
      </x:c>
    </x:row>
    <x:row r="171" ht="28" customHeight="1">
      <x:c r="A171" s="16" t="str">
        <x:v>Бийскэнерго</x:v>
      </x:c>
      <x:c r="B171" s="16" t="str">
        <x:v>2000166468-W113</x:v>
      </x:c>
      <x:c r="C171" s="16" t="str">
        <x:v>КРУГ ОТРЕЗНОЙ 300*3*32АРМ 14А</x:v>
      </x:c>
      <x:c r="D171" s="16" t="str">
        <x:v>Инструмент и спецосн</x:v>
      </x:c>
      <x:c r="E171" s="16" t="str">
        <x:v>ШТ</x:v>
      </x:c>
      <x:c r="F171" s="25" t="n">
        <x:v>20</x:v>
      </x:c>
      <x:c r="G171" s="17" t="n">
        <x:v>72.4802</x:v>
      </x:c>
      <x:c r="H171" s="17" t="n">
        <x:f>G171*F171</x:f>
        <x:v>1449.6039999999998</x:v>
      </x:c>
      <x:c r="I171" s="26" t="str">
        <x:f>HYPERLINK("https://etp-aktiv.ru/catalog/materialy/instrument-i-specosnastka/2000166468-W113/","Открыть позицию")</x:f>
        <x:v>Открыть позицию</x:v>
      </x:c>
    </x:row>
    <x:row r="172" ht="28" customHeight="1">
      <x:c r="A172" s="16" t="str">
        <x:v>Бийскэнерго</x:v>
      </x:c>
      <x:c r="B172" s="16" t="str">
        <x:v>2000138134-W113</x:v>
      </x:c>
      <x:c r="C172" s="16" t="str">
        <x:v>КРУГ ОТРЕЗНОЙ 400*4*32 13А</x:v>
      </x:c>
      <x:c r="D172" s="16" t="str">
        <x:v>Инструмент и спецосн</x:v>
      </x:c>
      <x:c r="E172" s="16" t="str">
        <x:v>ШТ</x:v>
      </x:c>
      <x:c r="F172" s="25" t="n">
        <x:v>5</x:v>
      </x:c>
      <x:c r="G172" s="17" t="n">
        <x:v>174.1916</x:v>
      </x:c>
      <x:c r="H172" s="17" t="n">
        <x:f>G172*F172</x:f>
        <x:v>870.958</x:v>
      </x:c>
      <x:c r="I172" s="26" t="str">
        <x:f>HYPERLINK("https://etp-aktiv.ru/catalog/materialy/instrument-i-specosnastka/2000138134-W113/","Открыть позицию")</x:f>
        <x:v>Открыть позицию</x:v>
      </x:c>
    </x:row>
    <x:row r="173" ht="28" customHeight="1">
      <x:c r="A173" s="16" t="str">
        <x:v>Бийскэнерго</x:v>
      </x:c>
      <x:c r="B173" s="16" t="str">
        <x:v>2000544253-W113</x:v>
      </x:c>
      <x:c r="C173" s="16" t="str">
        <x:v>КРУГ ШЛ 150*20*32 25А 40 L 6 V 502</x:v>
      </x:c>
      <x:c r="D173" s="16" t="str">
        <x:v>Инструмент и спецосн</x:v>
      </x:c>
      <x:c r="E173" s="16" t="str">
        <x:v>ШТ</x:v>
      </x:c>
      <x:c r="F173" s="25" t="n">
        <x:v>2</x:v>
      </x:c>
      <x:c r="G173" s="17" t="n">
        <x:v>204.7648</x:v>
      </x:c>
      <x:c r="H173" s="17" t="n">
        <x:f>G173*F173</x:f>
        <x:v>409.5296</x:v>
      </x:c>
      <x:c r="I173" s="26" t="str">
        <x:f>HYPERLINK("https://etp-aktiv.ru/catalog/materialy/instrument-i-specosnastka/2000544253-W113/","Открыть позицию")</x:f>
        <x:v>Открыть позицию</x:v>
      </x:c>
    </x:row>
    <x:row r="174" ht="28" customHeight="1">
      <x:c r="A174" s="16" t="str">
        <x:v>Бийскэнерго</x:v>
      </x:c>
      <x:c r="B174" s="16" t="str">
        <x:v>2000544147-W113</x:v>
      </x:c>
      <x:c r="C174" s="16" t="str">
        <x:v>КРУГ ШЛ 150*6*22 14А А24 3650-150-06-111</x:v>
      </x:c>
      <x:c r="D174" s="16" t="str">
        <x:v>Инструмент и спецосн</x:v>
      </x:c>
      <x:c r="E174" s="16" t="str">
        <x:v>ШТ</x:v>
      </x:c>
      <x:c r="F174" s="25" t="n">
        <x:v>548</x:v>
      </x:c>
      <x:c r="G174" s="17" t="n">
        <x:v>10.5286</x:v>
      </x:c>
      <x:c r="H174" s="17" t="n">
        <x:f>G174*F174</x:f>
        <x:v>5769.6728</x:v>
      </x:c>
      <x:c r="I174" s="26" t="str">
        <x:f>HYPERLINK("https://etp-aktiv.ru/catalog/materialy/instrument-i-specosnastka/2000544147-W113/","Открыть позицию")</x:f>
        <x:v>Открыть позицию</x:v>
      </x:c>
    </x:row>
    <x:row r="175" ht="28" customHeight="1">
      <x:c r="A175" s="16" t="str">
        <x:v>Бийскэнерго</x:v>
      </x:c>
      <x:c r="B175" s="16" t="str">
        <x:v>2000544148-W113</x:v>
      </x:c>
      <x:c r="C175" s="16" t="str">
        <x:v>КРУГ ШЛ 180*6*22 14А А24 3650-180-06-111</x:v>
      </x:c>
      <x:c r="D175" s="16" t="str">
        <x:v>Инструмент и спецосн</x:v>
      </x:c>
      <x:c r="E175" s="16" t="str">
        <x:v>ШТ</x:v>
      </x:c>
      <x:c r="F175" s="25" t="n">
        <x:v>20</x:v>
      </x:c>
      <x:c r="G175" s="17" t="n">
        <x:v>46.2136</x:v>
      </x:c>
      <x:c r="H175" s="17" t="n">
        <x:f>G175*F175</x:f>
        <x:v>924.2719999999999</x:v>
      </x:c>
      <x:c r="I175" s="26" t="str">
        <x:f>HYPERLINK("https://etp-aktiv.ru/catalog/materialy/instrument-i-specosnastka/2000544148-W113/","Открыть позицию")</x:f>
        <x:v>Открыть позицию</x:v>
      </x:c>
    </x:row>
    <x:row r="176" ht="28" customHeight="1">
      <x:c r="A176" s="16" t="str">
        <x:v>Бийскэнерго</x:v>
      </x:c>
      <x:c r="B176" s="16" t="str">
        <x:v>2000544057-W113</x:v>
      </x:c>
      <x:c r="C176" s="16" t="str">
        <x:v>КРУГ ШЛИФОВАЛЬНЫЙ 150*2,5*22,2 73615</x:v>
      </x:c>
      <x:c r="D176" s="16" t="str">
        <x:v>Инструмент и спецосн</x:v>
      </x:c>
      <x:c r="E176" s="16" t="str">
        <x:v>ШТ</x:v>
      </x:c>
      <x:c r="F176" s="25" t="n">
        <x:v>87</x:v>
      </x:c>
      <x:c r="G176" s="17" t="n">
        <x:v>17.9706</x:v>
      </x:c>
      <x:c r="H176" s="17" t="n">
        <x:f>G176*F176</x:f>
        <x:v>1563.4422000000002</x:v>
      </x:c>
      <x:c r="I176" s="26" t="str">
        <x:f>HYPERLINK("https://etp-aktiv.ru/catalog/materialy/instrument-i-specosnastka/2000544057-W113/","Открыть позицию")</x:f>
        <x:v>Открыть позицию</x:v>
      </x:c>
    </x:row>
    <x:row r="177" ht="28" customHeight="1">
      <x:c r="A177" s="16" t="str">
        <x:v>Бийскэнерго</x:v>
      </x:c>
      <x:c r="B177" s="16" t="str">
        <x:v>2000457796-W113</x:v>
      </x:c>
      <x:c r="C177" s="16" t="str">
        <x:v>КРУГ ШЛИФОВАЛЬНЫЙ 150*20*32ММ К60</x:v>
      </x:c>
      <x:c r="D177" s="16" t="str">
        <x:v>Инструмент и спецосн</x:v>
      </x:c>
      <x:c r="E177" s="16" t="str">
        <x:v>ШТ</x:v>
      </x:c>
      <x:c r="F177" s="25" t="n">
        <x:v>1</x:v>
      </x:c>
      <x:c r="G177" s="17" t="n">
        <x:v>203.7034</x:v>
      </x:c>
      <x:c r="H177" s="17" t="n">
        <x:f>G177*F177</x:f>
        <x:v>203.7034</x:v>
      </x:c>
      <x:c r="I177" s="26" t="str">
        <x:f>HYPERLINK("https://etp-aktiv.ru/catalog/materialy/instrument-i-specosnastka/2000457796-W113/","Открыть позицию")</x:f>
        <x:v>Открыть позицию</x:v>
      </x:c>
    </x:row>
    <x:row r="178" ht="28" customHeight="1">
      <x:c r="A178" s="16" t="str">
        <x:v>Бийскэнерго</x:v>
      </x:c>
      <x:c r="B178" s="16" t="str">
        <x:v>2000544255-W113</x:v>
      </x:c>
      <x:c r="C178" s="16" t="str">
        <x:v>КРУГ ШЛИФОВАЛЬНЫЙ 150*22 14А Р60</x:v>
      </x:c>
      <x:c r="D178" s="16" t="str">
        <x:v>Инструмент и спецосн</x:v>
      </x:c>
      <x:c r="E178" s="16" t="str">
        <x:v>ШТ</x:v>
      </x:c>
      <x:c r="F178" s="25" t="n">
        <x:v>3</x:v>
      </x:c>
      <x:c r="G178" s="17" t="n">
        <x:v>47.458</x:v>
      </x:c>
      <x:c r="H178" s="17" t="n">
        <x:f>G178*F178</x:f>
        <x:v>142.374</x:v>
      </x:c>
      <x:c r="I178" s="26" t="str">
        <x:f>HYPERLINK("https://etp-aktiv.ru/catalog/materialy/instrument-i-specosnastka/2000544255-W113/","Открыть позицию")</x:f>
        <x:v>Открыть позицию</x:v>
      </x:c>
    </x:row>
    <x:row r="179" ht="28" customHeight="1">
      <x:c r="A179" s="16" t="str">
        <x:v>Бийскэнерго</x:v>
      </x:c>
      <x:c r="B179" s="16" t="str">
        <x:v>2000544271-W113</x:v>
      </x:c>
      <x:c r="C179" s="16" t="str">
        <x:v>КРУГ ШЛИФОВАЛЬНЫЙ 180*6*22 14А 80 Т2</x:v>
      </x:c>
      <x:c r="D179" s="16" t="str">
        <x:v>Инструмент и спецосн</x:v>
      </x:c>
      <x:c r="E179" s="16" t="str">
        <x:v>ШТ</x:v>
      </x:c>
      <x:c r="F179" s="25" t="n">
        <x:v>10</x:v>
      </x:c>
      <x:c r="G179" s="17" t="n">
        <x:v>51.386399999999995</x:v>
      </x:c>
      <x:c r="H179" s="17" t="n">
        <x:f>G179*F179</x:f>
        <x:v>513.8639999999999</x:v>
      </x:c>
      <x:c r="I179" s="26" t="str">
        <x:f>HYPERLINK("https://etp-aktiv.ru/catalog/materialy/instrument-i-specosnastka/2000544271-W113/","Открыть позицию")</x:f>
        <x:v>Открыть позицию</x:v>
      </x:c>
    </x:row>
    <x:row r="180" ht="28" customHeight="1">
      <x:c r="A180" s="16" t="str">
        <x:v>Бийскэнерго</x:v>
      </x:c>
      <x:c r="B180" s="16" t="str">
        <x:v>2000544241-W113</x:v>
      </x:c>
      <x:c r="C180" s="16" t="str">
        <x:v>КРУГ ШЛИФОВАЛЬНЫЙ 63*20*20 14А 63</x:v>
      </x:c>
      <x:c r="D180" s="16" t="str">
        <x:v>Инструмент и спецосн</x:v>
      </x:c>
      <x:c r="E180" s="16" t="str">
        <x:v>ШТ</x:v>
      </x:c>
      <x:c r="F180" s="25" t="n">
        <x:v>10</x:v>
      </x:c>
      <x:c r="G180" s="17" t="n">
        <x:v>61.36599999999999</x:v>
      </x:c>
      <x:c r="H180" s="17" t="n">
        <x:f>G180*F180</x:f>
        <x:v>613.66</x:v>
      </x:c>
      <x:c r="I180" s="26" t="str">
        <x:f>HYPERLINK("https://etp-aktiv.ru/catalog/materialy/instrument-i-specosnastka/2000544241-W113/","Открыть позицию")</x:f>
        <x:v>Открыть позицию</x:v>
      </x:c>
    </x:row>
    <x:row r="181" ht="28" customHeight="1">
      <x:c r="A181" s="16" t="str">
        <x:v>Бийскэнерго</x:v>
      </x:c>
      <x:c r="B181" s="16" t="str">
        <x:v>M2000560818-W113</x:v>
      </x:c>
      <x:c r="C181" s="16" t="str">
        <x:v>ЛЕНТА 2Ш 1200-5 ТК200 4,5/3,5 РБ</x:v>
      </x:c>
      <x:c r="D181" s="16" t="str">
        <x:v>Лента транспортерная</x:v>
      </x:c>
      <x:c r="E181" s="16" t="str">
        <x:v>М2</x:v>
      </x:c>
      <x:c r="F181" s="25" t="n">
        <x:v>30</x:v>
      </x:c>
      <x:c r="G181" s="17" t="n">
        <x:v>513.193</x:v>
      </x:c>
      <x:c r="H181" s="17" t="n">
        <x:f>G181*F181</x:f>
        <x:v>15395.789999999999</x:v>
      </x:c>
      <x:c r="I181" s="26" t="str">
        <x:f>HYPERLINK("https://etp-aktiv.ru/catalog/materialy/lenta-transporternaya/M2000560818-W113/","Открыть позицию")</x:f>
        <x:v>Открыть позицию</x:v>
      </x:c>
    </x:row>
    <x:row r="182" ht="28" customHeight="1">
      <x:c r="A182" s="16" t="str">
        <x:v>Бийскэнерго</x:v>
      </x:c>
      <x:c r="B182" s="16" t="str">
        <x:v>2000532790-W113</x:v>
      </x:c>
      <x:c r="C182" s="16" t="str">
        <x:v>МУФТА 3КВТП-10 70-120 С НАКОНЕЧН 2-НБ-2</x:v>
      </x:c>
      <x:c r="D182" s="16" t="str">
        <x:v>Монтажн изд д/кабел</x:v>
      </x:c>
      <x:c r="E182" s="16" t="str">
        <x:v>КМП</x:v>
      </x:c>
      <x:c r="F182" s="25" t="n">
        <x:v>2</x:v>
      </x:c>
      <x:c r="G182" s="17" t="n">
        <x:v>411.75</x:v>
      </x:c>
      <x:c r="H182" s="17" t="n">
        <x:f>G182*F182</x:f>
        <x:v>823.5</x:v>
      </x:c>
      <x:c r="I182" s="26" t="str">
        <x:f>HYPERLINK("https://etp-aktiv.ru/catalog/materialy/ehlektrotekhnicheskie-materialy/2000532790-W113/","Открыть позицию")</x:f>
        <x:v>Открыть позицию</x:v>
      </x:c>
    </x:row>
    <x:row r="183" ht="28" customHeight="1">
      <x:c r="A183" s="16" t="str">
        <x:v>Бийскэнерго</x:v>
      </x:c>
      <x:c r="B183" s="16" t="str">
        <x:v>2000532852-W113</x:v>
      </x:c>
      <x:c r="C183" s="16" t="str">
        <x:v>МУФТА КОНЦЕВАЯ 3КВ(Н)ТП-1 25-50</x:v>
      </x:c>
      <x:c r="D183" s="16" t="str">
        <x:v>Монтажн изд д/кабел</x:v>
      </x:c>
      <x:c r="E183" s="16" t="str">
        <x:v>ШТ</x:v>
      </x:c>
      <x:c r="F183" s="25" t="n">
        <x:v>1</x:v>
      </x:c>
      <x:c r="G183" s="17" t="n">
        <x:v>190.11260000000001</x:v>
      </x:c>
      <x:c r="H183" s="17" t="n">
        <x:f>G183*F183</x:f>
        <x:v>190.11260000000001</x:v>
      </x:c>
      <x:c r="I183" s="26" t="str">
        <x:f>HYPERLINK("https://etp-aktiv.ru/catalog/materialy/ehlektrotekhnicheskie-materialy/2000532852-W113/","Открыть позицию")</x:f>
        <x:v>Открыть позицию</x:v>
      </x:c>
    </x:row>
    <x:row r="184" ht="28" customHeight="1">
      <x:c r="A184" s="16" t="str">
        <x:v>Бийскэнерго</x:v>
      </x:c>
      <x:c r="B184" s="16" t="str">
        <x:v>2000116471-W113</x:v>
      </x:c>
      <x:c r="C184" s="16" t="str">
        <x:v>ПОДШИПНИК 118</x:v>
      </x:c>
      <x:c r="D184" s="16" t="str">
        <x:v>Подшипники</x:v>
      </x:c>
      <x:c r="E184" s="16" t="str">
        <x:v>ШТ</x:v>
      </x:c>
      <x:c r="F184" s="25" t="n">
        <x:v>2</x:v>
      </x:c>
      <x:c r="G184" s="17" t="n">
        <x:v>802.2231999999999</x:v>
      </x:c>
      <x:c r="H184" s="17" t="n">
        <x:f>G184*F184</x:f>
        <x:v>1604.4463999999998</x:v>
      </x:c>
      <x:c r="I184" s="26" t="str">
        <x:f>HYPERLINK("https://etp-aktiv.ru/catalog/materialy/podshipniki/2000116471-W113/","Открыть позицию")</x:f>
        <x:v>Открыть позицию</x:v>
      </x:c>
    </x:row>
    <x:row r="185" ht="28" customHeight="1">
      <x:c r="A185" s="16" t="str">
        <x:v>Бийскэнерго</x:v>
      </x:c>
      <x:c r="B185" s="16" t="str">
        <x:v>2000116673-W113</x:v>
      </x:c>
      <x:c r="C185" s="16" t="str">
        <x:v>ПОДШИПНИК 126</x:v>
      </x:c>
      <x:c r="D185" s="16" t="str">
        <x:v>Подшипники</x:v>
      </x:c>
      <x:c r="E185" s="16" t="str">
        <x:v>ШТ</x:v>
      </x:c>
      <x:c r="F185" s="25" t="n">
        <x:v>8</x:v>
      </x:c>
      <x:c r="G185" s="17" t="n">
        <x:v>341.7952</x:v>
      </x:c>
      <x:c r="H185" s="17" t="n">
        <x:f>G185*F185</x:f>
        <x:v>2734.3616</x:v>
      </x:c>
      <x:c r="I185" s="26" t="str">
        <x:f>HYPERLINK("https://etp-aktiv.ru/catalog/materialy/podshipniki/2000116673-W113/","Открыть позицию")</x:f>
        <x:v>Открыть позицию</x:v>
      </x:c>
    </x:row>
    <x:row r="186" ht="28" customHeight="1">
      <x:c r="A186" s="16" t="str">
        <x:v>Бийскэнерго</x:v>
      </x:c>
      <x:c r="B186" s="16" t="str">
        <x:v>2000570178-W113</x:v>
      </x:c>
      <x:c r="C186" s="16" t="str">
        <x:v>ПОДШИПНИК 1309 S</x:v>
      </x:c>
      <x:c r="D186" s="16" t="str">
        <x:v>Подшипники</x:v>
      </x:c>
      <x:c r="E186" s="16" t="str">
        <x:v>ШТ</x:v>
      </x:c>
      <x:c r="F186" s="25" t="n">
        <x:v>2</x:v>
      </x:c>
      <x:c r="G186" s="17" t="n">
        <x:v>400.3186</x:v>
      </x:c>
      <x:c r="H186" s="17" t="n">
        <x:f>G186*F186</x:f>
        <x:v>800.6372</x:v>
      </x:c>
      <x:c r="I186" s="26" t="str">
        <x:f>HYPERLINK("https://etp-aktiv.ru/catalog/materialy/podshipniki/2000570178-W113/","Открыть позицию")</x:f>
        <x:v>Открыть позицию</x:v>
      </x:c>
    </x:row>
    <x:row r="187" ht="28" customHeight="1">
      <x:c r="A187" s="16" t="str">
        <x:v>Бийскэнерго</x:v>
      </x:c>
      <x:c r="B187" s="16" t="str">
        <x:v>2000116439-W113</x:v>
      </x:c>
      <x:c r="C187" s="16" t="str">
        <x:v>ПОДШИПНИК 1608</x:v>
      </x:c>
      <x:c r="D187" s="16" t="str">
        <x:v>Подшипники</x:v>
      </x:c>
      <x:c r="E187" s="16" t="str">
        <x:v>ШТ</x:v>
      </x:c>
      <x:c r="F187" s="25" t="n">
        <x:v>2</x:v>
      </x:c>
      <x:c r="G187" s="17" t="n">
        <x:v>262.5318</x:v>
      </x:c>
      <x:c r="H187" s="17" t="n">
        <x:f>G187*F187</x:f>
        <x:v>525.0636</x:v>
      </x:c>
      <x:c r="I187" s="26" t="str">
        <x:f>HYPERLINK("https://etp-aktiv.ru/catalog/materialy/podshipniki/2000116439-W113/","Открыть позицию")</x:f>
        <x:v>Открыть позицию</x:v>
      </x:c>
    </x:row>
    <x:row r="188" ht="28" customHeight="1">
      <x:c r="A188" s="16" t="str">
        <x:v>Бийскэнерго</x:v>
      </x:c>
      <x:c r="B188" s="16" t="str">
        <x:v>2000116308-W113</x:v>
      </x:c>
      <x:c r="C188" s="16" t="str">
        <x:v>ПОДШИПНИК 180202</x:v>
      </x:c>
      <x:c r="D188" s="16" t="str">
        <x:v>Подшипники</x:v>
      </x:c>
      <x:c r="E188" s="16" t="str">
        <x:v>ШТ</x:v>
      </x:c>
      <x:c r="F188" s="25" t="n">
        <x:v>3</x:v>
      </x:c>
      <x:c r="G188" s="17" t="n">
        <x:v>38.125</x:v>
      </x:c>
      <x:c r="H188" s="17" t="n">
        <x:f>G188*F188</x:f>
        <x:v>114.375</x:v>
      </x:c>
      <x:c r="I188" s="26" t="str">
        <x:f>HYPERLINK("https://etp-aktiv.ru/catalog/materialy/podshipniki/2000116308-W113/","Открыть позицию")</x:f>
        <x:v>Открыть позицию</x:v>
      </x:c>
    </x:row>
    <x:row r="189" ht="28" customHeight="1">
      <x:c r="A189" s="16" t="str">
        <x:v>Бийскэнерго</x:v>
      </x:c>
      <x:c r="B189" s="16" t="str">
        <x:v>2000072921-W113</x:v>
      </x:c>
      <x:c r="C189" s="16" t="str">
        <x:v>ПОДШИПНИК 180602</x:v>
      </x:c>
      <x:c r="D189" s="16" t="str">
        <x:v>Подшипники</x:v>
      </x:c>
      <x:c r="E189" s="16" t="str">
        <x:v>ШТ</x:v>
      </x:c>
      <x:c r="F189" s="25" t="n">
        <x:v>4</x:v>
      </x:c>
      <x:c r="G189" s="17" t="n">
        <x:v>102.907</x:v>
      </x:c>
      <x:c r="H189" s="17" t="n">
        <x:f>G189*F189</x:f>
        <x:v>411.628</x:v>
      </x:c>
      <x:c r="I189" s="26" t="str">
        <x:f>HYPERLINK("https://etp-aktiv.ru/catalog/materialy/podshipniki/2000072921-W113/","Открыть позицию")</x:f>
        <x:v>Открыть позицию</x:v>
      </x:c>
    </x:row>
    <x:row r="190" ht="28" customHeight="1">
      <x:c r="A190" s="16" t="str">
        <x:v>Бийскэнерго</x:v>
      </x:c>
      <x:c r="B190" s="16" t="str">
        <x:v>2000116434-W113</x:v>
      </x:c>
      <x:c r="C190" s="16" t="str">
        <x:v>ПОДШИПНИК 214</x:v>
      </x:c>
      <x:c r="D190" s="16" t="str">
        <x:v>Подшипники</x:v>
      </x:c>
      <x:c r="E190" s="16" t="str">
        <x:v>ШТ</x:v>
      </x:c>
      <x:c r="F190" s="25" t="n">
        <x:v>1</x:v>
      </x:c>
      <x:c r="G190" s="17" t="n">
        <x:v>162.8456</x:v>
      </x:c>
      <x:c r="H190" s="17" t="n">
        <x:f>G190*F190</x:f>
        <x:v>162.8456</x:v>
      </x:c>
      <x:c r="I190" s="26" t="str">
        <x:f>HYPERLINK("https://etp-aktiv.ru/catalog/materialy/podshipniki/2000116434-W113/","Открыть позицию")</x:f>
        <x:v>Открыть позицию</x:v>
      </x:c>
    </x:row>
    <x:row r="191" ht="28" customHeight="1">
      <x:c r="A191" s="16" t="str">
        <x:v>Бийскэнерго</x:v>
      </x:c>
      <x:c r="B191" s="16" t="str">
        <x:v>2000278536-W113</x:v>
      </x:c>
      <x:c r="C191" s="16" t="str">
        <x:v>ПОДШИПНИК 22309</x:v>
      </x:c>
      <x:c r="D191" s="16" t="str">
        <x:v>Подшипники</x:v>
      </x:c>
      <x:c r="E191" s="16" t="str">
        <x:v>ШТ</x:v>
      </x:c>
      <x:c r="F191" s="25" t="n">
        <x:v>2</x:v>
      </x:c>
      <x:c r="G191" s="17" t="n">
        <x:v>378.2732</x:v>
      </x:c>
      <x:c r="H191" s="17" t="n">
        <x:f>G191*F191</x:f>
        <x:v>756.5464</x:v>
      </x:c>
      <x:c r="I191" s="26" t="str">
        <x:f>HYPERLINK("https://etp-aktiv.ru/catalog/materialy/podshipniki/2000278536-W113/","Открыть позицию")</x:f>
        <x:v>Открыть позицию</x:v>
      </x:c>
    </x:row>
    <x:row r="192" ht="28" customHeight="1">
      <x:c r="A192" s="16" t="str">
        <x:v>Бийскэнерго</x:v>
      </x:c>
      <x:c r="B192" s="16" t="str">
        <x:v>2000556583-W113</x:v>
      </x:c>
      <x:c r="C192" s="16" t="str">
        <x:v>ПОДШИПНИК 22328CC/W33</x:v>
      </x:c>
      <x:c r="D192" s="16" t="str">
        <x:v>Подшипники</x:v>
      </x:c>
      <x:c r="E192" s="16" t="str">
        <x:v>ШТ</x:v>
      </x:c>
      <x:c r="F192" s="25" t="n">
        <x:v>1</x:v>
      </x:c>
      <x:c r="G192" s="17" t="n">
        <x:v>69997.5</x:v>
      </x:c>
      <x:c r="H192" s="17" t="n">
        <x:f>G192*F192</x:f>
        <x:v>69997.5</x:v>
      </x:c>
      <x:c r="I192" s="26" t="str">
        <x:f>HYPERLINK("https://etp-aktiv.ru/catalog/materialy/podshipniki/2000556583-W113/","Открыть позицию")</x:f>
        <x:v>Открыть позицию</x:v>
      </x:c>
    </x:row>
    <x:row r="193" ht="28" customHeight="1">
      <x:c r="A193" s="16" t="str">
        <x:v>Бийскэнерго</x:v>
      </x:c>
      <x:c r="B193" s="16" t="str">
        <x:v>2000116617-W113</x:v>
      </x:c>
      <x:c r="C193" s="16" t="str">
        <x:v>ПОДШИПНИК 2318</x:v>
      </x:c>
      <x:c r="D193" s="16" t="str">
        <x:v>Подшипники</x:v>
      </x:c>
      <x:c r="E193" s="16" t="str">
        <x:v>ШТ</x:v>
      </x:c>
      <x:c r="F193" s="25" t="n">
        <x:v>1</x:v>
      </x:c>
      <x:c r="G193" s="17" t="n">
        <x:v>790.072</x:v>
      </x:c>
      <x:c r="H193" s="17" t="n">
        <x:f>G193*F193</x:f>
        <x:v>790.072</x:v>
      </x:c>
      <x:c r="I193" s="26" t="str">
        <x:f>HYPERLINK("https://etp-aktiv.ru/catalog/materialy/podshipniki/2000116617-W113/","Открыть позицию")</x:f>
        <x:v>Открыть позицию</x:v>
      </x:c>
    </x:row>
    <x:row r="194" ht="28" customHeight="1">
      <x:c r="A194" s="16" t="str">
        <x:v>Бийскэнерго</x:v>
      </x:c>
      <x:c r="B194" s="16" t="str">
        <x:v>2000116327-W113</x:v>
      </x:c>
      <x:c r="C194" s="16" t="str">
        <x:v>ПОДШИПНИК 304</x:v>
      </x:c>
      <x:c r="D194" s="16" t="str">
        <x:v>Подшипники</x:v>
      </x:c>
      <x:c r="E194" s="16" t="str">
        <x:v>ШТ</x:v>
      </x:c>
      <x:c r="F194" s="25" t="n">
        <x:v>5</x:v>
      </x:c>
      <x:c r="G194" s="17" t="n">
        <x:v>12.724599999999999</x:v>
      </x:c>
      <x:c r="H194" s="17" t="n">
        <x:f>G194*F194</x:f>
        <x:v>63.62299999999999</x:v>
      </x:c>
      <x:c r="I194" s="26" t="str">
        <x:f>HYPERLINK("https://etp-aktiv.ru/catalog/materialy/podshipniki/2000116327-W113/","Открыть позицию")</x:f>
        <x:v>Открыть позицию</x:v>
      </x:c>
    </x:row>
    <x:row r="195" ht="28" customHeight="1">
      <x:c r="A195" s="16" t="str">
        <x:v>Бийскэнерго</x:v>
      </x:c>
      <x:c r="B195" s="16" t="str">
        <x:v>2000556569-W113</x:v>
      </x:c>
      <x:c r="C195" s="16" t="str">
        <x:v>ПОДШИПНИК 3056222</x:v>
      </x:c>
      <x:c r="D195" s="16" t="str">
        <x:v>Подшипники</x:v>
      </x:c>
      <x:c r="E195" s="16" t="str">
        <x:v>ШТ</x:v>
      </x:c>
      <x:c r="F195" s="25" t="n">
        <x:v>12</x:v>
      </x:c>
      <x:c r="G195" s="17" t="n">
        <x:v>8023.061599999999</x:v>
      </x:c>
      <x:c r="H195" s="17" t="n">
        <x:f>G195*F195</x:f>
        <x:v>96276.73919999998</x:v>
      </x:c>
      <x:c r="I195" s="26" t="str">
        <x:f>HYPERLINK("https://etp-aktiv.ru/catalog/materialy/podshipniki/2000556569-W113/","Открыть позицию")</x:f>
        <x:v>Открыть позицию</x:v>
      </x:c>
    </x:row>
    <x:row r="196" ht="28" customHeight="1">
      <x:c r="A196" s="16" t="str">
        <x:v>Бийскэнерго</x:v>
      </x:c>
      <x:c r="B196" s="16" t="str">
        <x:v>2000116654-W113</x:v>
      </x:c>
      <x:c r="C196" s="16" t="str">
        <x:v>ПОДШИПНИК 322</x:v>
      </x:c>
      <x:c r="D196" s="16" t="str">
        <x:v>Подшипники</x:v>
      </x:c>
      <x:c r="E196" s="16" t="str">
        <x:v>ШТ</x:v>
      </x:c>
      <x:c r="F196" s="25" t="n">
        <x:v>1</x:v>
      </x:c>
      <x:c r="G196" s="17" t="n">
        <x:v>2197.5494</x:v>
      </x:c>
      <x:c r="H196" s="17" t="n">
        <x:f>G196*F196</x:f>
        <x:v>2197.5494</x:v>
      </x:c>
      <x:c r="I196" s="26" t="str">
        <x:f>HYPERLINK("https://etp-aktiv.ru/catalog/materialy/podshipniki/2000116654-W113/","Открыть позицию")</x:f>
        <x:v>Открыть позицию</x:v>
      </x:c>
    </x:row>
    <x:row r="197" ht="28" customHeight="1">
      <x:c r="A197" s="16" t="str">
        <x:v>Бийскэнерго</x:v>
      </x:c>
      <x:c r="B197" s="16" t="str">
        <x:v>2000116184-W113</x:v>
      </x:c>
      <x:c r="C197" s="16" t="str">
        <x:v>ПОДШИПНИК 3616</x:v>
      </x:c>
      <x:c r="D197" s="16" t="str">
        <x:v>Подшипники</x:v>
      </x:c>
      <x:c r="E197" s="16" t="str">
        <x:v>ШТ</x:v>
      </x:c>
      <x:c r="F197" s="25" t="n">
        <x:v>1</x:v>
      </x:c>
      <x:c r="G197" s="17" t="n">
        <x:v>1207.068</x:v>
      </x:c>
      <x:c r="H197" s="17" t="n">
        <x:f>G197*F197</x:f>
        <x:v>1207.068</x:v>
      </x:c>
      <x:c r="I197" s="26" t="str">
        <x:f>HYPERLINK("https://etp-aktiv.ru/catalog/materialy/podshipniki/2000116184-W113/","Открыть позицию")</x:f>
        <x:v>Открыть позицию</x:v>
      </x:c>
    </x:row>
    <x:row r="198" ht="28" customHeight="1">
      <x:c r="A198" s="16" t="str">
        <x:v>Бийскэнерго</x:v>
      </x:c>
      <x:c r="B198" s="16" t="str">
        <x:v>2000034465-W113</x:v>
      </x:c>
      <x:c r="C198" s="16" t="str">
        <x:v>ПОДШИПНИК 38208</x:v>
      </x:c>
      <x:c r="D198" s="16" t="str">
        <x:v>Подшипники</x:v>
      </x:c>
      <x:c r="E198" s="16" t="str">
        <x:v>ШТ</x:v>
      </x:c>
      <x:c r="F198" s="25" t="n">
        <x:v>1</x:v>
      </x:c>
      <x:c r="G198" s="17" t="n">
        <x:v>297.9484</x:v>
      </x:c>
      <x:c r="H198" s="17" t="n">
        <x:f>G198*F198</x:f>
        <x:v>297.9484</x:v>
      </x:c>
      <x:c r="I198" s="26" t="str">
        <x:f>HYPERLINK("https://etp-aktiv.ru/catalog/materialy/podshipniki/2000034465-W113/","Открыть позицию")</x:f>
        <x:v>Открыть позицию</x:v>
      </x:c>
    </x:row>
    <x:row r="199" ht="28" customHeight="1">
      <x:c r="A199" s="16" t="str">
        <x:v>Бийскэнерго</x:v>
      </x:c>
      <x:c r="B199" s="16" t="str">
        <x:v>2000073087-W113</x:v>
      </x:c>
      <x:c r="C199" s="16" t="str">
        <x:v>ПОДШИПНИК 4074114</x:v>
      </x:c>
      <x:c r="D199" s="16" t="str">
        <x:v>Подшипники</x:v>
      </x:c>
      <x:c r="E199" s="16" t="str">
        <x:v>ШТ</x:v>
      </x:c>
      <x:c r="F199" s="25" t="n">
        <x:v>8</x:v>
      </x:c>
      <x:c r="G199" s="17" t="n">
        <x:v>857.8186</x:v>
      </x:c>
      <x:c r="H199" s="17" t="n">
        <x:f>G199*F199</x:f>
        <x:v>6862.5488</x:v>
      </x:c>
      <x:c r="I199" s="26" t="str">
        <x:f>HYPERLINK("https://etp-aktiv.ru/catalog/materialy/podshipniki/2000073087-W113/","Открыть позицию")</x:f>
        <x:v>Открыть позицию</x:v>
      </x:c>
    </x:row>
    <x:row r="200" ht="28" customHeight="1">
      <x:c r="A200" s="16" t="str">
        <x:v>Бийскэнерго</x:v>
      </x:c>
      <x:c r="B200" s="16" t="str">
        <x:v>2000116371-W113</x:v>
      </x:c>
      <x:c r="C200" s="16" t="str">
        <x:v>ПОДШИПНИК 42305</x:v>
      </x:c>
      <x:c r="D200" s="16" t="str">
        <x:v>Подшипники</x:v>
      </x:c>
      <x:c r="E200" s="16" t="str">
        <x:v>ШТ</x:v>
      </x:c>
      <x:c r="F200" s="25" t="n">
        <x:v>18</x:v>
      </x:c>
      <x:c r="G200" s="17" t="n">
        <x:v>147.5468</x:v>
      </x:c>
      <x:c r="H200" s="17" t="n">
        <x:f>G200*F200</x:f>
        <x:v>2655.8424</x:v>
      </x:c>
      <x:c r="I200" s="26" t="str">
        <x:f>HYPERLINK("https://etp-aktiv.ru/catalog/materialy/podshipniki/2000116371-W113/","Открыть позицию")</x:f>
        <x:v>Открыть позицию</x:v>
      </x:c>
    </x:row>
    <x:row r="201" ht="28" customHeight="1">
      <x:c r="A201" s="16" t="str">
        <x:v>Бийскэнерго</x:v>
      </x:c>
      <x:c r="B201" s="16" t="str">
        <x:v>2000116760-W113</x:v>
      </x:c>
      <x:c r="C201" s="16" t="str">
        <x:v>ПОДШИПНИК 42326</x:v>
      </x:c>
      <x:c r="D201" s="16" t="str">
        <x:v>Подшипники</x:v>
      </x:c>
      <x:c r="E201" s="16" t="str">
        <x:v>ШТ</x:v>
      </x:c>
      <x:c r="F201" s="25" t="n">
        <x:v>2</x:v>
      </x:c>
      <x:c r="G201" s="17" t="n">
        <x:v>1740.3544</x:v>
      </x:c>
      <x:c r="H201" s="17" t="n">
        <x:f>G201*F201</x:f>
        <x:v>3480.7088</x:v>
      </x:c>
      <x:c r="I201" s="26" t="str">
        <x:f>HYPERLINK("https://etp-aktiv.ru/catalog/materialy/podshipniki/2000116760-W113/","Открыть позицию")</x:f>
        <x:v>Открыть позицию</x:v>
      </x:c>
    </x:row>
    <x:row r="202" ht="28" customHeight="1">
      <x:c r="A202" s="16" t="str">
        <x:v>Бийскэнерго</x:v>
      </x:c>
      <x:c r="B202" s="16" t="str">
        <x:v>2000116507-W113</x:v>
      </x:c>
      <x:c r="C202" s="16" t="str">
        <x:v>ПОДШИПНИК 46120</x:v>
      </x:c>
      <x:c r="D202" s="16" t="str">
        <x:v>Подшипники</x:v>
      </x:c>
      <x:c r="E202" s="16" t="str">
        <x:v>ШТ</x:v>
      </x:c>
      <x:c r="F202" s="25" t="n">
        <x:v>6</x:v>
      </x:c>
      <x:c r="G202" s="17" t="n">
        <x:v>1388.97</x:v>
      </x:c>
      <x:c r="H202" s="17" t="n">
        <x:f>G202*F202</x:f>
        <x:v>8333.82</x:v>
      </x:c>
      <x:c r="I202" s="26" t="str">
        <x:f>HYPERLINK("https://etp-aktiv.ru/catalog/materialy/podshipniki/2000116507-W113/","Открыть позицию")</x:f>
        <x:v>Открыть позицию</x:v>
      </x:c>
    </x:row>
    <x:row r="203" ht="28" customHeight="1">
      <x:c r="A203" s="16" t="str">
        <x:v>Бийскэнерго</x:v>
      </x:c>
      <x:c r="B203" s="16" t="str">
        <x:v>2000116758-W113</x:v>
      </x:c>
      <x:c r="C203" s="16" t="str">
        <x:v>ПОДШИПНИК 53526Н</x:v>
      </x:c>
      <x:c r="D203" s="16" t="str">
        <x:v>Подшипники</x:v>
      </x:c>
      <x:c r="E203" s="16" t="str">
        <x:v>ШТ</x:v>
      </x:c>
      <x:c r="F203" s="25" t="n">
        <x:v>4</x:v>
      </x:c>
      <x:c r="G203" s="17" t="n">
        <x:v>3593.205</x:v>
      </x:c>
      <x:c r="H203" s="17" t="n">
        <x:f>G203*F203</x:f>
        <x:v>14372.82</x:v>
      </x:c>
      <x:c r="I203" s="26" t="str">
        <x:f>HYPERLINK("https://etp-aktiv.ru/catalog/materialy/podshipniki/2000116758-W113/","Открыть позицию")</x:f>
        <x:v>Открыть позицию</x:v>
      </x:c>
    </x:row>
    <x:row r="204" ht="28" customHeight="1">
      <x:c r="A204" s="16" t="str">
        <x:v>Бийскэнерго</x:v>
      </x:c>
      <x:c r="B204" s="16" t="str">
        <x:v>2000219338-W113</x:v>
      </x:c>
      <x:c r="C204" s="16" t="str">
        <x:v>ПОДШИПНИК 6234</x:v>
      </x:c>
      <x:c r="D204" s="16" t="str">
        <x:v>Подшипники</x:v>
      </x:c>
      <x:c r="E204" s="16" t="str">
        <x:v>ШТ</x:v>
      </x:c>
      <x:c r="F204" s="25" t="n">
        <x:v>1</x:v>
      </x:c>
      <x:c r="G204" s="17" t="n">
        <x:v>4834.1524</x:v>
      </x:c>
      <x:c r="H204" s="17" t="n">
        <x:f>G204*F204</x:f>
        <x:v>4834.1524</x:v>
      </x:c>
      <x:c r="I204" s="26" t="str">
        <x:f>HYPERLINK("https://etp-aktiv.ru/catalog/materialy/podshipniki/2000219338-W113/","Открыть позицию")</x:f>
        <x:v>Открыть позицию</x:v>
      </x:c>
    </x:row>
    <x:row r="205" ht="28" customHeight="1">
      <x:c r="A205" s="16" t="str">
        <x:v>Бийскэнерго</x:v>
      </x:c>
      <x:c r="B205" s="16" t="str">
        <x:v>2000167471-W113</x:v>
      </x:c>
      <x:c r="C205" s="16" t="str">
        <x:v>ПОДШИПНИК 6236</x:v>
      </x:c>
      <x:c r="D205" s="16" t="str">
        <x:v>Подшипники</x:v>
      </x:c>
      <x:c r="E205" s="16" t="str">
        <x:v>ШТ</x:v>
      </x:c>
      <x:c r="F205" s="25" t="n">
        <x:v>1</x:v>
      </x:c>
      <x:c r="G205" s="17" t="n">
        <x:v>4834.1524</x:v>
      </x:c>
      <x:c r="H205" s="17" t="n">
        <x:f>G205*F205</x:f>
        <x:v>4834.1524</x:v>
      </x:c>
      <x:c r="I205" s="26" t="str">
        <x:f>HYPERLINK("https://etp-aktiv.ru/catalog/materialy/podshipniki/2000167471-W113/","Открыть позицию")</x:f>
        <x:v>Открыть позицию</x:v>
      </x:c>
    </x:row>
    <x:row r="206" ht="28" customHeight="1">
      <x:c r="A206" s="16" t="str">
        <x:v>Бийскэнерго</x:v>
      </x:c>
      <x:c r="B206" s="16" t="str">
        <x:v>2000002033-W113</x:v>
      </x:c>
      <x:c r="C206" s="16" t="str">
        <x:v>ПОДШИПНИК 6305</x:v>
      </x:c>
      <x:c r="D206" s="16" t="str">
        <x:v>Подшипники</x:v>
      </x:c>
      <x:c r="E206" s="16" t="str">
        <x:v>ШТ</x:v>
      </x:c>
      <x:c r="F206" s="25" t="n">
        <x:v>2</x:v>
      </x:c>
      <x:c r="G206" s="17" t="n">
        <x:v>44.6032</x:v>
      </x:c>
      <x:c r="H206" s="17" t="n">
        <x:f>G206*F206</x:f>
        <x:v>89.2064</x:v>
      </x:c>
      <x:c r="I206" s="26" t="str">
        <x:f>HYPERLINK("https://etp-aktiv.ru/catalog/materialy/podshipniki/2000002033-W113/","Открыть позицию")</x:f>
        <x:v>Открыть позицию</x:v>
      </x:c>
    </x:row>
    <x:row r="207" ht="28" customHeight="1">
      <x:c r="A207" s="16" t="str">
        <x:v>Бийскэнерго</x:v>
      </x:c>
      <x:c r="B207" s="16" t="str">
        <x:v>2000458459-W113</x:v>
      </x:c>
      <x:c r="C207" s="16" t="str">
        <x:v>ПОДШИПНИК 6306 2Z</x:v>
      </x:c>
      <x:c r="D207" s="16" t="str">
        <x:v>Подшипники</x:v>
      </x:c>
      <x:c r="E207" s="16" t="str">
        <x:v>ШТ</x:v>
      </x:c>
      <x:c r="F207" s="25" t="n">
        <x:v>4</x:v>
      </x:c>
      <x:c r="G207" s="17" t="n">
        <x:v>265.96</x:v>
      </x:c>
      <x:c r="H207" s="17" t="n">
        <x:f>G207*F207</x:f>
        <x:v>1063.84</x:v>
      </x:c>
      <x:c r="I207" s="26" t="str">
        <x:f>HYPERLINK("https://etp-aktiv.ru/catalog/materialy/podshipniki/2000458459-W113/","Открыть позицию")</x:f>
        <x:v>Открыть позицию</x:v>
      </x:c>
    </x:row>
    <x:row r="208" ht="28" customHeight="1">
      <x:c r="A208" s="16" t="str">
        <x:v>Бийскэнерго</x:v>
      </x:c>
      <x:c r="B208" s="16" t="str">
        <x:v>2000116368-W113</x:v>
      </x:c>
      <x:c r="C208" s="16" t="str">
        <x:v>ПОДШИПНИК 6307</x:v>
      </x:c>
      <x:c r="D208" s="16" t="str">
        <x:v>Подшипники</x:v>
      </x:c>
      <x:c r="E208" s="16" t="str">
        <x:v>ШТ</x:v>
      </x:c>
      <x:c r="F208" s="25" t="n">
        <x:v>4</x:v>
      </x:c>
      <x:c r="G208" s="17" t="n">
        <x:v>206.5948</x:v>
      </x:c>
      <x:c r="H208" s="17" t="n">
        <x:f>G208*F208</x:f>
        <x:v>826.3792</x:v>
      </x:c>
      <x:c r="I208" s="26" t="str">
        <x:f>HYPERLINK("https://etp-aktiv.ru/catalog/materialy/podshipniki/2000116368-W113/","Открыть позицию")</x:f>
        <x:v>Открыть позицию</x:v>
      </x:c>
    </x:row>
    <x:row r="209" ht="28" customHeight="1">
      <x:c r="A209" s="16" t="str">
        <x:v>Бийскэнерго</x:v>
      </x:c>
      <x:c r="B209" s="16" t="str">
        <x:v>2000127391-W113</x:v>
      </x:c>
      <x:c r="C209" s="16" t="str">
        <x:v>ПОДШИПНИК 6309</x:v>
      </x:c>
      <x:c r="D209" s="16" t="str">
        <x:v>Подшипники</x:v>
      </x:c>
      <x:c r="E209" s="16" t="str">
        <x:v>ШТ</x:v>
      </x:c>
      <x:c r="F209" s="25" t="n">
        <x:v>2</x:v>
      </x:c>
      <x:c r="G209" s="17" t="n">
        <x:v>188.49</x:v>
      </x:c>
      <x:c r="H209" s="17" t="n">
        <x:f>G209*F209</x:f>
        <x:v>376.98</x:v>
      </x:c>
      <x:c r="I209" s="26" t="str">
        <x:f>HYPERLINK("https://etp-aktiv.ru/catalog/materialy/podshipniki/2000127391-W113/","Открыть позицию")</x:f>
        <x:v>Открыть позицию</x:v>
      </x:c>
    </x:row>
    <x:row r="210" ht="28" customHeight="1">
      <x:c r="A210" s="16" t="str">
        <x:v>Бийскэнерго</x:v>
      </x:c>
      <x:c r="B210" s="16" t="str">
        <x:v>2000034589-W113</x:v>
      </x:c>
      <x:c r="C210" s="16" t="str">
        <x:v>ПОДШИПНИК 6314</x:v>
      </x:c>
      <x:c r="D210" s="16" t="str">
        <x:v>Подшипники</x:v>
      </x:c>
      <x:c r="E210" s="16" t="str">
        <x:v>ШТ</x:v>
      </x:c>
      <x:c r="F210" s="25" t="n">
        <x:v>2</x:v>
      </x:c>
      <x:c r="G210" s="17" t="n">
        <x:v>561.81</x:v>
      </x:c>
      <x:c r="H210" s="17" t="n">
        <x:f>G210*F210</x:f>
        <x:v>1123.62</x:v>
      </x:c>
      <x:c r="I210" s="26" t="str">
        <x:f>HYPERLINK("https://etp-aktiv.ru/catalog/materialy/podshipniki/2000034589-W113/","Открыть позицию")</x:f>
        <x:v>Открыть позицию</x:v>
      </x:c>
    </x:row>
    <x:row r="211" ht="28" customHeight="1">
      <x:c r="A211" s="16" t="str">
        <x:v>Бийскэнерго</x:v>
      </x:c>
      <x:c r="B211" s="16" t="str">
        <x:v>2000556665-W113</x:v>
      </x:c>
      <x:c r="C211" s="16" t="str">
        <x:v>ПОДШИПНИК 66409 А</x:v>
      </x:c>
      <x:c r="D211" s="16" t="str">
        <x:v>Подшипники</x:v>
      </x:c>
      <x:c r="E211" s="16" t="str">
        <x:v>ШТ</x:v>
      </x:c>
      <x:c r="F211" s="25" t="n">
        <x:v>2</x:v>
      </x:c>
      <x:c r="G211" s="17" t="n">
        <x:v>284.9676</x:v>
      </x:c>
      <x:c r="H211" s="17" t="n">
        <x:f>G211*F211</x:f>
        <x:v>569.9352</x:v>
      </x:c>
      <x:c r="I211" s="26" t="str">
        <x:f>HYPERLINK("https://etp-aktiv.ru/catalog/materialy/podshipniki/2000556665-W113/","Открыть позицию")</x:f>
        <x:v>Открыть позицию</x:v>
      </x:c>
    </x:row>
    <x:row r="212" ht="28" customHeight="1">
      <x:c r="A212" s="16" t="str">
        <x:v>Бийскэнерго</x:v>
      </x:c>
      <x:c r="B212" s="16" t="str">
        <x:v>2000116602-W113</x:v>
      </x:c>
      <x:c r="C212" s="16" t="str">
        <x:v>ПОДШИПНИК 70-32612</x:v>
      </x:c>
      <x:c r="D212" s="16" t="str">
        <x:v>Подшипники</x:v>
      </x:c>
      <x:c r="E212" s="16" t="str">
        <x:v>ШТ</x:v>
      </x:c>
      <x:c r="F212" s="25" t="n">
        <x:v>2</x:v>
      </x:c>
      <x:c r="G212" s="17" t="n">
        <x:v>1778.76</x:v>
      </x:c>
      <x:c r="H212" s="17" t="n">
        <x:f>G212*F212</x:f>
        <x:v>3557.52</x:v>
      </x:c>
      <x:c r="I212" s="26" t="str">
        <x:f>HYPERLINK("https://etp-aktiv.ru/catalog/materialy/podshipniki/2000116602-W113/","Открыть позицию")</x:f>
        <x:v>Открыть позицию</x:v>
      </x:c>
    </x:row>
    <x:row r="213" ht="28" customHeight="1">
      <x:c r="A213" s="16" t="str">
        <x:v>Бийскэнерго</x:v>
      </x:c>
      <x:c r="B213" s="16" t="str">
        <x:v>2000116498-W113</x:v>
      </x:c>
      <x:c r="C213" s="16" t="str">
        <x:v>ПОДШИПНИК 7212</x:v>
      </x:c>
      <x:c r="D213" s="16" t="str">
        <x:v>Подшипники</x:v>
      </x:c>
      <x:c r="E213" s="16" t="str">
        <x:v>ШТ</x:v>
      </x:c>
      <x:c r="F213" s="25" t="n">
        <x:v>6</x:v>
      </x:c>
      <x:c r="G213" s="17" t="n">
        <x:v>213.0852</x:v>
      </x:c>
      <x:c r="H213" s="17" t="n">
        <x:f>G213*F213</x:f>
        <x:v>1278.5112</x:v>
      </x:c>
      <x:c r="I213" s="26" t="str">
        <x:f>HYPERLINK("https://etp-aktiv.ru/catalog/materialy/podshipniki/2000116498-W113/","Открыть позицию")</x:f>
        <x:v>Открыть позицию</x:v>
      </x:c>
    </x:row>
    <x:row r="214" ht="28" customHeight="1">
      <x:c r="A214" s="16" t="str">
        <x:v>Бийскэнерго</x:v>
      </x:c>
      <x:c r="B214" s="16" t="str">
        <x:v>2000556674-W113</x:v>
      </x:c>
      <x:c r="C214" s="16" t="str">
        <x:v>ПОДШИПНИК 7322BEP</x:v>
      </x:c>
      <x:c r="D214" s="16" t="str">
        <x:v>Подшипники</x:v>
      </x:c>
      <x:c r="E214" s="16" t="str">
        <x:v>ШТ</x:v>
      </x:c>
      <x:c r="F214" s="25" t="n">
        <x:v>2</x:v>
      </x:c>
      <x:c r="G214" s="17" t="n">
        <x:v>7077.402999999999</x:v>
      </x:c>
      <x:c r="H214" s="17" t="n">
        <x:f>G214*F214</x:f>
        <x:v>14154.805999999999</x:v>
      </x:c>
      <x:c r="I214" s="26" t="str">
        <x:f>HYPERLINK("https://etp-aktiv.ru/catalog/materialy/podshipniki/2000556674-W113/","Открыть позицию")</x:f>
        <x:v>Открыть позицию</x:v>
      </x:c>
    </x:row>
    <x:row r="215" ht="28" customHeight="1">
      <x:c r="A215" s="16" t="str">
        <x:v>Бийскэнерго</x:v>
      </x:c>
      <x:c r="B215" s="16" t="str">
        <x:v>2000116493-W113</x:v>
      </x:c>
      <x:c r="C215" s="16" t="str">
        <x:v>ПОДШИПНИК 7514</x:v>
      </x:c>
      <x:c r="D215" s="16" t="str">
        <x:v>Подшипники</x:v>
      </x:c>
      <x:c r="E215" s="16" t="str">
        <x:v>ШТ</x:v>
      </x:c>
      <x:c r="F215" s="25" t="n">
        <x:v>12</x:v>
      </x:c>
      <x:c r="G215" s="17" t="n">
        <x:v>460.64759999999995</x:v>
      </x:c>
      <x:c r="H215" s="17" t="n">
        <x:f>G215*F215</x:f>
        <x:v>5527.771199999999</x:v>
      </x:c>
      <x:c r="I215" s="26" t="str">
        <x:f>HYPERLINK("https://etp-aktiv.ru/catalog/materialy/podshipniki/2000116493-W113/","Открыть позицию")</x:f>
        <x:v>Открыть позицию</x:v>
      </x:c>
    </x:row>
    <x:row r="216" ht="28" customHeight="1">
      <x:c r="A216" s="16" t="str">
        <x:v>Бийскэнерго</x:v>
      </x:c>
      <x:c r="B216" s="16" t="str">
        <x:v>2000116376-W113</x:v>
      </x:c>
      <x:c r="C216" s="16" t="str">
        <x:v>ПОДШИПНИК 7606</x:v>
      </x:c>
      <x:c r="D216" s="16" t="str">
        <x:v>Подшипники</x:v>
      </x:c>
      <x:c r="E216" s="16" t="str">
        <x:v>ШТ</x:v>
      </x:c>
      <x:c r="F216" s="25" t="n">
        <x:v>11</x:v>
      </x:c>
      <x:c r="G216" s="17" t="n">
        <x:v>91.65859999999999</x:v>
      </x:c>
      <x:c r="H216" s="17" t="n">
        <x:f>G216*F216</x:f>
        <x:v>1008.2445999999999</x:v>
      </x:c>
      <x:c r="I216" s="26" t="str">
        <x:f>HYPERLINK("https://etp-aktiv.ru/catalog/materialy/podshipniki/2000116376-W113/","Открыть позицию")</x:f>
        <x:v>Открыть позицию</x:v>
      </x:c>
    </x:row>
    <x:row r="217" ht="28" customHeight="1">
      <x:c r="A217" s="16" t="str">
        <x:v>Бийскэнерго</x:v>
      </x:c>
      <x:c r="B217" s="16" t="str">
        <x:v>2000136608-W113</x:v>
      </x:c>
      <x:c r="C217" s="16" t="str">
        <x:v>ПОДШИПНИК 80304</x:v>
      </x:c>
      <x:c r="D217" s="16" t="str">
        <x:v>Подшипники</x:v>
      </x:c>
      <x:c r="E217" s="16" t="str">
        <x:v>ШТ</x:v>
      </x:c>
      <x:c r="F217" s="25" t="n">
        <x:v>30</x:v>
      </x:c>
      <x:c r="G217" s="17" t="n">
        <x:v>49.41</x:v>
      </x:c>
      <x:c r="H217" s="17" t="n">
        <x:f>G217*F217</x:f>
        <x:v>1482.3</x:v>
      </x:c>
      <x:c r="I217" s="26" t="str">
        <x:f>HYPERLINK("https://etp-aktiv.ru/catalog/materialy/podshipniki/2000136608-W113/","Открыть позицию")</x:f>
        <x:v>Открыть позицию</x:v>
      </x:c>
    </x:row>
    <x:row r="218" ht="28" customHeight="1">
      <x:c r="A218" s="16" t="str">
        <x:v>Бийскэнерго</x:v>
      </x:c>
      <x:c r="B218" s="16" t="str">
        <x:v>2000449744-W113</x:v>
      </x:c>
      <x:c r="C218" s="16" t="str">
        <x:v>ПОДШИПНИК 8110</x:v>
      </x:c>
      <x:c r="D218" s="16" t="str">
        <x:v>Подшипники</x:v>
      </x:c>
      <x:c r="E218" s="16" t="str">
        <x:v>ШТ</x:v>
      </x:c>
      <x:c r="F218" s="25" t="n">
        <x:v>2</x:v>
      </x:c>
      <x:c r="G218" s="17" t="n">
        <x:v>20.618</x:v>
      </x:c>
      <x:c r="H218" s="17" t="n">
        <x:f>G218*F218</x:f>
        <x:v>41.236</x:v>
      </x:c>
      <x:c r="I218" s="26" t="str">
        <x:f>HYPERLINK("https://etp-aktiv.ru/catalog/materialy/podshipniki/2000449744-W113/","Открыть позицию")</x:f>
        <x:v>Открыть позицию</x:v>
      </x:c>
    </x:row>
    <x:row r="219" ht="28" customHeight="1">
      <x:c r="A219" s="16" t="str">
        <x:v>Бийскэнерго</x:v>
      </x:c>
      <x:c r="B219" s="16" t="str">
        <x:v>2000116351-W113</x:v>
      </x:c>
      <x:c r="C219" s="16" t="str">
        <x:v>ПОДШИПНИК 8210</x:v>
      </x:c>
      <x:c r="D219" s="16" t="str">
        <x:v>Подшипники</x:v>
      </x:c>
      <x:c r="E219" s="16" t="str">
        <x:v>ШТ</x:v>
      </x:c>
      <x:c r="F219" s="25" t="n">
        <x:v>1</x:v>
      </x:c>
      <x:c r="G219" s="17" t="n">
        <x:v>93.1714</x:v>
      </x:c>
      <x:c r="H219" s="17" t="n">
        <x:f>G219*F219</x:f>
        <x:v>93.1714</x:v>
      </x:c>
      <x:c r="I219" s="26" t="str">
        <x:f>HYPERLINK("https://etp-aktiv.ru/catalog/materialy/podshipniki/2000116351-W113/","Открыть позицию")</x:f>
        <x:v>Открыть позицию</x:v>
      </x:c>
    </x:row>
    <x:row r="220" ht="28" customHeight="1">
      <x:c r="A220" s="16" t="str">
        <x:v>Бийскэнерго</x:v>
      </x:c>
      <x:c r="B220" s="16" t="str">
        <x:v>2000449758-W113</x:v>
      </x:c>
      <x:c r="C220" s="16" t="str">
        <x:v>ПОДШИПНИК 8216</x:v>
      </x:c>
      <x:c r="D220" s="16" t="str">
        <x:v>Подшипники</x:v>
      </x:c>
      <x:c r="E220" s="16" t="str">
        <x:v>ШТ</x:v>
      </x:c>
      <x:c r="F220" s="25" t="n">
        <x:v>2</x:v>
      </x:c>
      <x:c r="G220" s="17" t="n">
        <x:v>490.135</x:v>
      </x:c>
      <x:c r="H220" s="17" t="n">
        <x:f>G220*F220</x:f>
        <x:v>980.27</x:v>
      </x:c>
      <x:c r="I220" s="26" t="str">
        <x:f>HYPERLINK("https://etp-aktiv.ru/catalog/materialy/podshipniki/2000449758-W113/","Открыть позицию")</x:f>
        <x:v>Открыть позицию</x:v>
      </x:c>
    </x:row>
    <x:row r="221" ht="28" customHeight="1">
      <x:c r="A221" s="16" t="str">
        <x:v>Бийскэнерго</x:v>
      </x:c>
      <x:c r="B221" s="16" t="str">
        <x:v>2000034686-W113</x:v>
      </x:c>
      <x:c r="C221" s="16" t="str">
        <x:v>ПОДШИПНИК 8218</x:v>
      </x:c>
      <x:c r="D221" s="16" t="str">
        <x:v>Подшипники</x:v>
      </x:c>
      <x:c r="E221" s="16" t="str">
        <x:v>ШТ</x:v>
      </x:c>
      <x:c r="F221" s="25" t="n">
        <x:v>1</x:v>
      </x:c>
      <x:c r="G221" s="17" t="n">
        <x:v>75.6034</x:v>
      </x:c>
      <x:c r="H221" s="17" t="n">
        <x:f>G221*F221</x:f>
        <x:v>75.6034</x:v>
      </x:c>
      <x:c r="I221" s="26" t="str">
        <x:f>HYPERLINK("https://etp-aktiv.ru/catalog/materialy/podshipniki/2000034686-W113/","Открыть позицию")</x:f>
        <x:v>Открыть позицию</x:v>
      </x:c>
    </x:row>
    <x:row r="222" ht="28" customHeight="1">
      <x:c r="A222" s="16" t="str">
        <x:v>Бийскэнерго</x:v>
      </x:c>
      <x:c r="B222" s="16" t="str">
        <x:v>2000004623-W113</x:v>
      </x:c>
      <x:c r="C222" s="16" t="str">
        <x:v>ПОДШИПНИК 943/25</x:v>
      </x:c>
      <x:c r="D222" s="16" t="str">
        <x:v>Подшипники</x:v>
      </x:c>
      <x:c r="E222" s="16" t="str">
        <x:v>ШТ</x:v>
      </x:c>
      <x:c r="F222" s="25" t="n">
        <x:v>2</x:v>
      </x:c>
      <x:c r="G222" s="17" t="n">
        <x:v>111.17859999999999</x:v>
      </x:c>
      <x:c r="H222" s="17" t="n">
        <x:f>G222*F222</x:f>
        <x:v>222.35719999999998</x:v>
      </x:c>
      <x:c r="I222" s="26" t="str">
        <x:f>HYPERLINK("https://etp-aktiv.ru/catalog/materialy/podshipniki/2000004623-W113/","Открыть позицию")</x:f>
        <x:v>Открыть позицию</x:v>
      </x:c>
    </x:row>
    <x:row r="223" ht="28" customHeight="1">
      <x:c r="A223" s="16" t="str">
        <x:v>Бийскэнерго</x:v>
      </x:c>
      <x:c r="B223" s="16" t="str">
        <x:v>2000588503-W113</x:v>
      </x:c>
      <x:c r="C223" s="16" t="str">
        <x:v>РЕЗЕЦ РС25-67-63/12Г</x:v>
      </x:c>
      <x:c r="D223" s="16" t="str">
        <x:v>ЗЧ дроб-сорт оборуд</x:v>
      </x:c>
      <x:c r="E223" s="16" t="str">
        <x:v>ШТ</x:v>
      </x:c>
      <x:c r="F223" s="25" t="n">
        <x:v>581</x:v>
      </x:c>
      <x:c r="G223" s="17" t="n">
        <x:v>528.6016</x:v>
      </x:c>
      <x:c r="H223" s="17" t="n">
        <x:f>G223*F223</x:f>
        <x:v>307117.52959999995</x:v>
      </x:c>
      <x:c r="I223" s="26" t="str">
        <x:f>HYPERLINK("https://etp-aktiv.ru/catalog/materialy/zapasnye-chasti-k-drobilno-sortirovochnomu-oborudovaniyu/2000588503-W113/","Открыть позицию")</x:f>
        <x:v>Открыть позицию</x:v>
      </x:c>
    </x:row>
    <x:row r="224" ht="28" customHeight="1">
      <x:c r="A224" s="16" t="str">
        <x:v>Бийскэнерго</x:v>
      </x:c>
      <x:c r="B224" s="16" t="str">
        <x:v>2000380483-W113</x:v>
      </x:c>
      <x:c r="C224" s="16" t="str">
        <x:v>РОЛИК 127*1150 ИП МЕТАЛЛ</x:v>
      </x:c>
      <x:c r="D224" s="16" t="str">
        <x:v>Ролики конвейерные</x:v>
      </x:c>
      <x:c r="E224" s="16" t="str">
        <x:v>ШТ</x:v>
      </x:c>
      <x:c r="F224" s="25" t="n">
        <x:v>67</x:v>
      </x:c>
      <x:c r="G224" s="17" t="n">
        <x:v>1448.75</x:v>
      </x:c>
      <x:c r="H224" s="17" t="n">
        <x:f>G224*F224</x:f>
        <x:v>97066.25</x:v>
      </x:c>
      <x:c r="I224" s="26" t="str">
        <x:f>HYPERLINK("https://etp-aktiv.ru/catalog/materialy/zapasnye-chasti-k-gorno-shahtnomu-oborudovaniyu/2000380483-W113/","Открыть позицию")</x:f>
        <x:v>Открыть позицию</x:v>
      </x:c>
    </x:row>
    <x:row r="225" ht="28" customHeight="1">
      <x:c r="A225" s="16" t="str">
        <x:v>Бийскэнерго</x:v>
      </x:c>
      <x:c r="B225" s="16" t="str">
        <x:v>2000007627-W113</x:v>
      </x:c>
      <x:c r="C225" s="16" t="str">
        <x:v>РОЛИК 127*380 металл</x:v>
      </x:c>
      <x:c r="D225" s="16" t="str">
        <x:v>Ролики конвейерные</x:v>
      </x:c>
      <x:c r="E225" s="16" t="str">
        <x:v>ШТ</x:v>
      </x:c>
      <x:c r="F225" s="25" t="n">
        <x:v>435</x:v>
      </x:c>
      <x:c r="G225" s="17" t="n">
        <x:v>752.5692</x:v>
      </x:c>
      <x:c r="H225" s="17" t="n">
        <x:f>G225*F225</x:f>
        <x:v>327367.602</x:v>
      </x:c>
      <x:c r="I225" s="26" t="str">
        <x:f>HYPERLINK("https://etp-aktiv.ru/catalog/materialy/zapasnye-chasti-k-gorno-shahtnomu-oborudovaniyu/2000007627-W113/","Открыть позицию")</x:f>
        <x:v>Открыть позицию</x:v>
      </x:c>
    </x:row>
    <x:row r="226" ht="28" customHeight="1">
      <x:c r="A226" s="16" t="str">
        <x:v>Бийскэнерго</x:v>
      </x:c>
      <x:c r="B226" s="16" t="str">
        <x:v>2000579895-W113</x:v>
      </x:c>
      <x:c r="C226" s="16" t="str">
        <x:v>РОЛИКООПОРА ЖГ100-127-30</x:v>
      </x:c>
      <x:c r="D226" s="16" t="str">
        <x:v>ЗЧ конвейеров поверх</x:v>
      </x:c>
      <x:c r="E226" s="16" t="str">
        <x:v>ШТ</x:v>
      </x:c>
      <x:c r="F226" s="25" t="n">
        <x:v>160</x:v>
      </x:c>
      <x:c r="G226" s="17" t="n">
        <x:v>1791.1552000000001</x:v>
      </x:c>
      <x:c r="H226" s="17" t="n">
        <x:f>G226*F226</x:f>
        <x:v>286584.83200000005</x:v>
      </x:c>
      <x:c r="I226" s="26" t="str">
        <x:f>HYPERLINK("https://etp-aktiv.ru/catalog/materialy/zapasnye-chasti-k-drobilno-sortirovochnomu-oborudovaniyu/2000579895-W113/","Открыть позицию")</x:f>
        <x:v>Открыть позицию</x:v>
      </x:c>
    </x:row>
    <x:row r="227" ht="28" customHeight="1">
      <x:c r="A227" s="16" t="str">
        <x:v>Бийскэнерго</x:v>
      </x:c>
      <x:c r="B227" s="16" t="str">
        <x:v>2000005007-W113</x:v>
      </x:c>
      <x:c r="C227" s="16" t="str">
        <x:v>СТРОП СТП-1-2000</x:v>
      </x:c>
      <x:c r="D227" s="16" t="str">
        <x:v>Такелажные изделия</x:v>
      </x:c>
      <x:c r="E227" s="16" t="str">
        <x:v>ШТ</x:v>
      </x:c>
      <x:c r="F227" s="25" t="n">
        <x:v>2</x:v>
      </x:c>
      <x:c r="G227" s="17" t="n">
        <x:v>81.2642</x:v>
      </x:c>
      <x:c r="H227" s="17" t="n">
        <x:f>G227*F227</x:f>
        <x:v>162.5284</x:v>
      </x:c>
      <x:c r="I227" s="26" t="str">
        <x:f>HYPERLINK("https://etp-aktiv.ru/catalog/materialy/zapasnye-chasti-k-gruzopodemnoj-tekhnike-oborudovaniyu-i-mekhanizmam/2000005007-W113/","Открыть позицию")</x:f>
        <x:v>Открыть позицию</x:v>
      </x:c>
    </x:row>
    <x:row r="228" ht="28" customHeight="1">
      <x:c r="A228" s="16" t="str">
        <x:v>Бийскэнерго</x:v>
      </x:c>
      <x:c r="B228" s="16" t="str">
        <x:v>2000324231-W113</x:v>
      </x:c>
      <x:c r="C228" s="16" t="str">
        <x:v>ТОПОР-ЛЕДОРУБ Б2 61523 СИБРТЕХ</x:v>
      </x:c>
      <x:c r="D228" s="16" t="str">
        <x:v>Инструмент и спецосн</x:v>
      </x:c>
      <x:c r="E228" s="16" t="str">
        <x:v>ШТ</x:v>
      </x:c>
      <x:c r="F228" s="25" t="n">
        <x:v>5</x:v>
      </x:c>
      <x:c r="G228" s="17" t="n">
        <x:v>285.9436</x:v>
      </x:c>
      <x:c r="H228" s="17" t="n">
        <x:f>G228*F228</x:f>
        <x:v>1429.718</x:v>
      </x:c>
      <x:c r="I228" s="26" t="str">
        <x:f>HYPERLINK("https://etp-aktiv.ru/catalog/materialy/instrument-i-specosnastka/2000324231-W113/","Открыть позицию")</x:f>
        <x:v>Открыть позицию</x:v>
      </x:c>
    </x:row>
    <x:row r="229" ht="28" customHeight="1">
      <x:c r="A229" s="16" t="str">
        <x:v>Бийскэнерго</x:v>
      </x:c>
      <x:c r="B229" s="16" t="str">
        <x:v>2000767688-W113</x:v>
      </x:c>
      <x:c r="C229" s="16" t="str">
        <x:v>ХОМУТ ЧЕРВЯЧНЫЙ 50-70ММ M-05070</x:v>
      </x:c>
      <x:c r="D229" s="16" t="str">
        <x:v>Инструмент и спецосн</x:v>
      </x:c>
      <x:c r="E229" s="16" t="str">
        <x:v>ШТ</x:v>
      </x:c>
      <x:c r="F229" s="25" t="n">
        <x:v>30</x:v>
      </x:c>
      <x:c r="G229" s="17" t="n">
        <x:v>13.42</x:v>
      </x:c>
      <x:c r="H229" s="17" t="n">
        <x:f>G229*F229</x:f>
        <x:v>402.6</x:v>
      </x:c>
      <x:c r="I229" s="26" t="str">
        <x:f>HYPERLINK("https://etp-aktiv.ru/catalog/materialy/instrument-i-specosnastka/2000767688-W113/","Открыть позицию")</x:f>
        <x:v>Открыть позицию</x:v>
      </x:c>
    </x:row>
    <x:row r="230" ht="28" customHeight="1">
      <x:c r="A230" s="16" t="str">
        <x:v>Бийскэнерго</x:v>
      </x:c>
      <x:c r="B230" s="16" t="str">
        <x:v>2000544158-W113</x:v>
      </x:c>
      <x:c r="C230" s="16" t="str">
        <x:v>ШКУР ШЛ В/С О2 725*30 СП 14А 8НГОСТ13344</x:v>
      </x:c>
      <x:c r="D230" s="16" t="str">
        <x:v>Инструмент и спецосн</x:v>
      </x:c>
      <x:c r="E230" s="16" t="str">
        <x:v>М2</x:v>
      </x:c>
      <x:c r="F230" s="25" t="n">
        <x:v>1</x:v>
      </x:c>
      <x:c r="G230" s="17" t="n">
        <x:v>162.1624</x:v>
      </x:c>
      <x:c r="H230" s="17" t="n">
        <x:f>G230*F230</x:f>
        <x:v>162.1624</x:v>
      </x:c>
      <x:c r="I230" s="26" t="str">
        <x:f>HYPERLINK("https://etp-aktiv.ru/catalog/materialy/instrument-i-specosnastka/2000544158-W113/","Открыть позицию")</x:f>
        <x:v>Открыть позицию</x:v>
      </x:c>
    </x:row>
    <x:row r="231" ht="28" customHeight="1">
      <x:c r="A231" s="16" t="str">
        <x:v>Бийскэнерго</x:v>
      </x:c>
      <x:c r="B231" s="16" t="str">
        <x:v>2000544172-W113</x:v>
      </x:c>
      <x:c r="C231" s="16" t="str">
        <x:v>ШКУРКА В/С О2 700*30 С2 14А/12Н СФЖ 3038</x:v>
      </x:c>
      <x:c r="D231" s="16" t="str">
        <x:v>Инструмент и спецосн</x:v>
      </x:c>
      <x:c r="E231" s="16" t="str">
        <x:v>М2</x:v>
      </x:c>
      <x:c r="F231" s="30" t="n">
        <x:v>0.5</x:v>
      </x:c>
      <x:c r="G231" s="17" t="n">
        <x:v>32.0982</x:v>
      </x:c>
      <x:c r="H231" s="17" t="n">
        <x:f>G231*F231</x:f>
        <x:v>16.0491</x:v>
      </x:c>
      <x:c r="I231" s="26" t="str">
        <x:f>HYPERLINK("https://etp-aktiv.ru/catalog/materialy/instrument-i-specosnastka/2000544172-W113/","Открыть позицию")</x:f>
        <x:v>Открыть позицию</x:v>
      </x:c>
    </x:row>
    <x:row r="232" ht="28" customHeight="1">
      <x:c r="A232" s="16" t="str">
        <x:v>Бийскэнерго</x:v>
      </x:c>
      <x:c r="B232" s="16" t="str">
        <x:v>2000544181-W113</x:v>
      </x:c>
      <x:c r="C232" s="16" t="str">
        <x:v>ШКУРКА ШЛ В/С О 1 775 ЛОГ М16 СФЖ 3038</x:v>
      </x:c>
      <x:c r="D232" s="16" t="str">
        <x:v>Инструмент и спецосн</x:v>
      </x:c>
      <x:c r="E232" s="16" t="str">
        <x:v>ПМ</x:v>
      </x:c>
      <x:c r="F232" s="25" t="n">
        <x:v>1</x:v>
      </x:c>
      <x:c r="G232" s="17" t="n">
        <x:v>159.1002</x:v>
      </x:c>
      <x:c r="H232" s="17" t="n">
        <x:f>G232*F232</x:f>
        <x:v>159.1002</x:v>
      </x:c>
      <x:c r="I232" s="26" t="str">
        <x:f>HYPERLINK("https://etp-aktiv.ru/catalog/materialy/instrument-i-specosnastka/2000544181-W113/","Открыть позицию")</x:f>
        <x:v>Открыть позицию</x:v>
      </x:c>
    </x:row>
    <x:row r="233" ht="28" customHeight="1">
      <x:c r="A233" s="16" t="str">
        <x:v>Бийскэнерго</x:v>
      </x:c>
      <x:c r="B233" s="16" t="str">
        <x:v>2000544304-W113</x:v>
      </x:c>
      <x:c r="C233" s="16" t="str">
        <x:v>ШКУРКА ШЛИФ 1 70 P80 СФЖ 3038</x:v>
      </x:c>
      <x:c r="D233" s="16" t="str">
        <x:v>Инструмент и спецосн</x:v>
      </x:c>
      <x:c r="E233" s="16" t="str">
        <x:v>ПМ</x:v>
      </x:c>
      <x:c r="F233" s="25" t="n">
        <x:v>30</x:v>
      </x:c>
      <x:c r="G233" s="17" t="n">
        <x:v>39.9428</x:v>
      </x:c>
      <x:c r="H233" s="17" t="n">
        <x:f>G233*F233</x:f>
        <x:v>1198.2839999999999</x:v>
      </x:c>
      <x:c r="I233" s="26" t="str">
        <x:f>HYPERLINK("https://etp-aktiv.ru/catalog/materialy/instrument-i-specosnastka/2000544304-W113/","Открыть позицию")</x:f>
        <x:v>Открыть позицию</x:v>
      </x:c>
    </x:row>
    <x:row r="234" ht="28" customHeight="1">
      <x:c r="A234" s="16" t="str">
        <x:v>Бийскэнерго</x:v>
      </x:c>
      <x:c r="B234" s="16" t="str">
        <x:v>2000544294-W113</x:v>
      </x:c>
      <x:c r="C234" s="16" t="str">
        <x:v>ШКУРКА ШЛИФ 775*30 10Н М</x:v>
      </x:c>
      <x:c r="D234" s="16" t="str">
        <x:v>Инструмент и спецосн</x:v>
      </x:c>
      <x:c r="E234" s="16" t="str">
        <x:v>ПМ</x:v>
      </x:c>
      <x:c r="F234" s="24" t="n">
        <x:v>16.3</x:v>
      </x:c>
      <x:c r="G234" s="17" t="n">
        <x:v>37.1612</x:v>
      </x:c>
      <x:c r="H234" s="17" t="n">
        <x:f>G234*F234</x:f>
        <x:v>605.72756</x:v>
      </x:c>
      <x:c r="I234" s="26" t="str">
        <x:f>HYPERLINK("https://etp-aktiv.ru/catalog/materialy/instrument-i-specosnastka/2000544294-W113/","Открыть позицию")</x:f>
        <x:v>Открыть позицию</x:v>
      </x:c>
    </x:row>
    <x:row r="235" ht="28" customHeight="1">
      <x:c r="A235" s="16" t="str">
        <x:v>Бийскэнерго</x:v>
      </x:c>
      <x:c r="B235" s="16" t="str">
        <x:v>2000632417-W113</x:v>
      </x:c>
      <x:c r="C235" s="16" t="str">
        <x:v>ШКУРКА ШЛИФ 800*30 У1С 14А ТИП D 25Н</x:v>
      </x:c>
      <x:c r="D235" s="16" t="str">
        <x:v>Инструмент и спецосн</x:v>
      </x:c>
      <x:c r="E235" s="16" t="str">
        <x:v>ПМ</x:v>
      </x:c>
      <x:c r="F235" s="24" t="n">
        <x:v>4.4</x:v>
      </x:c>
      <x:c r="G235" s="17" t="n">
        <x:v>172.5446</x:v>
      </x:c>
      <x:c r="H235" s="17" t="n">
        <x:f>G235*F235</x:f>
        <x:v>759.1962400000001</x:v>
      </x:c>
      <x:c r="I235" s="26" t="str">
        <x:f>HYPERLINK("https://etp-aktiv.ru/catalog/materialy/instrument-i-specosnastka/2000632417-W113/","Открыть позицию")</x:f>
        <x:v>Открыть позицию</x:v>
      </x:c>
    </x:row>
    <x:row r="236" ht="28" customHeight="1">
      <x:c r="A236" s="16" t="str">
        <x:v>Бийскэнерго</x:v>
      </x:c>
      <x:c r="B236" s="16" t="str">
        <x:v>2000544178-W113</x:v>
      </x:c>
      <x:c r="C236" s="16" t="str">
        <x:v>ШКУРКА ШЛИФ. 1 С 775 30 ЛОГ 16Н М</x:v>
      </x:c>
      <x:c r="D236" s="16" t="str">
        <x:v>Инструмент и спецосн</x:v>
      </x:c>
      <x:c r="E236" s="16" t="str">
        <x:v>М2</x:v>
      </x:c>
      <x:c r="F236" s="30" t="n">
        <x:v>0.092</x:v>
      </x:c>
      <x:c r="G236" s="17" t="n">
        <x:v>34.2698</x:v>
      </x:c>
      <x:c r="H236" s="17" t="n">
        <x:f>G236*F236</x:f>
        <x:v>3.1528216</x:v>
      </x:c>
      <x:c r="I236" s="26" t="str">
        <x:f>HYPERLINK("https://etp-aktiv.ru/catalog/materialy/instrument-i-specosnastka/2000544178-W113/","Открыть позицию")</x:f>
        <x:v>Открыть позицию</x:v>
      </x:c>
    </x:row>
    <x:row r="237" ht="28" customHeight="1">
      <x:c r="A237" s="16" t="str">
        <x:v>Бийскэнерго</x:v>
      </x:c>
      <x:c r="B237" s="16" t="str">
        <x:v>2000544191-W113</x:v>
      </x:c>
      <x:c r="C237" s="16" t="str">
        <x:v>ШКУРКА ШЛИФ. В/С О 1 775 ЛОГ 20 СФЖ 3038</x:v>
      </x:c>
      <x:c r="D237" s="16" t="str">
        <x:v>Инструмент и спецосн</x:v>
      </x:c>
      <x:c r="E237" s="16" t="str">
        <x:v>М2</x:v>
      </x:c>
      <x:c r="F237" s="24" t="n">
        <x:v>5.78</x:v>
      </x:c>
      <x:c r="G237" s="17" t="n">
        <x:v>66.5998</x:v>
      </x:c>
      <x:c r="H237" s="17" t="n">
        <x:f>G237*F237</x:f>
        <x:v>384.94684400000006</x:v>
      </x:c>
      <x:c r="I237" s="26" t="str">
        <x:f>HYPERLINK("https://etp-aktiv.ru/catalog/materialy/instrument-i-specosnastka/2000544191-W113/","Открыть позицию")</x:f>
        <x:v>Открыть позицию</x:v>
      </x:c>
    </x:row>
    <x:row r="238" ht="28" customHeight="1">
      <x:c r="A238" s="16" t="str">
        <x:v>Бийскэнерго</x:v>
      </x:c>
      <x:c r="B238" s="16" t="str">
        <x:v>2000045958-W113</x:v>
      </x:c>
      <x:c r="C238" s="16" t="str">
        <x:v>ШЛИФКРУГ 125*20*32 ППК 64С</x:v>
      </x:c>
      <x:c r="D238" s="16" t="str">
        <x:v>Инструмент и спецосн</x:v>
      </x:c>
      <x:c r="E238" s="16" t="str">
        <x:v>ШТ</x:v>
      </x:c>
      <x:c r="F238" s="25" t="n">
        <x:v>14</x:v>
      </x:c>
      <x:c r="G238" s="17" t="n">
        <x:v>129.9544</x:v>
      </x:c>
      <x:c r="H238" s="17" t="n">
        <x:f>G238*F238</x:f>
        <x:v>1819.3616</x:v>
      </x:c>
      <x:c r="I238" s="26" t="str">
        <x:f>HYPERLINK("https://etp-aktiv.ru/catalog/materialy/instrument-i-specosnastka/2000045958-W113/","Открыть позицию")</x:f>
        <x:v>Открыть позицию</x:v>
      </x:c>
    </x:row>
    <x:row r="239" ht="28" customHeight="1">
      <x:c r="A239" s="16" t="str">
        <x:v>Бийскэнерго</x:v>
      </x:c>
      <x:c r="B239" s="16" t="str">
        <x:v>2000045947-W113</x:v>
      </x:c>
      <x:c r="C239" s="16" t="str">
        <x:v>ШЛИФКРУГ 150*30*32 14А</x:v>
      </x:c>
      <x:c r="D239" s="16" t="str">
        <x:v>Инструмент и спецосн</x:v>
      </x:c>
      <x:c r="E239" s="16" t="str">
        <x:v>ШТ</x:v>
      </x:c>
      <x:c r="F239" s="25" t="n">
        <x:v>43</x:v>
      </x:c>
      <x:c r="G239" s="17" t="n">
        <x:v>259.4208</x:v>
      </x:c>
      <x:c r="H239" s="17" t="n">
        <x:f>G239*F239</x:f>
        <x:v>11155.0944</x:v>
      </x:c>
      <x:c r="I239" s="26" t="str">
        <x:f>HYPERLINK("https://etp-aktiv.ru/catalog/materialy/instrument-i-specosnastka/2000045947-W113/","Открыть позицию")</x:f>
        <x:v>Открыть позицию</x:v>
      </x:c>
    </x:row>
    <x:row r="240" ht="28" customHeight="1">
      <x:c r="A240" s="16" t="str">
        <x:v>Бийскэнерго</x:v>
      </x:c>
      <x:c r="B240" s="16" t="str">
        <x:v>2000045985-W113</x:v>
      </x:c>
      <x:c r="C240" s="16" t="str">
        <x:v>ШЛИФКРУГ 180*6*22 14А</x:v>
      </x:c>
      <x:c r="D240" s="16" t="str">
        <x:v>Инструмент и спецосн</x:v>
      </x:c>
      <x:c r="E240" s="16" t="str">
        <x:v>ШТ</x:v>
      </x:c>
      <x:c r="F240" s="25" t="n">
        <x:v>22</x:v>
      </x:c>
      <x:c r="G240" s="17" t="n">
        <x:v>48.251</x:v>
      </x:c>
      <x:c r="H240" s="17" t="n">
        <x:f>G240*F240</x:f>
        <x:v>1061.522</x:v>
      </x:c>
      <x:c r="I240" s="26" t="str">
        <x:f>HYPERLINK("https://etp-aktiv.ru/catalog/materialy/instrument-i-specosnastka/2000045985-W113/","Открыть позицию")</x:f>
        <x:v>Открыть позицию</x:v>
      </x:c>
    </x:row>
    <x:row r="241" ht="28" customHeight="1">
      <x:c r="A241" s="16" t="str">
        <x:v>Бийскэнерго</x:v>
      </x:c>
      <x:c r="B241" s="16" t="str">
        <x:v>2000138139-W113</x:v>
      </x:c>
      <x:c r="C241" s="16" t="str">
        <x:v>ШЛИФКРУГ 80*20*20 25А25С</x:v>
      </x:c>
      <x:c r="D241" s="16" t="str">
        <x:v>Инструмент и спецосн</x:v>
      </x:c>
      <x:c r="E241" s="16" t="str">
        <x:v>ШТ</x:v>
      </x:c>
      <x:c r="F241" s="25" t="n">
        <x:v>10</x:v>
      </x:c>
      <x:c r="G241" s="17" t="n">
        <x:v>52.1428</x:v>
      </x:c>
      <x:c r="H241" s="17" t="n">
        <x:f>G241*F241</x:f>
        <x:v>521.428</x:v>
      </x:c>
      <x:c r="I241" s="26" t="str">
        <x:f>HYPERLINK("https://etp-aktiv.ru/catalog/materialy/instrument-i-specosnastka/2000138139-W113/","Открыть позицию")</x:f>
        <x:v>Открыть позицию</x:v>
      </x:c>
    </x:row>
    <x:row r="242" ht="28" customHeight="1">
      <x:c r="A242" s="16" t="str">
        <x:v>Бийскэнерго</x:v>
      </x:c>
      <x:c r="B242" s="16" t="str">
        <x:v>2000767696-W113</x:v>
      </x:c>
      <x:c r="C242" s="16" t="str">
        <x:v>ЩЕТКА 3-РЯД МЕТАЛ С ПЛАСТМАС РУЧ 748655</x:v>
      </x:c>
      <x:c r="D242" s="16" t="str">
        <x:v>Инструмент и спецосн</x:v>
      </x:c>
      <x:c r="E242" s="16" t="str">
        <x:v>ШТ</x:v>
      </x:c>
      <x:c r="F242" s="25" t="n">
        <x:v>4</x:v>
      </x:c>
      <x:c r="G242" s="17" t="n">
        <x:v>53.9728</x:v>
      </x:c>
      <x:c r="H242" s="17" t="n">
        <x:f>G242*F242</x:f>
        <x:v>215.8912</x:v>
      </x:c>
      <x:c r="I242" s="26" t="str">
        <x:f>HYPERLINK("https://etp-aktiv.ru/catalog/materialy/instrument-i-specosnastka/2000767696-W113/","Открыть позицию")</x:f>
        <x:v>Открыть позицию</x:v>
      </x:c>
    </x:row>
    <x:row r="243" ht="28" customHeight="1">
      <x:c r="A243" s="16" t="str">
        <x:v>Бийскэнерго</x:v>
      </x:c>
      <x:c r="B243" s="16" t="str">
        <x:v>2000544204-W113</x:v>
      </x:c>
      <x:c r="C243" s="16" t="str">
        <x:v>ЩЕТКА ЗАЧ ДИСКОВАЯ Д/УШМ 125ММ 35101-125</x:v>
      </x:c>
      <x:c r="D243" s="16" t="str">
        <x:v>Инструмент и спецосн</x:v>
      </x:c>
      <x:c r="E243" s="16" t="str">
        <x:v>ШТ</x:v>
      </x:c>
      <x:c r="F243" s="25" t="n">
        <x:v>4</x:v>
      </x:c>
      <x:c r="G243" s="17" t="n">
        <x:v>165.92</x:v>
      </x:c>
      <x:c r="H243" s="17" t="n">
        <x:f>G243*F243</x:f>
        <x:v>663.68</x:v>
      </x:c>
      <x:c r="I243" s="26" t="str">
        <x:f>HYPERLINK("https://etp-aktiv.ru/catalog/materialy/instrument-i-specosnastka/2000544204-W113/","Открыть позицию")</x:f>
        <x:v>Открыть позицию</x:v>
      </x:c>
    </x:row>
    <x:row r="244" ht="28" customHeight="1">
      <x:c r="A244" s="16" t="str">
        <x:v>БийскэнергоТеплоТранзит</x:v>
      </x:c>
      <x:c r="B244" s="16" t="str">
        <x:v>M2000560822-W123</x:v>
      </x:c>
      <x:c r="C244" s="16" t="str">
        <x:v>ЛЕНТА 2Ш 1400-5 ТК200-2 4,5/3,5 Г-1-РБ</x:v>
      </x:c>
      <x:c r="D244" s="16" t="str">
        <x:v>Лента транспортерная</x:v>
      </x:c>
      <x:c r="E244" s="16" t="str">
        <x:v>М2</x:v>
      </x:c>
      <x:c r="F244" s="24" t="n">
        <x:v>6.06</x:v>
      </x:c>
      <x:c r="G244" s="17" t="n">
        <x:v>536.8</x:v>
      </x:c>
      <x:c r="H244" s="17" t="n">
        <x:f>G244*F244</x:f>
        <x:v>3253.0079999999994</x:v>
      </x:c>
      <x:c r="I244" s="26" t="str">
        <x:f>HYPERLINK("https://etp-aktiv.ru/catalog/materialy/lenta-transporternaya/M2000560822-W123/","Открыть позицию")</x:f>
        <x:v>Открыть позицию</x:v>
      </x:c>
    </x:row>
    <x:row r="245" ht="28" customHeight="1">
      <x:c r="A245" s="16" t="str">
        <x:v>БийскэнергоТеплоТранзит</x:v>
      </x:c>
      <x:c r="B245" s="16" t="str">
        <x:v>2000116405-W123</x:v>
      </x:c>
      <x:c r="C245" s="16" t="str">
        <x:v>ПОДШИПНИК 1607</x:v>
      </x:c>
      <x:c r="D245" s="16" t="str">
        <x:v>Подшипники</x:v>
      </x:c>
      <x:c r="E245" s="16" t="str">
        <x:v>ШТ</x:v>
      </x:c>
      <x:c r="F245" s="25" t="n">
        <x:v>8</x:v>
      </x:c>
      <x:c r="G245" s="17" t="n">
        <x:v>57.0472</x:v>
      </x:c>
      <x:c r="H245" s="17" t="n">
        <x:f>G245*F245</x:f>
        <x:v>456.3776</x:v>
      </x:c>
      <x:c r="I245" s="26" t="str">
        <x:f>HYPERLINK("https://etp-aktiv.ru/catalog/materialy/podshipniki/2000116405-W123/","Открыть позицию")</x:f>
        <x:v>Открыть позицию</x:v>
      </x:c>
    </x:row>
    <x:row r="246" ht="28" customHeight="1">
      <x:c r="A246" s="16" t="str">
        <x:v>БийскэнергоТеплоТранзит</x:v>
      </x:c>
      <x:c r="B246" s="16" t="str">
        <x:v>2000115329-W123</x:v>
      </x:c>
      <x:c r="C246" s="16" t="str">
        <x:v>ПОДШИПНИК 213</x:v>
      </x:c>
      <x:c r="D246" s="16" t="str">
        <x:v>Подшипники</x:v>
      </x:c>
      <x:c r="E246" s="16" t="str">
        <x:v>ШТ</x:v>
      </x:c>
      <x:c r="F246" s="25" t="n">
        <x:v>1</x:v>
      </x:c>
      <x:c r="G246" s="17" t="n">
        <x:v>194.6998</x:v>
      </x:c>
      <x:c r="H246" s="17" t="n">
        <x:f>G246*F246</x:f>
        <x:v>194.6998</x:v>
      </x:c>
      <x:c r="I246" s="26" t="str">
        <x:f>HYPERLINK("https://etp-aktiv.ru/catalog/materialy/podshipniki/2000115329-W123/","Открыть позицию")</x:f>
        <x:v>Открыть позицию</x:v>
      </x:c>
    </x:row>
    <x:row r="247" ht="28" customHeight="1">
      <x:c r="A247" s="16" t="str">
        <x:v>БийскэнергоТеплоТранзит</x:v>
      </x:c>
      <x:c r="B247" s="16" t="str">
        <x:v>2000116559-W123</x:v>
      </x:c>
      <x:c r="C247" s="16" t="str">
        <x:v>ПОДШИПНИК 2314</x:v>
      </x:c>
      <x:c r="D247" s="16" t="str">
        <x:v>Подшипники</x:v>
      </x:c>
      <x:c r="E247" s="16" t="str">
        <x:v>ШТ</x:v>
      </x:c>
      <x:c r="F247" s="25" t="n">
        <x:v>4</x:v>
      </x:c>
      <x:c r="G247" s="17" t="n">
        <x:v>810.9218000000001</x:v>
      </x:c>
      <x:c r="H247" s="17" t="n">
        <x:f>G247*F247</x:f>
        <x:v>3243.6872000000003</x:v>
      </x:c>
      <x:c r="I247" s="26" t="str">
        <x:f>HYPERLINK("https://etp-aktiv.ru/catalog/materialy/podshipniki/2000116559-W123/","Открыть позицию")</x:f>
        <x:v>Открыть позицию</x:v>
      </x:c>
    </x:row>
    <x:row r="248" ht="28" customHeight="1">
      <x:c r="A248" s="16" t="str">
        <x:v>БийскэнергоТеплоТранзит</x:v>
      </x:c>
      <x:c r="B248" s="16" t="str">
        <x:v>2000116617-W123</x:v>
      </x:c>
      <x:c r="C248" s="16" t="str">
        <x:v>ПОДШИПНИК 2318</x:v>
      </x:c>
      <x:c r="D248" s="16" t="str">
        <x:v>Подшипники</x:v>
      </x:c>
      <x:c r="E248" s="16" t="str">
        <x:v>ШТ</x:v>
      </x:c>
      <x:c r="F248" s="25" t="n">
        <x:v>1</x:v>
      </x:c>
      <x:c r="G248" s="17" t="n">
        <x:v>1171.2854</x:v>
      </x:c>
      <x:c r="H248" s="17" t="n">
        <x:f>G248*F248</x:f>
        <x:v>1171.2854</x:v>
      </x:c>
      <x:c r="I248" s="26" t="str">
        <x:f>HYPERLINK("https://etp-aktiv.ru/catalog/materialy/podshipniki/2000116617-W123/","Открыть позицию")</x:f>
        <x:v>Открыть позицию</x:v>
      </x:c>
    </x:row>
    <x:row r="249" ht="28" customHeight="1">
      <x:c r="A249" s="16" t="str">
        <x:v>БийскэнергоТеплоТранзит</x:v>
      </x:c>
      <x:c r="B249" s="16" t="str">
        <x:v>2000116656-W123</x:v>
      </x:c>
      <x:c r="C249" s="16" t="str">
        <x:v>ПОДШИПНИК 2320</x:v>
      </x:c>
      <x:c r="D249" s="16" t="str">
        <x:v>Подшипники</x:v>
      </x:c>
      <x:c r="E249" s="16" t="str">
        <x:v>ШТ</x:v>
      </x:c>
      <x:c r="F249" s="25" t="n">
        <x:v>1</x:v>
      </x:c>
      <x:c r="G249" s="17" t="n">
        <x:v>1615.6094</x:v>
      </x:c>
      <x:c r="H249" s="17" t="n">
        <x:f>G249*F249</x:f>
        <x:v>1615.6094</x:v>
      </x:c>
      <x:c r="I249" s="26" t="str">
        <x:f>HYPERLINK("https://etp-aktiv.ru/catalog/materialy/podshipniki/2000116656-W123/","Открыть позицию")</x:f>
        <x:v>Открыть позицию</x:v>
      </x:c>
    </x:row>
    <x:row r="250" ht="28" customHeight="1">
      <x:c r="A250" s="16" t="str">
        <x:v>БийскэнергоТеплоТранзит</x:v>
      </x:c>
      <x:c r="B250" s="16" t="str">
        <x:v>2000116557-W123</x:v>
      </x:c>
      <x:c r="C250" s="16" t="str">
        <x:v>ПОДШИПНИК 317</x:v>
      </x:c>
      <x:c r="D250" s="16" t="str">
        <x:v>Подшипники</x:v>
      </x:c>
      <x:c r="E250" s="16" t="str">
        <x:v>ШТ</x:v>
      </x:c>
      <x:c r="F250" s="25" t="n">
        <x:v>1</x:v>
      </x:c>
      <x:c r="G250" s="17" t="n">
        <x:v>875.5086</x:v>
      </x:c>
      <x:c r="H250" s="17" t="n">
        <x:f>G250*F250</x:f>
        <x:v>875.5086</x:v>
      </x:c>
      <x:c r="I250" s="26" t="str">
        <x:f>HYPERLINK("https://etp-aktiv.ru/catalog/materialy/podshipniki/2000116557-W123/","Открыть позицию")</x:f>
        <x:v>Открыть позицию</x:v>
      </x:c>
    </x:row>
    <x:row r="251" ht="28" customHeight="1">
      <x:c r="A251" s="16" t="str">
        <x:v>БийскэнергоТеплоТранзит</x:v>
      </x:c>
      <x:c r="B251" s="16" t="str">
        <x:v>2000116611-W123</x:v>
      </x:c>
      <x:c r="C251" s="16" t="str">
        <x:v>ПОДШИПНИК 320</x:v>
      </x:c>
      <x:c r="D251" s="16" t="str">
        <x:v>Подшипники</x:v>
      </x:c>
      <x:c r="E251" s="16" t="str">
        <x:v>ШТ</x:v>
      </x:c>
      <x:c r="F251" s="25" t="n">
        <x:v>1</x:v>
      </x:c>
      <x:c r="G251" s="17" t="n">
        <x:v>1069.696</x:v>
      </x:c>
      <x:c r="H251" s="17" t="n">
        <x:f>G251*F251</x:f>
        <x:v>1069.696</x:v>
      </x:c>
      <x:c r="I251" s="26" t="str">
        <x:f>HYPERLINK("https://etp-aktiv.ru/catalog/materialy/podshipniki/2000116611-W123/","Открыть позицию")</x:f>
        <x:v>Открыть позицию</x:v>
      </x:c>
    </x:row>
    <x:row r="252" ht="28" customHeight="1">
      <x:c r="A252" s="16" t="str">
        <x:v>БийскэнергоТеплоТранзит</x:v>
      </x:c>
      <x:c r="B252" s="16" t="str">
        <x:v>2000116474-W123</x:v>
      </x:c>
      <x:c r="C252" s="16" t="str">
        <x:v>ПОДШИПНИК 60312</x:v>
      </x:c>
      <x:c r="D252" s="16" t="str">
        <x:v>Подшипники</x:v>
      </x:c>
      <x:c r="E252" s="16" t="str">
        <x:v>ШТ</x:v>
      </x:c>
      <x:c r="F252" s="25" t="n">
        <x:v>1</x:v>
      </x:c>
      <x:c r="G252" s="17" t="n">
        <x:v>117.425</x:v>
      </x:c>
      <x:c r="H252" s="17" t="n">
        <x:f>G252*F252</x:f>
        <x:v>117.425</x:v>
      </x:c>
      <x:c r="I252" s="26" t="str">
        <x:f>HYPERLINK("https://etp-aktiv.ru/catalog/materialy/podshipniki/2000116474-W123/","Открыть позицию")</x:f>
        <x:v>Открыть позицию</x:v>
      </x:c>
    </x:row>
    <x:row r="253" ht="28" customHeight="1">
      <x:c r="A253" s="16" t="str">
        <x:v>БийскэнергоТеплоТранзит</x:v>
      </x:c>
      <x:c r="B253" s="16" t="str">
        <x:v>2000766558-W123</x:v>
      </x:c>
      <x:c r="C253" s="16" t="str">
        <x:v>ПОДШИПНИК 62310-2RS</x:v>
      </x:c>
      <x:c r="D253" s="16" t="str">
        <x:v>Подшипники</x:v>
      </x:c>
      <x:c r="E253" s="16" t="str">
        <x:v>ШТ</x:v>
      </x:c>
      <x:c r="F253" s="25" t="n">
        <x:v>1</x:v>
      </x:c>
      <x:c r="G253" s="17" t="n">
        <x:v>354.7882</x:v>
      </x:c>
      <x:c r="H253" s="17" t="n">
        <x:f>G253*F253</x:f>
        <x:v>354.7882</x:v>
      </x:c>
      <x:c r="I253" s="26" t="str">
        <x:f>HYPERLINK("https://etp-aktiv.ru/catalog/materialy/podshipniki/2000766558-W123/","Открыть позицию")</x:f>
        <x:v>Открыть позицию</x:v>
      </x:c>
    </x:row>
    <x:row r="254" ht="28" customHeight="1">
      <x:c r="A254" s="16" t="str">
        <x:v>БийскэнергоТеплоТранзит</x:v>
      </x:c>
      <x:c r="B254" s="16" t="str">
        <x:v>2000453817-W123</x:v>
      </x:c>
      <x:c r="C254" s="16" t="str">
        <x:v>ПОДШИПНИК 6306-2RSR</x:v>
      </x:c>
      <x:c r="D254" s="16" t="str">
        <x:v>Подшипники</x:v>
      </x:c>
      <x:c r="E254" s="16" t="str">
        <x:v>ШТ</x:v>
      </x:c>
      <x:c r="F254" s="25" t="n">
        <x:v>2</x:v>
      </x:c>
      <x:c r="G254" s="17" t="n">
        <x:v>205.1918</x:v>
      </x:c>
      <x:c r="H254" s="17" t="n">
        <x:f>G254*F254</x:f>
        <x:v>410.3836</x:v>
      </x:c>
      <x:c r="I254" s="26" t="str">
        <x:f>HYPERLINK("https://etp-aktiv.ru/catalog/materialy/podshipniki/2000453817-W123/","Открыть позицию")</x:f>
        <x:v>Открыть позицию</x:v>
      </x:c>
    </x:row>
    <x:row r="255" ht="28" customHeight="1">
      <x:c r="A255" s="16" t="str">
        <x:v>БийскэнергоТеплоТранзит</x:v>
      </x:c>
      <x:c r="B255" s="16" t="str">
        <x:v>2000556653-W123</x:v>
      </x:c>
      <x:c r="C255" s="16" t="str">
        <x:v>ПОДШИПНИК 6310 2RS C3</x:v>
      </x:c>
      <x:c r="D255" s="16" t="str">
        <x:v>Подшипники</x:v>
      </x:c>
      <x:c r="E255" s="16" t="str">
        <x:v>ШТ</x:v>
      </x:c>
      <x:c r="F255" s="25" t="n">
        <x:v>2</x:v>
      </x:c>
      <x:c r="G255" s="17" t="n">
        <x:v>457.04859999999996</x:v>
      </x:c>
      <x:c r="H255" s="17" t="n">
        <x:f>G255*F255</x:f>
        <x:v>914.0971999999999</x:v>
      </x:c>
      <x:c r="I255" s="26" t="str">
        <x:f>HYPERLINK("https://etp-aktiv.ru/catalog/materialy/podshipniki/2000556653-W123/","Открыть позицию")</x:f>
        <x:v>Открыть позицию</x:v>
      </x:c>
    </x:row>
    <x:row r="256" ht="28" customHeight="1">
      <x:c r="A256" s="16" t="str">
        <x:v>Рубцовский ТЭК</x:v>
      </x:c>
      <x:c r="B256" s="16" t="str">
        <x:v>2000537486-W122</x:v>
      </x:c>
      <x:c r="C256" s="16" t="str">
        <x:v>БИЛО 3.169.15.02.И1-ОСБ МЕЛЬНИЦ ММТ</x:v>
      </x:c>
      <x:c r="D256" s="16" t="str">
        <x:v>ЗЧ мельниц</x:v>
      </x:c>
      <x:c r="E256" s="16" t="str">
        <x:v>ШТ</x:v>
      </x:c>
      <x:c r="F256" s="25" t="n">
        <x:v>1181</x:v>
      </x:c>
      <x:c r="G256" s="17" t="n">
        <x:v>1014.979</x:v>
      </x:c>
      <x:c r="H256" s="17" t="n">
        <x:f>G256*F256</x:f>
        <x:v>1198690.199</x:v>
      </x:c>
      <x:c r="I256" s="26" t="str">
        <x:f>HYPERLINK("https://etp-aktiv.ru/catalog/materialy/zapasnye-chasti-promyshlennogo-oborudovaniya/2000537486-W122/","Открыть позицию")</x:f>
        <x:v>Открыть позицию</x:v>
      </x:c>
    </x:row>
    <x:row r="257" ht="28" customHeight="1">
      <x:c r="A257" s="16" t="str">
        <x:v>Рубцовский ТЭК</x:v>
      </x:c>
      <x:c r="B257" s="16" t="str">
        <x:v>2000537506-W122</x:v>
      </x:c>
      <x:c r="C257" s="16" t="str">
        <x:v>БИЛОДЕРЖАТЕЛЬ 3.169.15.03И1-0СБ ММТ 1300</x:v>
      </x:c>
      <x:c r="D257" s="16" t="str">
        <x:v>ЗЧ мельниц</x:v>
      </x:c>
      <x:c r="E257" s="16" t="str">
        <x:v>ШТ</x:v>
      </x:c>
      <x:c r="F257" s="25" t="n">
        <x:v>398</x:v>
      </x:c>
      <x:c r="G257" s="17" t="n">
        <x:v>2330.2</x:v>
      </x:c>
      <x:c r="H257" s="17" t="n">
        <x:f>G257*F257</x:f>
        <x:v>927419.6</x:v>
      </x:c>
      <x:c r="I257" s="26" t="str">
        <x:f>HYPERLINK("https://etp-aktiv.ru/catalog/materialy/zapasnye-chasti-promyshlennogo-oborudovaniya/2000537506-W122/","Открыть позицию")</x:f>
        <x:v>Открыть позицию</x:v>
      </x:c>
    </x:row>
    <x:row r="258" ht="28" customHeight="1">
      <x:c r="A258" s="16" t="str">
        <x:v>Рубцовский ТЭК</x:v>
      </x:c>
      <x:c r="B258" s="16" t="str">
        <x:v>5000040768-W122</x:v>
      </x:c>
      <x:c r="C258" s="16" t="str">
        <x:v>ВЕНТИЛЯТОР 30ЦС-85 АИР160S2 15/380/3000</x:v>
      </x:c>
      <x:c r="D258" s="16" t="str">
        <x:v>Вентиляцион оборуд</x:v>
      </x:c>
      <x:c r="E258" s="16" t="str">
        <x:v>ШТ</x:v>
      </x:c>
      <x:c r="F258" s="25" t="n">
        <x:v>2</x:v>
      </x:c>
      <x:c r="G258" s="17" t="n">
        <x:v>18369.710799999997</x:v>
      </x:c>
      <x:c r="H258" s="17" t="n">
        <x:f>G258*F258</x:f>
        <x:v>36739.421599999994</x:v>
      </x:c>
      <x:c r="I258" s="26" t="str">
        <x:f>HYPERLINK("https://etp-aktiv.ru/catalog/materialy/zapasnye-chasti-promyshlennogo-oborudovaniya/5000040768-W122/","Открыть позицию")</x:f>
        <x:v>Открыть позицию</x:v>
      </x:c>
    </x:row>
    <x:row r="259" ht="28" customHeight="1">
      <x:c r="A259" s="16" t="str">
        <x:v>Рубцовский ТЭК</x:v>
      </x:c>
      <x:c r="B259" s="16" t="str">
        <x:v>2000572660-W122</x:v>
      </x:c>
      <x:c r="C259" s="16" t="str">
        <x:v>ЕШЕТКА КЛАССИФИЦИРУЮЩАЯ ДРОБ ДШЗ 2/250</x:v>
      </x:c>
      <x:c r="D259" s="16" t="str">
        <x:v>ЗЧ дроб-сорт оборуд</x:v>
      </x:c>
      <x:c r="E259" s="16" t="str">
        <x:v>ШТ</x:v>
      </x:c>
      <x:c r="F259" s="25" t="n">
        <x:v>3</x:v>
      </x:c>
      <x:c r="G259" s="17" t="n">
        <x:v>3553.2622</x:v>
      </x:c>
      <x:c r="H259" s="17" t="n">
        <x:f>G259*F259</x:f>
        <x:v>10659.7866</x:v>
      </x:c>
      <x:c r="I259" s="26" t="str">
        <x:f>HYPERLINK("https://etp-aktiv.ru/catalog/materialy/zapasnye-chasti-k-drobilno-sortirovochnomu-oborudovaniyu/2000572660-W122/","Открыть позицию")</x:f>
        <x:v>Открыть позицию</x:v>
      </x:c>
    </x:row>
    <x:row r="260" ht="28" customHeight="1">
      <x:c r="A260" s="16" t="str">
        <x:v>Рубцовский ТЭК</x:v>
      </x:c>
      <x:c r="B260" s="16" t="str">
        <x:v>2000635768-W122</x:v>
      </x:c>
      <x:c r="C260" s="16" t="str">
        <x:v>ЗВЕНО С ПРИВАРЕННОЙ СКОБОЙ 25-6001</x:v>
      </x:c>
      <x:c r="D260" s="16" t="str">
        <x:v>ЗЧ конвейеров поверх</x:v>
      </x:c>
      <x:c r="E260" s="16" t="str">
        <x:v>ШТ</x:v>
      </x:c>
      <x:c r="F260" s="25" t="n">
        <x:v>260</x:v>
      </x:c>
      <x:c r="G260" s="17" t="n">
        <x:v>874.1056</x:v>
      </x:c>
      <x:c r="H260" s="17" t="n">
        <x:f>G260*F260</x:f>
        <x:v>227267.456</x:v>
      </x:c>
      <x:c r="I260" s="26" t="str">
        <x:f>HYPERLINK("https://etp-aktiv.ru/catalog/materialy/zapasnye-chasti-k-drobilno-sortirovochnomu-oborudovaniyu/2000635768-W122/","Открыть позицию")</x:f>
        <x:v>Открыть позицию</x:v>
      </x:c>
    </x:row>
    <x:row r="261" ht="28" customHeight="1">
      <x:c r="A261" s="16" t="str">
        <x:v>Рубцовский ТЭК</x:v>
      </x:c>
      <x:c r="B261" s="16" t="str">
        <x:v>2000001435-W122</x:v>
      </x:c>
      <x:c r="C261" s="16" t="str">
        <x:v>КАНАТ 13,5 ГВН 1770 ГОСТ3071-80</x:v>
      </x:c>
      <x:c r="D261" s="16" t="str">
        <x:v>Канаты стальные</x:v>
      </x:c>
      <x:c r="E261" s="16" t="str">
        <x:v>М</x:v>
      </x:c>
      <x:c r="F261" s="25" t="n">
        <x:v>20</x:v>
      </x:c>
      <x:c r="G261" s="17" t="n">
        <x:v>165.66379999999998</x:v>
      </x:c>
      <x:c r="H261" s="17" t="n">
        <x:f>G261*F261</x:f>
        <x:v>3313.276</x:v>
      </x:c>
      <x:c r="I261" s="26" t="str">
        <x:f>HYPERLINK("https://etp-aktiv.ru/catalog/materialy/metizy/2000001435-W122/","Открыть позицию")</x:f>
        <x:v>Открыть позицию</x:v>
      </x:c>
    </x:row>
    <x:row r="262" ht="28" customHeight="1">
      <x:c r="A262" s="16" t="str">
        <x:v>Рубцовский ТЭК</x:v>
      </x:c>
      <x:c r="B262" s="16" t="str">
        <x:v>2000001679-W122</x:v>
      </x:c>
      <x:c r="C262" s="16" t="str">
        <x:v>КАНАТ 15 ГВН 1670 ГОСТ2688-80</x:v>
      </x:c>
      <x:c r="D262" s="16" t="str">
        <x:v>Канаты стальные</x:v>
      </x:c>
      <x:c r="E262" s="16" t="str">
        <x:v>М</x:v>
      </x:c>
      <x:c r="F262" s="25" t="n">
        <x:v>55</x:v>
      </x:c>
      <x:c r="G262" s="17" t="n">
        <x:v>208.803</x:v>
      </x:c>
      <x:c r="H262" s="17" t="n">
        <x:f>G262*F262</x:f>
        <x:v>11484.164999999999</x:v>
      </x:c>
      <x:c r="I262" s="26" t="str">
        <x:f>HYPERLINK("https://etp-aktiv.ru/catalog/materialy/metizy/2000001679-W122/","Открыть позицию")</x:f>
        <x:v>Открыть позицию</x:v>
      </x:c>
    </x:row>
    <x:row r="263" ht="28" customHeight="1">
      <x:c r="A263" s="16" t="str">
        <x:v>Рубцовский ТЭК</x:v>
      </x:c>
      <x:c r="B263" s="16" t="str">
        <x:v>2000000306-W122</x:v>
      </x:c>
      <x:c r="C263" s="16" t="str">
        <x:v>КАНАТ 4,1 ГВН 1670 ГОСТ2688-80</x:v>
      </x:c>
      <x:c r="D263" s="16" t="str">
        <x:v>Канаты стальные</x:v>
      </x:c>
      <x:c r="E263" s="16" t="str">
        <x:v>М</x:v>
      </x:c>
      <x:c r="F263" s="25" t="n">
        <x:v>200</x:v>
      </x:c>
      <x:c r="G263" s="17" t="n">
        <x:v>7.564</x:v>
      </x:c>
      <x:c r="H263" s="17" t="n">
        <x:f>G263*F263</x:f>
        <x:v>1512.8</x:v>
      </x:c>
      <x:c r="I263" s="26" t="str">
        <x:f>HYPERLINK("https://etp-aktiv.ru/catalog/materialy/metizy/2000000306-W122/","Открыть позицию")</x:f>
        <x:v>Открыть позицию</x:v>
      </x:c>
    </x:row>
    <x:row r="264" ht="28" customHeight="1">
      <x:c r="A264" s="16" t="str">
        <x:v>Рубцовский ТЭК</x:v>
      </x:c>
      <x:c r="B264" s="16" t="str">
        <x:v>2000544445-W122</x:v>
      </x:c>
      <x:c r="C264" s="16" t="str">
        <x:v>КИСТЬ ПЛОСКАЯ 75 КП</x:v>
      </x:c>
      <x:c r="D264" s="16" t="str">
        <x:v>Инструмент и спецосн</x:v>
      </x:c>
      <x:c r="E264" s="16" t="str">
        <x:v>ШТ</x:v>
      </x:c>
      <x:c r="F264" s="25" t="n">
        <x:v>1</x:v>
      </x:c>
      <x:c r="G264" s="17" t="n">
        <x:v>34.769999999999996</x:v>
      </x:c>
      <x:c r="H264" s="17" t="n">
        <x:f>G264*F264</x:f>
        <x:v>34.769999999999996</x:v>
      </x:c>
      <x:c r="I264" s="26" t="str">
        <x:f>HYPERLINK("https://etp-aktiv.ru/catalog/materialy/instrument-i-specosnastka/2000544445-W122/","Открыть позицию")</x:f>
        <x:v>Открыть позицию</x:v>
      </x:c>
    </x:row>
    <x:row r="265" ht="28" customHeight="1">
      <x:c r="A265" s="16" t="str">
        <x:v>Рубцовский ТЭК</x:v>
      </x:c>
      <x:c r="B265" s="16" t="str">
        <x:v>2000025960-W122</x:v>
      </x:c>
      <x:c r="C265" s="16" t="str">
        <x:v>КЛЮЧ ГАЕЧНЫЙ ДВУСТ 50*55ММ</x:v>
      </x:c>
      <x:c r="D265" s="16" t="str">
        <x:v>Инструмент и спецосн</x:v>
      </x:c>
      <x:c r="E265" s="16" t="str">
        <x:v>ШТ</x:v>
      </x:c>
      <x:c r="F265" s="25" t="n">
        <x:v>4</x:v>
      </x:c>
      <x:c r="G265" s="17" t="n">
        <x:v>102.3214</x:v>
      </x:c>
      <x:c r="H265" s="17" t="n">
        <x:f>G265*F265</x:f>
        <x:v>409.2856</x:v>
      </x:c>
      <x:c r="I265" s="26" t="str">
        <x:f>HYPERLINK("https://etp-aktiv.ru/catalog/materialy/instrument-i-specosnastka/2000025960-W122/","Открыть позицию")</x:f>
        <x:v>Открыть позицию</x:v>
      </x:c>
    </x:row>
    <x:row r="266" ht="28" customHeight="1">
      <x:c r="A266" s="16" t="str">
        <x:v>Рубцовский ТЭК</x:v>
      </x:c>
      <x:c r="B266" s="16" t="str">
        <x:v>2000355316-W122</x:v>
      </x:c>
      <x:c r="C266" s="16" t="str">
        <x:v>КЛЮЧ РОЖ ДВУСТ 55*60ММ 001-5560</x:v>
      </x:c>
      <x:c r="D266" s="16" t="str">
        <x:v>Инструм/спецосн спец</x:v>
      </x:c>
      <x:c r="E266" s="16" t="str">
        <x:v>ШТ</x:v>
      </x:c>
      <x:c r="F266" s="25" t="n">
        <x:v>12</x:v>
      </x:c>
      <x:c r="G266" s="17" t="n">
        <x:v>250.7466</x:v>
      </x:c>
      <x:c r="H266" s="17" t="n">
        <x:f>G266*F266</x:f>
        <x:v>3008.9592000000002</x:v>
      </x:c>
      <x:c r="I266" s="26" t="str">
        <x:f>HYPERLINK("https://etp-aktiv.ru/catalog/materialy/instrument-i-specosnastka/2000355316-W122/","Открыть позицию")</x:f>
        <x:v>Открыть позицию</x:v>
      </x:c>
    </x:row>
    <x:row r="267" ht="28" customHeight="1">
      <x:c r="A267" s="16" t="str">
        <x:v>Рубцовский ТЭК</x:v>
      </x:c>
      <x:c r="B267" s="16" t="str">
        <x:v>2000124880-W122</x:v>
      </x:c>
      <x:c r="C267" s="16" t="str">
        <x:v>КОЛЕСО Н03.3.303.01.01.001</x:v>
      </x:c>
      <x:c r="D267" s="16" t="str">
        <x:v>ЗЧ к энергетич насос</x:v>
      </x:c>
      <x:c r="E267" s="16" t="str">
        <x:v>ШТ</x:v>
      </x:c>
      <x:c r="F267" s="25" t="n">
        <x:v>2</x:v>
      </x:c>
      <x:c r="G267" s="17" t="n">
        <x:v>2287.6708</x:v>
      </x:c>
      <x:c r="H267" s="17" t="n">
        <x:f>G267*F267</x:f>
        <x:v>4575.3416</x:v>
      </x:c>
      <x:c r="I267" s="26" t="str">
        <x:f>HYPERLINK("https://etp-aktiv.ru/catalog/materialy/zapasnye-chasti-promyshlennogo-oborudovaniya/2000124880-W122/","Открыть позицию")</x:f>
        <x:v>Открыть позицию</x:v>
      </x:c>
    </x:row>
    <x:row r="268" ht="28" customHeight="1">
      <x:c r="A268" s="16" t="str">
        <x:v>Рубцовский ТЭК</x:v>
      </x:c>
      <x:c r="B268" s="16" t="str">
        <x:v>2000142296-W122</x:v>
      </x:c>
      <x:c r="C268" s="16" t="str">
        <x:v>КОЛЕСО Н03.649.01.01.001</x:v>
      </x:c>
      <x:c r="D268" s="16" t="str">
        <x:v>ЗЧ к энергетич насос</x:v>
      </x:c>
      <x:c r="E268" s="16" t="str">
        <x:v>ШТ</x:v>
      </x:c>
      <x:c r="F268" s="25" t="n">
        <x:v>1</x:v>
      </x:c>
      <x:c r="G268" s="17" t="n">
        <x:v>96486.75</x:v>
      </x:c>
      <x:c r="H268" s="17" t="n">
        <x:f>G268*F268</x:f>
        <x:v>96486.75</x:v>
      </x:c>
      <x:c r="I268" s="26" t="str">
        <x:f>HYPERLINK("https://etp-aktiv.ru/catalog/materialy/zapasnye-chasti-promyshlennogo-oborudovaniya/2000142296-W122/","Открыть позицию")</x:f>
        <x:v>Открыть позицию</x:v>
      </x:c>
    </x:row>
    <x:row r="269" ht="28" customHeight="1">
      <x:c r="A269" s="16" t="str">
        <x:v>Рубцовский ТЭК</x:v>
      </x:c>
      <x:c r="B269" s="16" t="str">
        <x:v>2000377582-W122</x:v>
      </x:c>
      <x:c r="C269" s="16" t="str">
        <x:v>КРУГ ЗАЧИСТНОЙ 125*4*22</x:v>
      </x:c>
      <x:c r="D269" s="16" t="str">
        <x:v>Инструмент и спецосн</x:v>
      </x:c>
      <x:c r="E269" s="16" t="str">
        <x:v>ШТ</x:v>
      </x:c>
      <x:c r="F269" s="25" t="n">
        <x:v>1</x:v>
      </x:c>
      <x:c r="G269" s="17" t="n">
        <x:v>32.5374</x:v>
      </x:c>
      <x:c r="H269" s="17" t="n">
        <x:f>G269*F269</x:f>
        <x:v>32.5374</x:v>
      </x:c>
      <x:c r="I269" s="26" t="str">
        <x:f>HYPERLINK("https://etp-aktiv.ru/catalog/materialy/instrument-i-specosnastka/2000377582-W122/","Открыть позицию")</x:f>
        <x:v>Открыть позицию</x:v>
      </x:c>
    </x:row>
    <x:row r="270" ht="28" customHeight="1">
      <x:c r="A270" s="16" t="str">
        <x:v>Рубцовский ТЭК</x:v>
      </x:c>
      <x:c r="B270" s="16" t="str">
        <x:v>2000544112-W122</x:v>
      </x:c>
      <x:c r="C270" s="16" t="str">
        <x:v>КРУГ МЕТАЛЛ 41 180*2,5*22,23 A 30 S BF</x:v>
      </x:c>
      <x:c r="D270" s="16" t="str">
        <x:v>Инструмент и спецосн</x:v>
      </x:c>
      <x:c r="E270" s="16" t="str">
        <x:v>ШТ</x:v>
      </x:c>
      <x:c r="F270" s="25" t="n">
        <x:v>15</x:v>
      </x:c>
      <x:c r="G270" s="17" t="n">
        <x:v>7.332199999999999</x:v>
      </x:c>
      <x:c r="H270" s="17" t="n">
        <x:f>G270*F270</x:f>
        <x:v>109.98299999999999</x:v>
      </x:c>
      <x:c r="I270" s="26" t="str">
        <x:f>HYPERLINK("https://etp-aktiv.ru/catalog/materialy/instrument-i-specosnastka/2000544112-W122/","Открыть позицию")</x:f>
        <x:v>Открыть позицию</x:v>
      </x:c>
    </x:row>
    <x:row r="271" ht="28" customHeight="1">
      <x:c r="A271" s="16" t="str">
        <x:v>Рубцовский ТЭК</x:v>
      </x:c>
      <x:c r="B271" s="16" t="str">
        <x:v>2000160725-W122</x:v>
      </x:c>
      <x:c r="C271" s="16" t="str">
        <x:v>КРУГ ОТРЕЗНОЙ 180*2*22</x:v>
      </x:c>
      <x:c r="D271" s="16" t="str">
        <x:v>Инструмент и спецосн</x:v>
      </x:c>
      <x:c r="E271" s="16" t="str">
        <x:v>ШТ</x:v>
      </x:c>
      <x:c r="F271" s="25" t="n">
        <x:v>5</x:v>
      </x:c>
      <x:c r="G271" s="17" t="n">
        <x:v>32.94</x:v>
      </x:c>
      <x:c r="H271" s="17" t="n">
        <x:f>G271*F271</x:f>
        <x:v>164.7</x:v>
      </x:c>
      <x:c r="I271" s="26" t="str">
        <x:f>HYPERLINK("https://etp-aktiv.ru/catalog/materialy/instrument-i-specosnastka/2000160725-W122/","Открыть позицию")</x:f>
        <x:v>Открыть позицию</x:v>
      </x:c>
    </x:row>
    <x:row r="272" ht="28" customHeight="1">
      <x:c r="A272" s="16" t="str">
        <x:v>Рубцовский ТЭК</x:v>
      </x:c>
      <x:c r="B272" s="16" t="str">
        <x:v>2000165426-W122</x:v>
      </x:c>
      <x:c r="C272" s="16" t="str">
        <x:v>КРУГ ОТРЕЗНОЙ 230*6*22 13А</x:v>
      </x:c>
      <x:c r="D272" s="16" t="str">
        <x:v>Инструмент и спецосн</x:v>
      </x:c>
      <x:c r="E272" s="16" t="str">
        <x:v>ШТ</x:v>
      </x:c>
      <x:c r="F272" s="25" t="n">
        <x:v>15</x:v>
      </x:c>
      <x:c r="G272" s="17" t="n">
        <x:v>10.235800000000001</x:v>
      </x:c>
      <x:c r="H272" s="17" t="n">
        <x:f>G272*F272</x:f>
        <x:v>153.537</x:v>
      </x:c>
      <x:c r="I272" s="26" t="str">
        <x:f>HYPERLINK("https://etp-aktiv.ru/catalog/materialy/instrument-i-specosnastka/2000165426-W122/","Открыть позицию")</x:f>
        <x:v>Открыть позицию</x:v>
      </x:c>
    </x:row>
    <x:row r="273" ht="28" customHeight="1">
      <x:c r="A273" s="16" t="str">
        <x:v>Рубцовский ТЭК</x:v>
      </x:c>
      <x:c r="B273" s="16" t="str">
        <x:v>2000028672-W122</x:v>
      </x:c>
      <x:c r="C273" s="16" t="str">
        <x:v>КРУГ ОТРЕЗНОЙ 300*3*32</x:v>
      </x:c>
      <x:c r="D273" s="16" t="str">
        <x:v>Инструмент и спецосн</x:v>
      </x:c>
      <x:c r="E273" s="16" t="str">
        <x:v>ШТ</x:v>
      </x:c>
      <x:c r="F273" s="25" t="n">
        <x:v>2</x:v>
      </x:c>
      <x:c r="G273" s="17" t="n">
        <x:v>82.15480000000001</x:v>
      </x:c>
      <x:c r="H273" s="17" t="n">
        <x:f>G273*F273</x:f>
        <x:v>164.30960000000002</x:v>
      </x:c>
      <x:c r="I273" s="26" t="str">
        <x:f>HYPERLINK("https://etp-aktiv.ru/catalog/materialy/instrument-i-specosnastka/2000028672-W122/","Открыть позицию")</x:f>
        <x:v>Открыть позицию</x:v>
      </x:c>
    </x:row>
    <x:row r="274" ht="28" customHeight="1">
      <x:c r="A274" s="16" t="str">
        <x:v>Рубцовский ТЭК</x:v>
      </x:c>
      <x:c r="B274" s="16" t="str">
        <x:v>2000528950-W122</x:v>
      </x:c>
      <x:c r="C274" s="16" t="str">
        <x:v>НАСОС ВАКУУМНЫЙ ПРАВЫЙ КО-505А.02.15.100</x:v>
      </x:c>
      <x:c r="D274" s="16" t="str">
        <x:v>ЗЧ автотрансп оборуд</x:v>
      </x:c>
      <x:c r="E274" s="16" t="str">
        <x:v>ШТ</x:v>
      </x:c>
      <x:c r="F274" s="25" t="n">
        <x:v>1</x:v>
      </x:c>
      <x:c r="G274" s="17" t="n">
        <x:v>67636.8</x:v>
      </x:c>
      <x:c r="H274" s="17" t="n">
        <x:f>G274*F274</x:f>
        <x:v>67636.8</x:v>
      </x:c>
      <x:c r="I274" s="26" t="str">
        <x:f>HYPERLINK("https://etp-aktiv.ru/catalog/materialy/zapasnye-chasti-k-avtotransportnomu-oborudovaniyu/2000528950-W122/","Открыть позицию")</x:f>
        <x:v>Открыть позицию</x:v>
      </x:c>
    </x:row>
    <x:row r="275" ht="28" customHeight="1">
      <x:c r="A275" s="16" t="str">
        <x:v>Рубцовский ТЭК</x:v>
      </x:c>
      <x:c r="B275" s="16" t="str">
        <x:v>5000057812-W122</x:v>
      </x:c>
      <x:c r="C275" s="16" t="str">
        <x:v>НАСОС НА РАМЕ ЦНС(Г)А 180-212 Б/Э/ДВИГ</x:v>
      </x:c>
      <x:c r="D275" s="16" t="str">
        <x:v>НасосМногоступЭнерг</x:v>
      </x:c>
      <x:c r="E275" s="16" t="str">
        <x:v>ШТ</x:v>
      </x:c>
      <x:c r="F275" s="25" t="n">
        <x:v>1</x:v>
      </x:c>
      <x:c r="G275" s="17" t="n">
        <x:v>112029.69639999999</x:v>
      </x:c>
      <x:c r="H275" s="17" t="n">
        <x:f>G275*F275</x:f>
        <x:v>112029.69639999999</x:v>
      </x:c>
      <x:c r="I275" s="26" t="str">
        <x:f>HYPERLINK("https://etp-aktiv.ru/catalog/materialy/nasosno-kompressornoe-oborudovanie/5000057812-W122/","Открыть позицию")</x:f>
        <x:v>Открыть позицию</x:v>
      </x:c>
    </x:row>
    <x:row r="276" ht="28" customHeight="1">
      <x:c r="A276" s="16" t="str">
        <x:v>Рубцовский ТЭК</x:v>
      </x:c>
      <x:c r="B276" s="16" t="str">
        <x:v>5000095664-W122</x:v>
      </x:c>
      <x:c r="C276" s="16" t="str">
        <x:v>НАСОС ЦИРК LHN 65-190F 2,364/380/2800</x:v>
      </x:c>
      <x:c r="D276" s="16" t="str">
        <x:v>НасосыГидравлические</x:v>
      </x:c>
      <x:c r="E276" s="16" t="str">
        <x:v>ШТ</x:v>
      </x:c>
      <x:c r="F276" s="25" t="n">
        <x:v>2</x:v>
      </x:c>
      <x:c r="G276" s="17" t="n">
        <x:v>94450.875</x:v>
      </x:c>
      <x:c r="H276" s="17" t="n">
        <x:f>G276*F276</x:f>
        <x:v>188901.75</x:v>
      </x:c>
      <x:c r="I276" s="26" t="str">
        <x:f>HYPERLINK("https://etp-aktiv.ru/catalog/materialy/nasosno-kompressornoe-oborudovanie/5000095664-W122/","Открыть позицию")</x:f>
        <x:v>Открыть позицию</x:v>
      </x:c>
    </x:row>
    <x:row r="277" ht="28" customHeight="1">
      <x:c r="A277" s="16" t="str">
        <x:v>Рубцовский ТЭК</x:v>
      </x:c>
      <x:c r="B277" s="16" t="str">
        <x:v>2000004727-W122</x:v>
      </x:c>
      <x:c r="C277" s="16" t="str">
        <x:v>ПОДШИПНИК 1310</x:v>
      </x:c>
      <x:c r="D277" s="16" t="str">
        <x:v>Подшипники</x:v>
      </x:c>
      <x:c r="E277" s="16" t="str">
        <x:v>ШТ</x:v>
      </x:c>
      <x:c r="F277" s="25" t="n">
        <x:v>1</x:v>
      </x:c>
      <x:c r="G277" s="17" t="n">
        <x:v>174.4234</x:v>
      </x:c>
      <x:c r="H277" s="17" t="n">
        <x:f>G277*F277</x:f>
        <x:v>174.4234</x:v>
      </x:c>
      <x:c r="I277" s="26" t="str">
        <x:f>HYPERLINK("https://etp-aktiv.ru/catalog/materialy/podshipniki/2000004727-W122/","Открыть позицию")</x:f>
        <x:v>Открыть позицию</x:v>
      </x:c>
    </x:row>
    <x:row r="278" ht="28" customHeight="1">
      <x:c r="A278" s="16" t="str">
        <x:v>Рубцовский ТЭК</x:v>
      </x:c>
      <x:c r="B278" s="16" t="str">
        <x:v>2000006279-W122</x:v>
      </x:c>
      <x:c r="C278" s="16" t="str">
        <x:v>ПОДШИПНИК 1606</x:v>
      </x:c>
      <x:c r="D278" s="16" t="str">
        <x:v>Подшипники</x:v>
      </x:c>
      <x:c r="E278" s="16" t="str">
        <x:v>ШТ</x:v>
      </x:c>
      <x:c r="F278" s="25" t="n">
        <x:v>1</x:v>
      </x:c>
      <x:c r="G278" s="17" t="n">
        <x:v>137.25</x:v>
      </x:c>
      <x:c r="H278" s="17" t="n">
        <x:f>G278*F278</x:f>
        <x:v>137.25</x:v>
      </x:c>
      <x:c r="I278" s="26" t="str">
        <x:f>HYPERLINK("https://etp-aktiv.ru/catalog/materialy/podshipniki/2000006279-W122/","Открыть позицию")</x:f>
        <x:v>Открыть позицию</x:v>
      </x:c>
    </x:row>
    <x:row r="279" ht="28" customHeight="1">
      <x:c r="A279" s="16" t="str">
        <x:v>Рубцовский ТЭК</x:v>
      </x:c>
      <x:c r="B279" s="16" t="str">
        <x:v>2000116405-W122</x:v>
      </x:c>
      <x:c r="C279" s="16" t="str">
        <x:v>ПОДШИПНИК 1607</x:v>
      </x:c>
      <x:c r="D279" s="16" t="str">
        <x:v>Подшипники</x:v>
      </x:c>
      <x:c r="E279" s="16" t="str">
        <x:v>ШТ</x:v>
      </x:c>
      <x:c r="F279" s="25" t="n">
        <x:v>9</x:v>
      </x:c>
      <x:c r="G279" s="17" t="n">
        <x:v>212.18239999999997</x:v>
      </x:c>
      <x:c r="H279" s="17" t="n">
        <x:f>G279*F279</x:f>
        <x:v>1909.6415999999997</x:v>
      </x:c>
      <x:c r="I279" s="26" t="str">
        <x:f>HYPERLINK("https://etp-aktiv.ru/catalog/materialy/podshipniki/2000116405-W122/","Открыть позицию")</x:f>
        <x:v>Открыть позицию</x:v>
      </x:c>
    </x:row>
    <x:row r="280" ht="28" customHeight="1">
      <x:c r="A280" s="16" t="str">
        <x:v>Рубцовский ТЭК</x:v>
      </x:c>
      <x:c r="B280" s="16" t="str">
        <x:v>2000116480-W122</x:v>
      </x:c>
      <x:c r="C280" s="16" t="str">
        <x:v>ПОДШИПНИК 1610</x:v>
      </x:c>
      <x:c r="D280" s="16" t="str">
        <x:v>Подшипники</x:v>
      </x:c>
      <x:c r="E280" s="16" t="str">
        <x:v>ШТ</x:v>
      </x:c>
      <x:c r="F280" s="25" t="n">
        <x:v>2</x:v>
      </x:c>
      <x:c r="G280" s="17" t="n">
        <x:v>436.455</x:v>
      </x:c>
      <x:c r="H280" s="17" t="n">
        <x:f>G280*F280</x:f>
        <x:v>872.91</x:v>
      </x:c>
      <x:c r="I280" s="26" t="str">
        <x:f>HYPERLINK("https://etp-aktiv.ru/catalog/materialy/podshipniki/2000116480-W122/","Открыть позицию")</x:f>
        <x:v>Открыть позицию</x:v>
      </x:c>
    </x:row>
    <x:row r="281" ht="28" customHeight="1">
      <x:c r="A281" s="16" t="str">
        <x:v>Рубцовский ТЭК</x:v>
      </x:c>
      <x:c r="B281" s="16" t="str">
        <x:v>2000116404-W122</x:v>
      </x:c>
      <x:c r="C281" s="16" t="str">
        <x:v>ПОДШИПНИК 180606</x:v>
      </x:c>
      <x:c r="D281" s="16" t="str">
        <x:v>Подшипники</x:v>
      </x:c>
      <x:c r="E281" s="16" t="str">
        <x:v>ШТ</x:v>
      </x:c>
      <x:c r="F281" s="25" t="n">
        <x:v>2</x:v>
      </x:c>
      <x:c r="G281" s="17" t="n">
        <x:v>131.7844</x:v>
      </x:c>
      <x:c r="H281" s="17" t="n">
        <x:f>G281*F281</x:f>
        <x:v>263.5688</x:v>
      </x:c>
      <x:c r="I281" s="26" t="str">
        <x:f>HYPERLINK("https://etp-aktiv.ru/catalog/materialy/podshipniki/2000116404-W122/","Открыть позицию")</x:f>
        <x:v>Открыть позицию</x:v>
      </x:c>
    </x:row>
    <x:row r="282" ht="28" customHeight="1">
      <x:c r="A282" s="16" t="str">
        <x:v>Рубцовский ТЭК</x:v>
      </x:c>
      <x:c r="B282" s="16" t="str">
        <x:v>2000116495-W122</x:v>
      </x:c>
      <x:c r="C282" s="16" t="str">
        <x:v>ПОДШИПНИК 180610</x:v>
      </x:c>
      <x:c r="D282" s="16" t="str">
        <x:v>Подшипники</x:v>
      </x:c>
      <x:c r="E282" s="16" t="str">
        <x:v>ШТ</x:v>
      </x:c>
      <x:c r="F282" s="25" t="n">
        <x:v>4</x:v>
      </x:c>
      <x:c r="G282" s="17" t="n">
        <x:v>340.34340000000003</x:v>
      </x:c>
      <x:c r="H282" s="17" t="n">
        <x:f>G282*F282</x:f>
        <x:v>1361.3736000000001</x:v>
      </x:c>
      <x:c r="I282" s="26" t="str">
        <x:f>HYPERLINK("https://etp-aktiv.ru/catalog/materialy/podshipniki/2000116495-W122/","Открыть позицию")</x:f>
        <x:v>Открыть позицию</x:v>
      </x:c>
    </x:row>
    <x:row r="283" ht="28" customHeight="1">
      <x:c r="A283" s="16" t="str">
        <x:v>Рубцовский ТЭК</x:v>
      </x:c>
      <x:c r="B283" s="16" t="str">
        <x:v>2000116656-W122</x:v>
      </x:c>
      <x:c r="C283" s="16" t="str">
        <x:v>ПОДШИПНИК 2320</x:v>
      </x:c>
      <x:c r="D283" s="16" t="str">
        <x:v>Подшипники</x:v>
      </x:c>
      <x:c r="E283" s="16" t="str">
        <x:v>ШТ</x:v>
      </x:c>
      <x:c r="F283" s="25" t="n">
        <x:v>1</x:v>
      </x:c>
      <x:c r="G283" s="17" t="n">
        <x:v>1292.2484</x:v>
      </x:c>
      <x:c r="H283" s="17" t="n">
        <x:f>G283*F283</x:f>
        <x:v>1292.2484</x:v>
      </x:c>
      <x:c r="I283" s="26" t="str">
        <x:f>HYPERLINK("https://etp-aktiv.ru/catalog/materialy/podshipniki/2000116656-W122/","Открыть позицию")</x:f>
        <x:v>Открыть позицию</x:v>
      </x:c>
    </x:row>
    <x:row r="284" ht="28" customHeight="1">
      <x:c r="A284" s="16" t="str">
        <x:v>Рубцовский ТЭК</x:v>
      </x:c>
      <x:c r="B284" s="16" t="str">
        <x:v>2000116327-W122</x:v>
      </x:c>
      <x:c r="C284" s="16" t="str">
        <x:v>ПОДШИПНИК 304</x:v>
      </x:c>
      <x:c r="D284" s="16" t="str">
        <x:v>Подшипники</x:v>
      </x:c>
      <x:c r="E284" s="16" t="str">
        <x:v>ШТ</x:v>
      </x:c>
      <x:c r="F284" s="25" t="n">
        <x:v>2</x:v>
      </x:c>
      <x:c r="G284" s="17" t="n">
        <x:v>31.598</x:v>
      </x:c>
      <x:c r="H284" s="17" t="n">
        <x:f>G284*F284</x:f>
        <x:v>63.196</x:v>
      </x:c>
      <x:c r="I284" s="26" t="str">
        <x:f>HYPERLINK("https://etp-aktiv.ru/catalog/materialy/podshipniki/2000116327-W122/","Открыть позицию")</x:f>
        <x:v>Открыть позицию</x:v>
      </x:c>
    </x:row>
    <x:row r="285" ht="28" customHeight="1">
      <x:c r="A285" s="16" t="str">
        <x:v>Рубцовский ТЭК</x:v>
      </x:c>
      <x:c r="B285" s="16" t="str">
        <x:v>2000116385-W122</x:v>
      </x:c>
      <x:c r="C285" s="16" t="str">
        <x:v>ПОДШИПНИК 308</x:v>
      </x:c>
      <x:c r="D285" s="16" t="str">
        <x:v>Подшипники</x:v>
      </x:c>
      <x:c r="E285" s="16" t="str">
        <x:v>ШТ</x:v>
      </x:c>
      <x:c r="F285" s="25" t="n">
        <x:v>9</x:v>
      </x:c>
      <x:c r="G285" s="17" t="n">
        <x:v>178.96179999999998</x:v>
      </x:c>
      <x:c r="H285" s="17" t="n">
        <x:f>G285*F285</x:f>
        <x:v>1610.6562</x:v>
      </x:c>
      <x:c r="I285" s="26" t="str">
        <x:f>HYPERLINK("https://etp-aktiv.ru/catalog/materialy/podshipniki/2000116385-W122/","Открыть позицию")</x:f>
        <x:v>Открыть позицию</x:v>
      </x:c>
    </x:row>
    <x:row r="286" ht="28" customHeight="1">
      <x:c r="A286" s="16" t="str">
        <x:v>Рубцовский ТЭК</x:v>
      </x:c>
      <x:c r="B286" s="16" t="str">
        <x:v>2000332444-W122</x:v>
      </x:c>
      <x:c r="C286" s="16" t="str">
        <x:v>ПОДШИПНИК 3612H</x:v>
      </x:c>
      <x:c r="D286" s="16" t="str">
        <x:v>Подшипники</x:v>
      </x:c>
      <x:c r="E286" s="16" t="str">
        <x:v>ШТ</x:v>
      </x:c>
      <x:c r="F286" s="25" t="n">
        <x:v>10</x:v>
      </x:c>
      <x:c r="G286" s="17" t="n">
        <x:v>571.1918</x:v>
      </x:c>
      <x:c r="H286" s="17" t="n">
        <x:f>G286*F286</x:f>
        <x:v>5711.918</x:v>
      </x:c>
      <x:c r="I286" s="26" t="str">
        <x:f>HYPERLINK("https://etp-aktiv.ru/catalog/materialy/podshipniki/2000332444-W122/","Открыть позицию")</x:f>
        <x:v>Открыть позицию</x:v>
      </x:c>
    </x:row>
    <x:row r="287" ht="28" customHeight="1">
      <x:c r="A287" s="16" t="str">
        <x:v>Рубцовский ТЭК</x:v>
      </x:c>
      <x:c r="B287" s="16" t="str">
        <x:v>2000116184-W122</x:v>
      </x:c>
      <x:c r="C287" s="16" t="str">
        <x:v>ПОДШИПНИК 3616</x:v>
      </x:c>
      <x:c r="D287" s="16" t="str">
        <x:v>Подшипники</x:v>
      </x:c>
      <x:c r="E287" s="16" t="str">
        <x:v>ШТ</x:v>
      </x:c>
      <x:c r="F287" s="25" t="n">
        <x:v>10</x:v>
      </x:c>
      <x:c r="G287" s="17" t="n">
        <x:v>3040.5572</x:v>
      </x:c>
      <x:c r="H287" s="17" t="n">
        <x:f>G287*F287</x:f>
        <x:v>30405.572</x:v>
      </x:c>
      <x:c r="I287" s="26" t="str">
        <x:f>HYPERLINK("https://etp-aktiv.ru/catalog/materialy/podshipniki/2000116184-W122/","Открыть позицию")</x:f>
        <x:v>Открыть позицию</x:v>
      </x:c>
    </x:row>
    <x:row r="288" ht="28" customHeight="1">
      <x:c r="A288" s="16" t="str">
        <x:v>Рубцовский ТЭК</x:v>
      </x:c>
      <x:c r="B288" s="16" t="str">
        <x:v>2000116708-W122</x:v>
      </x:c>
      <x:c r="C288" s="16" t="str">
        <x:v>ПОДШИПНИК 3620</x:v>
      </x:c>
      <x:c r="D288" s="16" t="str">
        <x:v>Подшипники</x:v>
      </x:c>
      <x:c r="E288" s="16" t="str">
        <x:v>ШТ</x:v>
      </x:c>
      <x:c r="F288" s="25" t="n">
        <x:v>2</x:v>
      </x:c>
      <x:c r="G288" s="17" t="n">
        <x:v>3950.1404</x:v>
      </x:c>
      <x:c r="H288" s="17" t="n">
        <x:f>G288*F288</x:f>
        <x:v>7900.2808</x:v>
      </x:c>
      <x:c r="I288" s="26" t="str">
        <x:f>HYPERLINK("https://etp-aktiv.ru/catalog/materialy/podshipniki/2000116708-W122/","Открыть позицию")</x:f>
        <x:v>Открыть позицию</x:v>
      </x:c>
    </x:row>
    <x:row r="289" ht="28" customHeight="1">
      <x:c r="A289" s="16" t="str">
        <x:v>Рубцовский ТЭК</x:v>
      </x:c>
      <x:c r="B289" s="16" t="str">
        <x:v>2000115360-W122</x:v>
      </x:c>
      <x:c r="C289" s="16" t="str">
        <x:v>ПОДШИПНИК 3628</x:v>
      </x:c>
      <x:c r="D289" s="16" t="str">
        <x:v>Подшипники</x:v>
      </x:c>
      <x:c r="E289" s="16" t="str">
        <x:v>ШТ</x:v>
      </x:c>
      <x:c r="F289" s="25" t="n">
        <x:v>5</x:v>
      </x:c>
      <x:c r="G289" s="17" t="n">
        <x:v>14717.104000000001</x:v>
      </x:c>
      <x:c r="H289" s="17" t="n">
        <x:f>G289*F289</x:f>
        <x:v>73585.52</x:v>
      </x:c>
      <x:c r="I289" s="26" t="str">
        <x:f>HYPERLINK("https://etp-aktiv.ru/catalog/materialy/podshipniki/2000115360-W122/","Открыть позицию")</x:f>
        <x:v>Открыть позицию</x:v>
      </x:c>
    </x:row>
    <x:row r="290" ht="28" customHeight="1">
      <x:c r="A290" s="16" t="str">
        <x:v>Рубцовский ТЭК</x:v>
      </x:c>
      <x:c r="B290" s="16" t="str">
        <x:v>2000116517-W122</x:v>
      </x:c>
      <x:c r="C290" s="16" t="str">
        <x:v>ПОДШИПНИК 53608</x:v>
      </x:c>
      <x:c r="D290" s="16" t="str">
        <x:v>Подшипники</x:v>
      </x:c>
      <x:c r="E290" s="16" t="str">
        <x:v>ШТ</x:v>
      </x:c>
      <x:c r="F290" s="25" t="n">
        <x:v>4</x:v>
      </x:c>
      <x:c r="G290" s="17" t="n">
        <x:v>557.5278</x:v>
      </x:c>
      <x:c r="H290" s="17" t="n">
        <x:f>G290*F290</x:f>
        <x:v>2230.1112</x:v>
      </x:c>
      <x:c r="I290" s="26" t="str">
        <x:f>HYPERLINK("https://etp-aktiv.ru/catalog/materialy/podshipniki/2000116517-W122/","Открыть позицию")</x:f>
        <x:v>Открыть позицию</x:v>
      </x:c>
    </x:row>
    <x:row r="291" ht="28" customHeight="1">
      <x:c r="A291" s="16" t="str">
        <x:v>Рубцовский ТЭК</x:v>
      </x:c>
      <x:c r="B291" s="16" t="str">
        <x:v>2000072658-W122</x:v>
      </x:c>
      <x:c r="C291" s="16" t="str">
        <x:v>ПОДШИПНИК 6021</x:v>
      </x:c>
      <x:c r="D291" s="16" t="str">
        <x:v>Подшипники</x:v>
      </x:c>
      <x:c r="E291" s="16" t="str">
        <x:v>ШТ</x:v>
      </x:c>
      <x:c r="F291" s="25" t="n">
        <x:v>2</x:v>
      </x:c>
      <x:c r="G291" s="17" t="n">
        <x:v>298.8634</x:v>
      </x:c>
      <x:c r="H291" s="17" t="n">
        <x:f>G291*F291</x:f>
        <x:v>597.7268</x:v>
      </x:c>
      <x:c r="I291" s="26" t="str">
        <x:f>HYPERLINK("https://etp-aktiv.ru/catalog/materialy/podshipniki/2000072658-W122/","Открыть позицию")</x:f>
        <x:v>Открыть позицию</x:v>
      </x:c>
    </x:row>
    <x:row r="292" ht="28" customHeight="1">
      <x:c r="A292" s="16" t="str">
        <x:v>Рубцовский ТЭК</x:v>
      </x:c>
      <x:c r="B292" s="16" t="str">
        <x:v>2000116432-W122</x:v>
      </x:c>
      <x:c r="C292" s="16" t="str">
        <x:v>ПОДШИПНИК 60310</x:v>
      </x:c>
      <x:c r="D292" s="16" t="str">
        <x:v>Подшипники</x:v>
      </x:c>
      <x:c r="E292" s="16" t="str">
        <x:v>ШТ</x:v>
      </x:c>
      <x:c r="F292" s="25" t="n">
        <x:v>1</x:v>
      </x:c>
      <x:c r="G292" s="17" t="n">
        <x:v>157.0384</x:v>
      </x:c>
      <x:c r="H292" s="17" t="n">
        <x:f>G292*F292</x:f>
        <x:v>157.0384</x:v>
      </x:c>
      <x:c r="I292" s="26" t="str">
        <x:f>HYPERLINK("https://etp-aktiv.ru/catalog/materialy/podshipniki/2000116432-W122/","Открыть позицию")</x:f>
        <x:v>Открыть позицию</x:v>
      </x:c>
    </x:row>
    <x:row r="293" ht="28" customHeight="1">
      <x:c r="A293" s="16" t="str">
        <x:v>Рубцовский ТЭК</x:v>
      </x:c>
      <x:c r="B293" s="16" t="str">
        <x:v>2000002033-W122</x:v>
      </x:c>
      <x:c r="C293" s="16" t="str">
        <x:v>ПОДШИПНИК 6305</x:v>
      </x:c>
      <x:c r="D293" s="16" t="str">
        <x:v>Подшипники</x:v>
      </x:c>
      <x:c r="E293" s="16" t="str">
        <x:v>ШТ</x:v>
      </x:c>
      <x:c r="F293" s="25" t="n">
        <x:v>2</x:v>
      </x:c>
      <x:c r="G293" s="17" t="n">
        <x:v>67.71</x:v>
      </x:c>
      <x:c r="H293" s="17" t="n">
        <x:f>G293*F293</x:f>
        <x:v>135.42</x:v>
      </x:c>
      <x:c r="I293" s="26" t="str">
        <x:f>HYPERLINK("https://etp-aktiv.ru/catalog/materialy/podshipniki/2000002033-W122/","Открыть позицию")</x:f>
        <x:v>Открыть позицию</x:v>
      </x:c>
    </x:row>
    <x:row r="294" ht="28" customHeight="1">
      <x:c r="A294" s="16" t="str">
        <x:v>Рубцовский ТЭК</x:v>
      </x:c>
      <x:c r="B294" s="16" t="str">
        <x:v>2000116491-W122</x:v>
      </x:c>
      <x:c r="C294" s="16" t="str">
        <x:v>ПОДШИПНИК 7314</x:v>
      </x:c>
      <x:c r="D294" s="16" t="str">
        <x:v>Подшипники</x:v>
      </x:c>
      <x:c r="E294" s="16" t="str">
        <x:v>ШТ</x:v>
      </x:c>
      <x:c r="F294" s="25" t="n">
        <x:v>2</x:v>
      </x:c>
      <x:c r="G294" s="17" t="n">
        <x:v>539.7402000000001</x:v>
      </x:c>
      <x:c r="H294" s="17" t="n">
        <x:f>G294*F294</x:f>
        <x:v>1079.4804000000001</x:v>
      </x:c>
      <x:c r="I294" s="26" t="str">
        <x:f>HYPERLINK("https://etp-aktiv.ru/catalog/materialy/podshipniki/2000116491-W122/","Открыть позицию")</x:f>
        <x:v>Открыть позицию</x:v>
      </x:c>
    </x:row>
    <x:row r="295" ht="28" customHeight="1">
      <x:c r="A295" s="16" t="str">
        <x:v>Рубцовский ТЭК</x:v>
      </x:c>
      <x:c r="B295" s="16" t="str">
        <x:v>2000596449-W122</x:v>
      </x:c>
      <x:c r="C295" s="16" t="str">
        <x:v>ПОДШИПНИК 7314А</x:v>
      </x:c>
      <x:c r="D295" s="16" t="str">
        <x:v>Подшипники</x:v>
      </x:c>
      <x:c r="E295" s="16" t="str">
        <x:v>ШТ</x:v>
      </x:c>
      <x:c r="F295" s="25" t="n">
        <x:v>2</x:v>
      </x:c>
      <x:c r="G295" s="17" t="n">
        <x:v>600.4718</x:v>
      </x:c>
      <x:c r="H295" s="17" t="n">
        <x:f>G295*F295</x:f>
        <x:v>1200.9436</x:v>
      </x:c>
      <x:c r="I295" s="26" t="str">
        <x:f>HYPERLINK("https://etp-aktiv.ru/catalog/materialy/podshipniki/2000596449-W122/","Открыть позицию")</x:f>
        <x:v>Открыть позицию</x:v>
      </x:c>
    </x:row>
    <x:row r="296" ht="28" customHeight="1">
      <x:c r="A296" s="16" t="str">
        <x:v>Рубцовский ТЭК</x:v>
      </x:c>
      <x:c r="B296" s="16" t="str">
        <x:v>2000116376-W122</x:v>
      </x:c>
      <x:c r="C296" s="16" t="str">
        <x:v>ПОДШИПНИК 7606</x:v>
      </x:c>
      <x:c r="D296" s="16" t="str">
        <x:v>Подшипники</x:v>
      </x:c>
      <x:c r="E296" s="16" t="str">
        <x:v>ШТ</x:v>
      </x:c>
      <x:c r="F296" s="25" t="n">
        <x:v>2</x:v>
      </x:c>
      <x:c r="G296" s="17" t="n">
        <x:v>136.9938</x:v>
      </x:c>
      <x:c r="H296" s="17" t="n">
        <x:f>G296*F296</x:f>
        <x:v>273.9876</x:v>
      </x:c>
      <x:c r="I296" s="26" t="str">
        <x:f>HYPERLINK("https://etp-aktiv.ru/catalog/materialy/podshipniki/2000116376-W122/","Открыть позицию")</x:f>
        <x:v>Открыть позицию</x:v>
      </x:c>
    </x:row>
    <x:row r="297" ht="28" customHeight="1">
      <x:c r="A297" s="16" t="str">
        <x:v>Рубцовский ТЭК</x:v>
      </x:c>
      <x:c r="B297" s="16" t="str">
        <x:v>2000115331-W122</x:v>
      </x:c>
      <x:c r="C297" s="16" t="str">
        <x:v>ПОДШИПНИК 7609</x:v>
      </x:c>
      <x:c r="D297" s="16" t="str">
        <x:v>Подшипники</x:v>
      </x:c>
      <x:c r="E297" s="16" t="str">
        <x:v>ШТ</x:v>
      </x:c>
      <x:c r="F297" s="25" t="n">
        <x:v>2</x:v>
      </x:c>
      <x:c r="G297" s="17" t="n">
        <x:v>241.69420000000002</x:v>
      </x:c>
      <x:c r="H297" s="17" t="n">
        <x:f>G297*F297</x:f>
        <x:v>483.38840000000005</x:v>
      </x:c>
      <x:c r="I297" s="26" t="str">
        <x:f>HYPERLINK("https://etp-aktiv.ru/catalog/materialy/podshipniki/2000115331-W122/","Открыть позицию")</x:f>
        <x:v>Открыть позицию</x:v>
      </x:c>
    </x:row>
    <x:row r="298" ht="28" customHeight="1">
      <x:c r="A298" s="16" t="str">
        <x:v>Рубцовский ТЭК</x:v>
      </x:c>
      <x:c r="B298" s="16" t="str">
        <x:v>2000449758-W122</x:v>
      </x:c>
      <x:c r="C298" s="16" t="str">
        <x:v>ПОДШИПНИК 8216</x:v>
      </x:c>
      <x:c r="D298" s="16" t="str">
        <x:v>Подшипники</x:v>
      </x:c>
      <x:c r="E298" s="16" t="str">
        <x:v>ШТ</x:v>
      </x:c>
      <x:c r="F298" s="25" t="n">
        <x:v>1</x:v>
      </x:c>
      <x:c r="G298" s="17" t="n">
        <x:v>229.4332</x:v>
      </x:c>
      <x:c r="H298" s="17" t="n">
        <x:f>G298*F298</x:f>
        <x:v>229.4332</x:v>
      </x:c>
      <x:c r="I298" s="26" t="str">
        <x:f>HYPERLINK("https://etp-aktiv.ru/catalog/materialy/podshipniki/2000449758-W122/","Открыть позицию")</x:f>
        <x:v>Открыть позицию</x:v>
      </x:c>
    </x:row>
    <x:row r="299" ht="28" customHeight="1">
      <x:c r="A299" s="16" t="str">
        <x:v>Рубцовский ТЭК</x:v>
      </x:c>
      <x:c r="B299" s="16" t="str">
        <x:v>2000572261-W122</x:v>
      </x:c>
      <x:c r="C299" s="16" t="str">
        <x:v>ПОРОШОК КАРБИД БОРА М14 ГОСТ5744-85</x:v>
      </x:c>
      <x:c r="D299" s="16" t="str">
        <x:v>Инструмент и спецосн</x:v>
      </x:c>
      <x:c r="E299" s="16" t="str">
        <x:v>КГ</x:v>
      </x:c>
      <x:c r="F299" s="30" t="n">
        <x:v>0.22</x:v>
      </x:c>
      <x:c r="G299" s="17" t="n">
        <x:v>6345.5738</x:v>
      </x:c>
      <x:c r="H299" s="17" t="n">
        <x:f>G299*F299</x:f>
        <x:v>1396.026236</x:v>
      </x:c>
      <x:c r="I299" s="26" t="str">
        <x:f>HYPERLINK("https://etp-aktiv.ru/catalog/materialy/instrument-i-specosnastka/2000572261-W122/","Открыть позицию")</x:f>
        <x:v>Открыть позицию</x:v>
      </x:c>
    </x:row>
    <x:row r="300" ht="28" customHeight="1">
      <x:c r="A300" s="16" t="str">
        <x:v>Рубцовский ТЭК</x:v>
      </x:c>
      <x:c r="B300" s="16" t="str">
        <x:v>2000553678-W122</x:v>
      </x:c>
      <x:c r="C300" s="16" t="str">
        <x:v>РЕДУКТОР ЦИЛ РМ-400-40-12 У1</x:v>
      </x:c>
      <x:c r="D300" s="16" t="str">
        <x:v>Редукторы стандартны</x:v>
      </x:c>
      <x:c r="E300" s="16" t="str">
        <x:v>ШТ</x:v>
      </x:c>
      <x:c r="F300" s="25" t="n">
        <x:v>1</x:v>
      </x:c>
      <x:c r="G300" s="17" t="n">
        <x:v>128100</x:v>
      </x:c>
      <x:c r="H300" s="17" t="n">
        <x:f>G300*F300</x:f>
        <x:v>128100</x:v>
      </x:c>
      <x:c r="I300" s="26" t="str">
        <x:f>HYPERLINK("https://etp-aktiv.ru/catalog/materialy/reduktory/2000553678-W122/","Открыть позицию")</x:f>
        <x:v>Открыть позицию</x:v>
      </x:c>
    </x:row>
    <x:row r="301" ht="28" customHeight="1">
      <x:c r="A301" s="16" t="str">
        <x:v>Рубцовский ТЭК</x:v>
      </x:c>
      <x:c r="B301" s="16" t="str">
        <x:v>2000543699-W122</x:v>
      </x:c>
      <x:c r="C301" s="16" t="str">
        <x:v>РЕЗЕЦ ПРОХОДНОЙ УПОРНЫЙ 25*16*140 Т5К10</x:v>
      </x:c>
      <x:c r="D301" s="16" t="str">
        <x:v>Инструмент и спецосн</x:v>
      </x:c>
      <x:c r="E301" s="16" t="str">
        <x:v>ШТ</x:v>
      </x:c>
      <x:c r="F301" s="25" t="n">
        <x:v>35</x:v>
      </x:c>
      <x:c r="G301" s="17" t="n">
        <x:v>41.785</x:v>
      </x:c>
      <x:c r="H301" s="17" t="n">
        <x:f>G301*F301</x:f>
        <x:v>1462.475</x:v>
      </x:c>
      <x:c r="I301" s="26" t="str">
        <x:f>HYPERLINK("https://etp-aktiv.ru/catalog/materialy/instrument-i-specosnastka/2000543699-W122/","Открыть позицию")</x:f>
        <x:v>Открыть позицию</x:v>
      </x:c>
    </x:row>
    <x:row r="302" ht="28" customHeight="1">
      <x:c r="A302" s="16" t="str">
        <x:v>Рубцовский ТЭК</x:v>
      </x:c>
      <x:c r="B302" s="16" t="str">
        <x:v>2000552486-W122</x:v>
      </x:c>
      <x:c r="C302" s="16" t="str">
        <x:v>РОЛИК ЛЕНТОЧН КОНВЕЙЕРА 1 Г-102*190-16</x:v>
      </x:c>
      <x:c r="D302" s="16" t="str">
        <x:v>Ролики конвейерные</x:v>
      </x:c>
      <x:c r="E302" s="16" t="str">
        <x:v>ШТ</x:v>
      </x:c>
      <x:c r="F302" s="25" t="n">
        <x:v>97</x:v>
      </x:c>
      <x:c r="G302" s="17" t="n">
        <x:v>1178.947</x:v>
      </x:c>
      <x:c r="H302" s="17" t="n">
        <x:f>G302*F302</x:f>
        <x:v>114357.85899999998</x:v>
      </x:c>
      <x:c r="I302" s="26" t="str">
        <x:f>HYPERLINK("https://etp-aktiv.ru/catalog/materialy/zapasnye-chasti-k-gorno-shahtnomu-oborudovaniyu/2000552486-W122/","Открыть позицию")</x:f>
        <x:v>Открыть позицию</x:v>
      </x:c>
    </x:row>
    <x:row r="303" ht="28" customHeight="1">
      <x:c r="A303" s="16" t="str">
        <x:v>Рубцовский ТЭК</x:v>
      </x:c>
      <x:c r="B303" s="16" t="str">
        <x:v>2000552487-W122</x:v>
      </x:c>
      <x:c r="C303" s="16" t="str">
        <x:v>РОЛИК ЛЕНТОЧН КОНВЕЙЕРА 1 Г-102*550-16</x:v>
      </x:c>
      <x:c r="D303" s="16" t="str">
        <x:v>ЗЧ конвейеров поверх</x:v>
      </x:c>
      <x:c r="E303" s="16" t="str">
        <x:v>ШТ</x:v>
      </x:c>
      <x:c r="F303" s="25" t="n">
        <x:v>25</x:v>
      </x:c>
      <x:c r="G303" s="17" t="n">
        <x:v>682.9681999999999</x:v>
      </x:c>
      <x:c r="H303" s="17" t="n">
        <x:f>G303*F303</x:f>
        <x:v>17074.204999999998</x:v>
      </x:c>
      <x:c r="I303" s="26" t="str">
        <x:f>HYPERLINK("https://etp-aktiv.ru/catalog/materialy/zapasnye-chasti-k-drobilno-sortirovochnomu-oborudovaniyu/2000552487-W122/","Открыть позицию")</x:f>
        <x:v>Открыть позицию</x:v>
      </x:c>
    </x:row>
    <x:row r="304" ht="28" customHeight="1">
      <x:c r="A304" s="16" t="str">
        <x:v>Рубцовский ТЭК</x:v>
      </x:c>
      <x:c r="B304" s="16" t="str">
        <x:v>2000552522-W122</x:v>
      </x:c>
      <x:c r="C304" s="16" t="str">
        <x:v>РОЛИКООПОРА ЖГ 65-102-30 ГОСТ22645-77</x:v>
      </x:c>
      <x:c r="D304" s="16" t="str">
        <x:v>ЗЧ конвейеров поверх</x:v>
      </x:c>
      <x:c r="E304" s="16" t="str">
        <x:v>ШТ</x:v>
      </x:c>
      <x:c r="F304" s="25" t="n">
        <x:v>10</x:v>
      </x:c>
      <x:c r="G304" s="17" t="n">
        <x:v>930.2378</x:v>
      </x:c>
      <x:c r="H304" s="17" t="n">
        <x:f>G304*F304</x:f>
        <x:v>9302.378</x:v>
      </x:c>
      <x:c r="I304" s="26" t="str">
        <x:f>HYPERLINK("https://etp-aktiv.ru/catalog/materialy/zapasnye-chasti-k-drobilno-sortirovochnomu-oborudovaniyu/2000552522-W122/","Открыть позицию")</x:f>
        <x:v>Открыть позицию</x:v>
      </x:c>
    </x:row>
    <x:row r="305" ht="28" customHeight="1">
      <x:c r="A305" s="16" t="str">
        <x:v>Рубцовский ТЭК</x:v>
      </x:c>
      <x:c r="B305" s="16" t="str">
        <x:v>2000595149-W122</x:v>
      </x:c>
      <x:c r="C305" s="16" t="str">
        <x:v>СКРЕБОК 25-600002-01 КОНВЕЙЕРА</x:v>
      </x:c>
      <x:c r="D305" s="16" t="str">
        <x:v>ЗЧ конвейеров поверх</x:v>
      </x:c>
      <x:c r="E305" s="16" t="str">
        <x:v>ШТ</x:v>
      </x:c>
      <x:c r="F305" s="25" t="n">
        <x:v>173</x:v>
      </x:c>
      <x:c r="G305" s="17" t="n">
        <x:v>341.42920000000004</x:v>
      </x:c>
      <x:c r="H305" s="17" t="n">
        <x:f>G305*F305</x:f>
        <x:v>59067.2516</x:v>
      </x:c>
      <x:c r="I305" s="26" t="str">
        <x:f>HYPERLINK("https://etp-aktiv.ru/catalog/materialy/zapasnye-chasti-k-drobilno-sortirovochnomu-oborudovaniyu/2000595149-W122/","Открыть позицию")</x:f>
        <x:v>Открыть позицию</x:v>
      </x:c>
    </x:row>
    <x:row r="306" ht="28" customHeight="1">
      <x:c r="A306" s="16" t="str">
        <x:v>Рубцовский ТЭК</x:v>
      </x:c>
      <x:c r="B306" s="16" t="str">
        <x:v>2000549676-W122</x:v>
      </x:c>
      <x:c r="C306" s="16" t="str">
        <x:v>СТРОП 1СК-2-2000</x:v>
      </x:c>
      <x:c r="D306" s="16" t="str">
        <x:v>Такелажные изделия</x:v>
      </x:c>
      <x:c r="E306" s="16" t="str">
        <x:v>ШТ</x:v>
      </x:c>
      <x:c r="F306" s="25" t="n">
        <x:v>2</x:v>
      </x:c>
      <x:c r="G306" s="17" t="n">
        <x:v>230.031</x:v>
      </x:c>
      <x:c r="H306" s="17" t="n">
        <x:f>G306*F306</x:f>
        <x:v>460.062</x:v>
      </x:c>
      <x:c r="I306" s="26" t="str">
        <x:f>HYPERLINK("https://etp-aktiv.ru/catalog/materialy/zapasnye-chasti-k-gruzopodemnoj-tekhnike-oborudovaniyu-i-mekhanizmam/2000549676-W122/","Открыть позицию")</x:f>
        <x:v>Открыть позицию</x:v>
      </x:c>
    </x:row>
    <x:row r="307" ht="28" customHeight="1">
      <x:c r="A307" s="16" t="str">
        <x:v>Рубцовский ТЭК</x:v>
      </x:c>
      <x:c r="B307" s="16" t="str">
        <x:v>2000543765-W122</x:v>
      </x:c>
      <x:c r="C307" s="16" t="str">
        <x:v>ФРЕЗА ОТРЕЗНАЯ 80*22*3 1.1</x:v>
      </x:c>
      <x:c r="D307" s="16" t="str">
        <x:v>Инструмент и спецосн</x:v>
      </x:c>
      <x:c r="E307" s="16" t="str">
        <x:v>ШТ</x:v>
      </x:c>
      <x:c r="F307" s="25" t="n">
        <x:v>4</x:v>
      </x:c>
      <x:c r="G307" s="17" t="n">
        <x:v>82.05720000000001</x:v>
      </x:c>
      <x:c r="H307" s="17" t="n">
        <x:f>G307*F307</x:f>
        <x:v>328.22880000000004</x:v>
      </x:c>
      <x:c r="I307" s="26" t="str">
        <x:f>HYPERLINK("https://etp-aktiv.ru/catalog/materialy/instrument-i-specosnastka/2000543765-W122/","Открыть позицию")</x:f>
        <x:v>Открыть позицию</x:v>
      </x:c>
    </x:row>
    <x:row r="308" ht="28" customHeight="1">
      <x:c r="A308" s="16" t="str">
        <x:v>Рубцовский ТЭК</x:v>
      </x:c>
      <x:c r="B308" s="16" t="str">
        <x:v>2000009077-W122</x:v>
      </x:c>
      <x:c r="C308" s="16" t="str">
        <x:v>ЦЕПЬ ПР-50,8-22700</x:v>
      </x:c>
      <x:c r="D308" s="16" t="str">
        <x:v>Приводные цепи/комп</x:v>
      </x:c>
      <x:c r="E308" s="16" t="str">
        <x:v>М</x:v>
      </x:c>
      <x:c r="F308" s="30" t="n">
        <x:v>0.96</x:v>
      </x:c>
      <x:c r="G308" s="17" t="n">
        <x:v>1646.1825999999999</x:v>
      </x:c>
      <x:c r="H308" s="17" t="n">
        <x:f>G308*F308</x:f>
        <x:v>1580.3352959999997</x:v>
      </x:c>
      <x:c r="I308" s="26" t="str">
        <x:f>HYPERLINK("https://etp-aktiv.ru/catalog/materialy/zapasnye-chasti-promyshlennogo-oborudovaniya/2000009077-W122/","Открыть позицию")</x:f>
        <x:v>Открыть позицию</x:v>
      </x:c>
    </x:row>
    <x:row r="309" ht="28" customHeight="1">
      <x:c r="A309" s="16" t="str">
        <x:v>Рубцовский ТЭК</x:v>
      </x:c>
      <x:c r="B309" s="16" t="str">
        <x:v>2000028645-W122</x:v>
      </x:c>
      <x:c r="C309" s="16" t="str">
        <x:v>ШЛИФКРУГ 150*20*32 25А</x:v>
      </x:c>
      <x:c r="D309" s="16" t="str">
        <x:v>Инструмент и спецосн</x:v>
      </x:c>
      <x:c r="E309" s="16" t="str">
        <x:v>ШТ</x:v>
      </x:c>
      <x:c r="F309" s="25" t="n">
        <x:v>3</x:v>
      </x:c>
      <x:c r="G309" s="17" t="n">
        <x:v>24.7782</x:v>
      </x:c>
      <x:c r="H309" s="17" t="n">
        <x:f>G309*F309</x:f>
        <x:v>74.3346</x:v>
      </x:c>
      <x:c r="I309" s="26" t="str">
        <x:f>HYPERLINK("https://etp-aktiv.ru/catalog/materialy/instrument-i-specosnastka/2000028645-W122/","Открыть позицию")</x:f>
        <x:v>Открыть позицию</x:v>
      </x:c>
    </x:row>
    <x:row r="310" ht="28" customHeight="1">
      <x:c r="A310" s="16" t="str">
        <x:v>Филиал БТСК</x:v>
      </x:c>
      <x:c r="B310" s="16" t="str">
        <x:v>5000069294-W121</x:v>
      </x:c>
      <x:c r="C310" s="16" t="str">
        <x:v>АГР НАС HELIX V1606-1/16/E/S/400-50</x:v>
      </x:c>
      <x:c r="D310" s="16" t="str">
        <x:v>НасосМногоступЭнерг</x:v>
      </x:c>
      <x:c r="E310" s="16" t="str">
        <x:v>ШТ</x:v>
      </x:c>
      <x:c r="F310" s="25" t="n">
        <x:v>2</x:v>
      </x:c>
      <x:c r="G310" s="17" t="n">
        <x:v>85400</x:v>
      </x:c>
      <x:c r="H310" s="17" t="n">
        <x:f>G310*F310</x:f>
        <x:v>170800</x:v>
      </x:c>
      <x:c r="I310" s="26" t="str">
        <x:f>HYPERLINK("https://etp-aktiv.ru/catalog/materialy/nasosno-kompressornoe-oborudovanie/5000069294-W121/","Открыть позицию")</x:f>
        <x:v>Открыть позицию</x:v>
      </x:c>
    </x:row>
    <x:row r="311" ht="28" customHeight="1">
      <x:c r="A311" s="16" t="str">
        <x:v>Филиал БТСК</x:v>
      </x:c>
      <x:c r="B311" s="16" t="str">
        <x:v>5000083309-W121</x:v>
      </x:c>
      <x:c r="C311" s="16" t="str">
        <x:v>АГР НАС MHI803-1/E/3-400-50-2/IE3 1,1</x:v>
      </x:c>
      <x:c r="D311" s="16" t="str">
        <x:v>НасосыГидравлические</x:v>
      </x:c>
      <x:c r="E311" s="16" t="str">
        <x:v>ШТ</x:v>
      </x:c>
      <x:c r="F311" s="25" t="n">
        <x:v>2</x:v>
      </x:c>
      <x:c r="G311" s="17" t="n">
        <x:v>46497.25</x:v>
      </x:c>
      <x:c r="H311" s="17" t="n">
        <x:f>G311*F311</x:f>
        <x:v>92994.5</x:v>
      </x:c>
      <x:c r="I311" s="26" t="str">
        <x:f>HYPERLINK("https://etp-aktiv.ru/catalog/materialy/nasosno-kompressornoe-oborudovanie/5000083309-W121/","Открыть позицию")</x:f>
        <x:v>Открыть позицию</x:v>
      </x:c>
    </x:row>
    <x:row r="312" ht="28" customHeight="1">
      <x:c r="A312" s="16" t="str">
        <x:v>Филиал БТСК</x:v>
      </x:c>
      <x:c r="B312" s="16" t="str">
        <x:v>2000562398-W121</x:v>
      </x:c>
      <x:c r="C312" s="16" t="str">
        <x:v>КАНАЛ КРУГЛ EQUATION D150*500ММ 10052533</x:v>
      </x:c>
      <x:c r="D312" s="16" t="str">
        <x:v>ЗЧ вентиляц оборуд</x:v>
      </x:c>
      <x:c r="E312" s="16" t="str">
        <x:v>ШТ</x:v>
      </x:c>
      <x:c r="F312" s="25" t="n">
        <x:v>8</x:v>
      </x:c>
      <x:c r="G312" s="17" t="n">
        <x:v>175.558</x:v>
      </x:c>
      <x:c r="H312" s="17" t="n">
        <x:f>G312*F312</x:f>
        <x:v>1404.464</x:v>
      </x:c>
      <x:c r="I312" s="26" t="str">
        <x:f>HYPERLINK("https://etp-aktiv.ru/catalog/materialy/zapasnye-chasti-promyshlennogo-oborudovaniya/2000562398-W121/","Открыть позицию")</x:f>
        <x:v>Открыть позицию</x:v>
      </x:c>
    </x:row>
    <x:row r="313" ht="28" customHeight="1">
      <x:c r="A313" s="16" t="str">
        <x:v>Филиал БТСК</x:v>
      </x:c>
      <x:c r="B313" s="16" t="str">
        <x:v>2000539532-W121</x:v>
      </x:c>
      <x:c r="C313" s="16" t="str">
        <x:v>КЛАПАН 15Б3Р DN15 PN10 Б/ПР МАХОВ МУФТ А</x:v>
      </x:c>
      <x:c r="D313" s="16" t="str">
        <x:v>Армат из медн сплав</x:v>
      </x:c>
      <x:c r="E313" s="16" t="str">
        <x:v>ШТ</x:v>
      </x:c>
      <x:c r="F313" s="25" t="n">
        <x:v>25</x:v>
      </x:c>
      <x:c r="G313" s="17" t="n">
        <x:v>96.02619999999999</x:v>
      </x:c>
      <x:c r="H313" s="17" t="n">
        <x:f>G313*F313</x:f>
        <x:v>2400.6549999999997</x:v>
      </x:c>
      <x:c r="I313" s="26" t="str">
        <x:f>HYPERLINK("https://etp-aktiv.ru/catalog/materialy/truboprovodnaya-armatura-i-komplektuyushchie/2000539532-W121/","Открыть позицию")</x:f>
        <x:v>Открыть позицию</x:v>
      </x:c>
    </x:row>
    <x:row r="314" ht="28" customHeight="1">
      <x:c r="A314" s="16" t="str">
        <x:v>Филиал БТСК</x:v>
      </x:c>
      <x:c r="B314" s="16" t="str">
        <x:v>2000562404-W121</x:v>
      </x:c>
      <x:c r="C314" s="16" t="str">
        <x:v>КОЛЕНО 90 Д/КРУГЛ КАНАЛ N323 VENTS D150</x:v>
      </x:c>
      <x:c r="D314" s="16" t="str">
        <x:v>ЗЧ вентиляц оборуд</x:v>
      </x:c>
      <x:c r="E314" s="16" t="str">
        <x:v>ШТ</x:v>
      </x:c>
      <x:c r="F314" s="25" t="n">
        <x:v>2</x:v>
      </x:c>
      <x:c r="G314" s="17" t="n">
        <x:v>442.067</x:v>
      </x:c>
      <x:c r="H314" s="17" t="n">
        <x:f>G314*F314</x:f>
        <x:v>884.134</x:v>
      </x:c>
      <x:c r="I314" s="26" t="str">
        <x:f>HYPERLINK("https://etp-aktiv.ru/catalog/materialy/zapasnye-chasti-promyshlennogo-oborudovaniya/2000562404-W121/","Открыть позицию")</x:f>
        <x:v>Открыть позицию</x:v>
      </x:c>
    </x:row>
    <x:row r="315" ht="28" customHeight="1">
      <x:c r="A315" s="16" t="str">
        <x:v>Филиал БТСК</x:v>
      </x:c>
      <x:c r="B315" s="16" t="str">
        <x:v>2000254268-W121</x:v>
      </x:c>
      <x:c r="C315" s="16" t="str">
        <x:v>КОЛЕСО РАБОЧЕЕ Н01.31.01.003</x:v>
      </x:c>
      <x:c r="D315" s="16" t="str">
        <x:v>ЗЧ к энергетич насос</x:v>
      </x:c>
      <x:c r="E315" s="16" t="str">
        <x:v>ШТ</x:v>
      </x:c>
      <x:c r="F315" s="25" t="n">
        <x:v>4</x:v>
      </x:c>
      <x:c r="G315" s="17" t="n">
        <x:v>1106.5888</x:v>
      </x:c>
      <x:c r="H315" s="17" t="n">
        <x:f>G315*F315</x:f>
        <x:v>4426.3552</x:v>
      </x:c>
      <x:c r="I315" s="26" t="str">
        <x:f>HYPERLINK("https://etp-aktiv.ru/catalog/materialy/zapasnye-chasti-promyshlennogo-oborudovaniya/2000254268-W121/","Открыть позицию")</x:f>
        <x:v>Открыть позицию</x:v>
      </x:c>
    </x:row>
    <x:row r="316" ht="28" customHeight="1">
      <x:c r="A316" s="16" t="str">
        <x:v>Филиал БТСК</x:v>
      </x:c>
      <x:c r="B316" s="16" t="str">
        <x:v>2000643701-W121</x:v>
      </x:c>
      <x:c r="C316" s="16" t="str">
        <x:v>КОЛЕСО РАБОЧЕЕ С-569М-1-0-40 С-569М</x:v>
      </x:c>
      <x:c r="D316" s="16" t="str">
        <x:v>ЗЧ к энергетич насос</x:v>
      </x:c>
      <x:c r="E316" s="16" t="str">
        <x:v>ШТ</x:v>
      </x:c>
      <x:c r="F316" s="25" t="n">
        <x:v>1</x:v>
      </x:c>
      <x:c r="G316" s="17" t="n">
        <x:v>19215</x:v>
      </x:c>
      <x:c r="H316" s="17" t="n">
        <x:f>G316*F316</x:f>
        <x:v>19215</x:v>
      </x:c>
      <x:c r="I316" s="26" t="str">
        <x:f>HYPERLINK("https://etp-aktiv.ru/catalog/materialy/zapasnye-chasti-promyshlennogo-oborudovaniya/2000643701-W121/","Открыть позицию")</x:f>
        <x:v>Открыть позицию</x:v>
      </x:c>
    </x:row>
    <x:row r="317" ht="28" customHeight="1">
      <x:c r="A317" s="16" t="str">
        <x:v>Филиал БТСК</x:v>
      </x:c>
      <x:c r="B317" s="16" t="str">
        <x:v>2000031194-W121</x:v>
      </x:c>
      <x:c r="C317" s="16" t="str">
        <x:v>МОЛОТОК ПУТЕВОЙ 012-216</x:v>
      </x:c>
      <x:c r="D317" s="16" t="str">
        <x:v>Инструмент и спецосн</x:v>
      </x:c>
      <x:c r="E317" s="16" t="str">
        <x:v>ШТ</x:v>
      </x:c>
      <x:c r="F317" s="25" t="n">
        <x:v>1</x:v>
      </x:c>
      <x:c r="G317" s="17" t="n">
        <x:v>182.62179999999998</x:v>
      </x:c>
      <x:c r="H317" s="17" t="n">
        <x:f>G317*F317</x:f>
        <x:v>182.62179999999998</x:v>
      </x:c>
      <x:c r="I317" s="26" t="str">
        <x:f>HYPERLINK("https://etp-aktiv.ru/catalog/materialy/instrument-i-specosnastka/2000031194-W121/","Открыть позицию")</x:f>
        <x:v>Открыть позицию</x:v>
      </x:c>
    </x:row>
    <x:row r="318" ht="28" customHeight="1">
      <x:c r="A318" s="16" t="str">
        <x:v>Филиал БТСК</x:v>
      </x:c>
      <x:c r="B318" s="16" t="str">
        <x:v>2000116405-W121</x:v>
      </x:c>
      <x:c r="C318" s="16" t="str">
        <x:v>ПОДШИПНИК 1607</x:v>
      </x:c>
      <x:c r="D318" s="16" t="str">
        <x:v>Подшипники</x:v>
      </x:c>
      <x:c r="E318" s="16" t="str">
        <x:v>ШТ</x:v>
      </x:c>
      <x:c r="F318" s="25" t="n">
        <x:v>2</x:v>
      </x:c>
      <x:c r="G318" s="17" t="n">
        <x:v>298.2412</x:v>
      </x:c>
      <x:c r="H318" s="17" t="n">
        <x:f>G318*F318</x:f>
        <x:v>596.4824</x:v>
      </x:c>
      <x:c r="I318" s="26" t="str">
        <x:f>HYPERLINK("https://etp-aktiv.ru/catalog/materialy/podshipniki/2000116405-W121/","Открыть позицию")</x:f>
        <x:v>Открыть позицию</x:v>
      </x:c>
    </x:row>
    <x:row r="319" ht="28" customHeight="1">
      <x:c r="A319" s="16" t="str">
        <x:v>Филиал БТСК</x:v>
      </x:c>
      <x:c r="B319" s="16" t="str">
        <x:v>2000116439-W121</x:v>
      </x:c>
      <x:c r="C319" s="16" t="str">
        <x:v>ПОДШИПНИК 1608</x:v>
      </x:c>
      <x:c r="D319" s="16" t="str">
        <x:v>Подшипники</x:v>
      </x:c>
      <x:c r="E319" s="16" t="str">
        <x:v>ШТ</x:v>
      </x:c>
      <x:c r="F319" s="25" t="n">
        <x:v>8</x:v>
      </x:c>
      <x:c r="G319" s="17" t="n">
        <x:v>352.8484</x:v>
      </x:c>
      <x:c r="H319" s="17" t="n">
        <x:f>G319*F319</x:f>
        <x:v>2822.7872</x:v>
      </x:c>
      <x:c r="I319" s="26" t="str">
        <x:f>HYPERLINK("https://etp-aktiv.ru/catalog/materialy/podshipniki/2000116439-W121/","Открыть позицию")</x:f>
        <x:v>Открыть позицию</x:v>
      </x:c>
    </x:row>
    <x:row r="320" ht="28" customHeight="1">
      <x:c r="A320" s="16" t="str">
        <x:v>Филиал БТСК</x:v>
      </x:c>
      <x:c r="B320" s="16" t="str">
        <x:v>2000116342-W121</x:v>
      </x:c>
      <x:c r="C320" s="16" t="str">
        <x:v>ПОДШИПНИК 180207</x:v>
      </x:c>
      <x:c r="D320" s="16" t="str">
        <x:v>Подшипники</x:v>
      </x:c>
      <x:c r="E320" s="16" t="str">
        <x:v>ШТ</x:v>
      </x:c>
      <x:c r="F320" s="25" t="n">
        <x:v>8</x:v>
      </x:c>
      <x:c r="G320" s="17" t="n">
        <x:v>112.93539999999999</x:v>
      </x:c>
      <x:c r="H320" s="17" t="n">
        <x:f>G320*F320</x:f>
        <x:v>903.4831999999999</x:v>
      </x:c>
      <x:c r="I320" s="26" t="str">
        <x:f>HYPERLINK("https://etp-aktiv.ru/catalog/materialy/podshipniki/2000116342-W121/","Открыть позицию")</x:f>
        <x:v>Открыть позицию</x:v>
      </x:c>
    </x:row>
    <x:row r="321" ht="28" customHeight="1">
      <x:c r="A321" s="16" t="str">
        <x:v>Филиал БТСК</x:v>
      </x:c>
      <x:c r="B321" s="16" t="str">
        <x:v>2000116861-W121</x:v>
      </x:c>
      <x:c r="C321" s="16" t="str">
        <x:v>ПОДШИПНИК 180213</x:v>
      </x:c>
      <x:c r="D321" s="16" t="str">
        <x:v>Подшипники</x:v>
      </x:c>
      <x:c r="E321" s="16" t="str">
        <x:v>ШТ</x:v>
      </x:c>
      <x:c r="F321" s="25" t="n">
        <x:v>3</x:v>
      </x:c>
      <x:c r="G321" s="17" t="n">
        <x:v>243.0484</x:v>
      </x:c>
      <x:c r="H321" s="17" t="n">
        <x:f>G321*F321</x:f>
        <x:v>729.1451999999999</x:v>
      </x:c>
      <x:c r="I321" s="26" t="str">
        <x:f>HYPERLINK("https://etp-aktiv.ru/catalog/materialy/podshipniki/2000116861-W121/","Открыть позицию")</x:f>
        <x:v>Открыть позицию</x:v>
      </x:c>
    </x:row>
    <x:row r="322" ht="28" customHeight="1">
      <x:c r="A322" s="16" t="str">
        <x:v>Филиал БТСК</x:v>
      </x:c>
      <x:c r="B322" s="16" t="str">
        <x:v>2000116542-W121</x:v>
      </x:c>
      <x:c r="C322" s="16" t="str">
        <x:v>ПОДШИПНИК 409</x:v>
      </x:c>
      <x:c r="D322" s="16" t="str">
        <x:v>Подшипники</x:v>
      </x:c>
      <x:c r="E322" s="16" t="str">
        <x:v>ШТ</x:v>
      </x:c>
      <x:c r="F322" s="25" t="n">
        <x:v>2</x:v>
      </x:c>
      <x:c r="G322" s="17" t="n">
        <x:v>108.20179999999999</x:v>
      </x:c>
      <x:c r="H322" s="17" t="n">
        <x:f>G322*F322</x:f>
        <x:v>216.40359999999998</x:v>
      </x:c>
      <x:c r="I322" s="26" t="str">
        <x:f>HYPERLINK("https://etp-aktiv.ru/catalog/materialy/podshipniki/2000116542-W121/","Открыть позицию")</x:f>
        <x:v>Открыть позицию</x:v>
      </x:c>
    </x:row>
    <x:row r="323" ht="28" customHeight="1">
      <x:c r="A323" s="16" t="str">
        <x:v>Филиал БТСК</x:v>
      </x:c>
      <x:c r="B323" s="16" t="str">
        <x:v>2000001871-W121</x:v>
      </x:c>
      <x:c r="C323" s="16" t="str">
        <x:v>ПОДШИПНИК 6200</x:v>
      </x:c>
      <x:c r="D323" s="16" t="str">
        <x:v>Подшипники</x:v>
      </x:c>
      <x:c r="E323" s="16" t="str">
        <x:v>ШТ</x:v>
      </x:c>
      <x:c r="F323" s="25" t="n">
        <x:v>10</x:v>
      </x:c>
      <x:c r="G323" s="17" t="n">
        <x:v>26.303199999999997</x:v>
      </x:c>
      <x:c r="H323" s="17" t="n">
        <x:f>G323*F323</x:f>
        <x:v>263.032</x:v>
      </x:c>
      <x:c r="I323" s="26" t="str">
        <x:f>HYPERLINK("https://etp-aktiv.ru/catalog/materialy/podshipniki/2000001871-W121/","Открыть позицию")</x:f>
        <x:v>Открыть позицию</x:v>
      </x:c>
    </x:row>
    <x:row r="324" ht="28" customHeight="1">
      <x:c r="A324" s="16" t="str">
        <x:v>Филиал БТСК</x:v>
      </x:c>
      <x:c r="B324" s="16" t="str">
        <x:v>2000255358-W121</x:v>
      </x:c>
      <x:c r="C324" s="16" t="str">
        <x:v>ПОДШИПНИК 6213 2RS</x:v>
      </x:c>
      <x:c r="D324" s="16" t="str">
        <x:v>Подшипники</x:v>
      </x:c>
      <x:c r="E324" s="16" t="str">
        <x:v>ШТ</x:v>
      </x:c>
      <x:c r="F324" s="25" t="n">
        <x:v>3</x:v>
      </x:c>
      <x:c r="G324" s="17" t="n">
        <x:v>421.4368</x:v>
      </x:c>
      <x:c r="H324" s="17" t="n">
        <x:f>G324*F324</x:f>
        <x:v>1264.3104</x:v>
      </x:c>
      <x:c r="I324" s="26" t="str">
        <x:f>HYPERLINK("https://etp-aktiv.ru/catalog/materialy/podshipniki/2000255358-W121/","Открыть позицию")</x:f>
        <x:v>Открыть позицию</x:v>
      </x:c>
    </x:row>
    <x:row r="325" ht="28" customHeight="1">
      <x:c r="A325" s="16" t="str">
        <x:v>Филиал БТСК</x:v>
      </x:c>
      <x:c r="B325" s="16" t="str">
        <x:v>2000127391-W121</x:v>
      </x:c>
      <x:c r="C325" s="16" t="str">
        <x:v>ПОДШИПНИК 6309</x:v>
      </x:c>
      <x:c r="D325" s="16" t="str">
        <x:v>Подшипники</x:v>
      </x:c>
      <x:c r="E325" s="16" t="str">
        <x:v>ШТ</x:v>
      </x:c>
      <x:c r="F325" s="25" t="n">
        <x:v>6</x:v>
      </x:c>
      <x:c r="G325" s="17" t="n">
        <x:v>47.1286</x:v>
      </x:c>
      <x:c r="H325" s="17" t="n">
        <x:f>G325*F325</x:f>
        <x:v>282.7716</x:v>
      </x:c>
      <x:c r="I325" s="26" t="str">
        <x:f>HYPERLINK("https://etp-aktiv.ru/catalog/materialy/podshipniki/2000127391-W121/","Открыть позицию")</x:f>
        <x:v>Открыть позицию</x:v>
      </x:c>
    </x:row>
    <x:row r="326" ht="28" customHeight="1">
      <x:c r="A326" s="16" t="str">
        <x:v>Филиал БТСК</x:v>
      </x:c>
      <x:c r="B326" s="16" t="str">
        <x:v>2000006321-W121</x:v>
      </x:c>
      <x:c r="C326" s="16" t="str">
        <x:v>ПОДШИПНИК 6310</x:v>
      </x:c>
      <x:c r="D326" s="16" t="str">
        <x:v>Подшипники</x:v>
      </x:c>
      <x:c r="E326" s="16" t="str">
        <x:v>ШТ</x:v>
      </x:c>
      <x:c r="F326" s="25" t="n">
        <x:v>8</x:v>
      </x:c>
      <x:c r="G326" s="17" t="n">
        <x:v>195.5782</x:v>
      </x:c>
      <x:c r="H326" s="17" t="n">
        <x:f>G326*F326</x:f>
        <x:v>1564.6256</x:v>
      </x:c>
      <x:c r="I326" s="26" t="str">
        <x:f>HYPERLINK("https://etp-aktiv.ru/catalog/materialy/podshipniki/2000006321-W121/","Открыть позицию")</x:f>
        <x:v>Открыть позицию</x:v>
      </x:c>
    </x:row>
    <x:row r="327" ht="28" customHeight="1">
      <x:c r="A327" s="16" t="str">
        <x:v>Филиал БТСК</x:v>
      </x:c>
      <x:c r="B327" s="16" t="str">
        <x:v>2000527686-W121</x:v>
      </x:c>
      <x:c r="C327" s="16" t="str">
        <x:v>ПОДШИПНИК ШАРИКОВЫЙ 6203-2RSH</x:v>
      </x:c>
      <x:c r="D327" s="16" t="str">
        <x:v>Подшипники</x:v>
      </x:c>
      <x:c r="E327" s="16" t="str">
        <x:v>ШТ</x:v>
      </x:c>
      <x:c r="F327" s="25" t="n">
        <x:v>6</x:v>
      </x:c>
      <x:c r="G327" s="17" t="n">
        <x:v>18.1048</x:v>
      </x:c>
      <x:c r="H327" s="17" t="n">
        <x:f>G327*F327</x:f>
        <x:v>108.62880000000001</x:v>
      </x:c>
      <x:c r="I327" s="26" t="str">
        <x:f>HYPERLINK("https://etp-aktiv.ru/catalog/materialy/podshipniki/2000527686-W121/","Открыть позицию")</x:f>
        <x:v>Открыть позицию</x:v>
      </x:c>
    </x:row>
    <x:row r="328" ht="28" customHeight="1">
      <x:c r="A328" s="16" t="str">
        <x:v>Филиал БТСК</x:v>
      </x:c>
      <x:c r="B328" s="16" t="str">
        <x:v>2000534561-W121</x:v>
      </x:c>
      <x:c r="C328" s="16" t="str">
        <x:v>УПЛОТНЕНИЕ 251/Д71.070.774КК 1КСВ-125-14</x:v>
      </x:c>
      <x:c r="D328" s="16" t="str">
        <x:v>ЗЧ к энергетич насос</x:v>
      </x:c>
      <x:c r="E328" s="16" t="str">
        <x:v>ШТ</x:v>
      </x:c>
      <x:c r="F328" s="25" t="n">
        <x:v>1</x:v>
      </x:c>
      <x:c r="G328" s="17" t="n">
        <x:v>294.5446</x:v>
      </x:c>
      <x:c r="H328" s="17" t="n">
        <x:f>G328*F328</x:f>
        <x:v>294.5446</x:v>
      </x:c>
      <x:c r="I328" s="26" t="str">
        <x:f>HYPERLINK("https://etp-aktiv.ru/catalog/materialy/zapasnye-chasti-promyshlennogo-oborudovaniya/2000534561-W121/","Открыть позицию")</x:f>
        <x:v>Открыть позицию</x:v>
      </x:c>
    </x:row>
    <x:row r="329" ht="28" customHeight="1">
      <x:c r="A329" s="16" t="str">
        <x:v>Филиал БТСК</x:v>
      </x:c>
      <x:c r="B329" s="16" t="str">
        <x:v>2000714214-W121</x:v>
      </x:c>
      <x:c r="C329" s="16" t="str">
        <x:v>УПЛОТНЕНИЕ ТОРЦЕВОЕ АР-12 11516101201</x:v>
      </x:c>
      <x:c r="D329" s="16" t="str">
        <x:v>ЗЧ к химичес насосам</x:v>
      </x:c>
      <x:c r="E329" s="16" t="str">
        <x:v>ШТ</x:v>
      </x:c>
      <x:c r="F329" s="25" t="n">
        <x:v>2</x:v>
      </x:c>
      <x:c r="G329" s="17" t="n">
        <x:v>772.0282</x:v>
      </x:c>
      <x:c r="H329" s="17" t="n">
        <x:f>G329*F329</x:f>
        <x:v>1544.0564</x:v>
      </x:c>
      <x:c r="I329" s="26" t="str">
        <x:f>HYPERLINK("https://etp-aktiv.ru/catalog/materialy/zapasnye-chasti-promyshlennogo-oborudovaniya/2000714214-W121/","Открыть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ddc7e6141c424aca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Изоляция, РТИ, огнеупорные и кислотоупорные материалы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2000019540-W111</x:v>
      </x:c>
      <x:c r="C5" s="16" t="str">
        <x:v>АСБОКАРТОН КАОН 6ММ</x:v>
      </x:c>
      <x:c r="D5" s="16" t="str">
        <x:v>Асбо-технические изд</x:v>
      </x:c>
      <x:c r="E5" s="16" t="str">
        <x:v>КГ</x:v>
      </x:c>
      <x:c r="F5" s="24" t="n">
        <x:v>22.8</x:v>
      </x:c>
      <x:c r="G5" s="17" t="n">
        <x:v>48.4096</x:v>
      </x:c>
      <x:c r="H5" s="17" t="n">
        <x:f>G5*F5</x:f>
        <x:v>1103.7388799999999</x:v>
      </x:c>
      <x:c r="I5" s="26" t="str">
        <x:f>HYPERLINK("https://etp-aktiv.ru/catalog/materialy/asbo-tekhnicheskie-izdeliya/2000019540-W111/","Открыть позицию")</x:f>
        <x:v>Открыть позицию</x:v>
      </x:c>
    </x:row>
    <x:row r="6" ht="28" customHeight="1">
      <x:c r="A6" s="16" t="str">
        <x:v>Барнаульская ТЭЦ-2</x:v>
      </x:c>
      <x:c r="B6" s="16" t="str">
        <x:v>2000625347-W111</x:v>
      </x:c>
      <x:c r="C6" s="16" t="str">
        <x:v>ВТУЛКА МУВП К3 18*35*36 2500-37600152106</x:v>
      </x:c>
      <x:c r="D6" s="16" t="str">
        <x:v>Проч резино-тех изд</x:v>
      </x:c>
      <x:c r="E6" s="16" t="str">
        <x:v>ШТ</x:v>
      </x:c>
      <x:c r="F6" s="25" t="n">
        <x:v>64</x:v>
      </x:c>
      <x:c r="G6" s="17" t="n">
        <x:v>5.0874</x:v>
      </x:c>
      <x:c r="H6" s="17" t="n">
        <x:f>G6*F6</x:f>
        <x:v>325.5936</x:v>
      </x:c>
      <x:c r="I6" s="26" t="str">
        <x:f>HYPERLINK("https://etp-aktiv.ru/catalog/materialy/rezino-tekhnicheskie-izdeliya/2000625347-W111/","Открыть позицию")</x:f>
        <x:v>Открыть позицию</x:v>
      </x:c>
    </x:row>
    <x:row r="7" ht="28" customHeight="1">
      <x:c r="A7" s="16" t="str">
        <x:v>Барнаульская ТЭЦ-2</x:v>
      </x:c>
      <x:c r="B7" s="16" t="str">
        <x:v>2000592873-W111</x:v>
      </x:c>
      <x:c r="C7" s="16" t="str">
        <x:v>ВТУЛКА Ф-4 440*360*110 ТУ6-05-810-88</x:v>
      </x:c>
      <x:c r="D7" s="16" t="str">
        <x:v>Э/изоляцион мат-лы</x:v>
      </x:c>
      <x:c r="E7" s="16" t="str">
        <x:v>ШТ</x:v>
      </x:c>
      <x:c r="F7" s="25" t="n">
        <x:v>1</x:v>
      </x:c>
      <x:c r="G7" s="17" t="n">
        <x:v>11457.9228</x:v>
      </x:c>
      <x:c r="H7" s="17" t="n">
        <x:f>G7*F7</x:f>
        <x:v>11457.9228</x:v>
      </x:c>
      <x:c r="I7" s="26" t="str">
        <x:f>HYPERLINK("https://etp-aktiv.ru/catalog/materialy/ehlektroizolyacionnye-materialy/2000592873-W111/","Открыть позицию")</x:f>
        <x:v>Открыть позицию</x:v>
      </x:c>
    </x:row>
    <x:row r="8" ht="28" customHeight="1">
      <x:c r="A8" s="16" t="str">
        <x:v>Барнаульская ТЭЦ-2</x:v>
      </x:c>
      <x:c r="B8" s="16" t="str">
        <x:v>2000165421-W111</x:v>
      </x:c>
      <x:c r="C8" s="16" t="str">
        <x:v>ИЗОФЛЕКС 191 0,13ММ</x:v>
      </x:c>
      <x:c r="D8" s="16" t="str">
        <x:v>Э/изоляцион мат-лы</x:v>
      </x:c>
      <x:c r="E8" s="16" t="str">
        <x:v>КГ</x:v>
      </x:c>
      <x:c r="F8" s="24" t="n">
        <x:v>41.2</x:v>
      </x:c>
      <x:c r="G8" s="17" t="n">
        <x:v>741.15</x:v>
      </x:c>
      <x:c r="H8" s="17" t="n">
        <x:f>G8*F8</x:f>
        <x:v>30535.38</x:v>
      </x:c>
      <x:c r="I8" s="26" t="str">
        <x:f>HYPERLINK("https://etp-aktiv.ru/catalog/materialy/ehlektroizolyacionnye-materialy/2000165421-W111/","Открыть позицию")</x:f>
        <x:v>Открыть позицию</x:v>
      </x:c>
    </x:row>
    <x:row r="9" ht="28" customHeight="1">
      <x:c r="A9" s="16" t="str">
        <x:v>Барнаульская ТЭЦ-2</x:v>
      </x:c>
      <x:c r="B9" s="16" t="str">
        <x:v>2000024556-W111</x:v>
      </x:c>
      <x:c r="C9" s="16" t="str">
        <x:v>ИЗОФЛЕКС Т-191 0,17ММ</x:v>
      </x:c>
      <x:c r="D9" s="16" t="str">
        <x:v>Э/изоляцион мат-лы</x:v>
      </x:c>
      <x:c r="E9" s="16" t="str">
        <x:v>КГ</x:v>
      </x:c>
      <x:c r="F9" s="24" t="n">
        <x:v>28.05</x:v>
      </x:c>
      <x:c r="G9" s="17" t="n">
        <x:v>419.985</x:v>
      </x:c>
      <x:c r="H9" s="17" t="n">
        <x:f>G9*F9</x:f>
        <x:v>11780.57925</x:v>
      </x:c>
      <x:c r="I9" s="26" t="str">
        <x:f>HYPERLINK("https://etp-aktiv.ru/catalog/materialy/ehlektroizolyacionnye-materialy/2000024556-W111/","Открыть позицию")</x:f>
        <x:v>Открыть позицию</x:v>
      </x:c>
    </x:row>
    <x:row r="10" ht="28" customHeight="1">
      <x:c r="A10" s="16" t="str">
        <x:v>Барнаульская ТЭЦ-2</x:v>
      </x:c>
      <x:c r="B10" s="16" t="str">
        <x:v>2000538924-W111</x:v>
      </x:c>
      <x:c r="C10" s="16" t="str">
        <x:v>КМП КОЛЕЦ 2ШТ К-04П КГФ-Г 300*270*15</x:v>
      </x:c>
      <x:c r="D10" s="16" t="str">
        <x:v>Асбо-технические изд</x:v>
      </x:c>
      <x:c r="E10" s="16" t="str">
        <x:v>ШТ</x:v>
      </x:c>
      <x:c r="F10" s="25" t="n">
        <x:v>4</x:v>
      </x:c>
      <x:c r="G10" s="17" t="n">
        <x:v>789.1936</x:v>
      </x:c>
      <x:c r="H10" s="17" t="n">
        <x:f>G10*F10</x:f>
        <x:v>3156.7744</x:v>
      </x:c>
      <x:c r="I10" s="26" t="str">
        <x:f>HYPERLINK("https://etp-aktiv.ru/catalog/materialy/asbo-tekhnicheskie-izdeliya/2000538924-W111/","Открыть позицию")</x:f>
        <x:v>Открыть позицию</x:v>
      </x:c>
    </x:row>
    <x:row r="11" ht="28" customHeight="1">
      <x:c r="A11" s="16" t="str">
        <x:v>Барнаульская ТЭЦ-2</x:v>
      </x:c>
      <x:c r="B11" s="16" t="str">
        <x:v>2000538970-W111</x:v>
      </x:c>
      <x:c r="C11" s="16" t="str">
        <x:v>КМП КОЛЕЦ 2ШТ КШ-03-2*4-104*72*96-ГФ-2</x:v>
      </x:c>
      <x:c r="D11" s="16" t="str">
        <x:v>Асбо-технические изд</x:v>
      </x:c>
      <x:c r="E11" s="16" t="str">
        <x:v>КМП</x:v>
      </x:c>
      <x:c r="F11" s="25" t="n">
        <x:v>1</x:v>
      </x:c>
      <x:c r="G11" s="17" t="n">
        <x:v>805.5172</x:v>
      </x:c>
      <x:c r="H11" s="17" t="n">
        <x:f>G11*F11</x:f>
        <x:v>805.5172</x:v>
      </x:c>
      <x:c r="I11" s="26" t="str">
        <x:f>HYPERLINK("https://etp-aktiv.ru/catalog/materialy/asbo-tekhnicheskie-izdeliya/2000538970-W111/","Открыть позицию")</x:f>
        <x:v>Открыть позицию</x:v>
      </x:c>
    </x:row>
    <x:row r="12" ht="28" customHeight="1">
      <x:c r="A12" s="16" t="str">
        <x:v>Барнаульская ТЭЦ-2</x:v>
      </x:c>
      <x:c r="B12" s="16" t="str">
        <x:v>2000627400-W111</x:v>
      </x:c>
      <x:c r="C12" s="16" t="str">
        <x:v>КОЛЬЦО 00-В-Б ГФ-2 250*210*20</x:v>
      </x:c>
      <x:c r="D12" s="16" t="str">
        <x:v>Асбо-технические изд</x:v>
      </x:c>
      <x:c r="E12" s="16" t="str">
        <x:v>ШТ</x:v>
      </x:c>
      <x:c r="F12" s="25" t="n">
        <x:v>11</x:v>
      </x:c>
      <x:c r="G12" s="17" t="n">
        <x:v>466.6988</x:v>
      </x:c>
      <x:c r="H12" s="17" t="n">
        <x:f>G12*F12</x:f>
        <x:v>5133.6868</x:v>
      </x:c>
      <x:c r="I12" s="26" t="str">
        <x:f>HYPERLINK("https://etp-aktiv.ru/catalog/materialy/asbo-tekhnicheskie-izdeliya/2000627400-W111/","Открыть позицию")</x:f>
        <x:v>Открыть позицию</x:v>
      </x:c>
    </x:row>
    <x:row r="13" ht="28" customHeight="1">
      <x:c r="A13" s="16" t="str">
        <x:v>Барнаульская ТЭЦ-2</x:v>
      </x:c>
      <x:c r="B13" s="16" t="str">
        <x:v>2000538938-W111</x:v>
      </x:c>
      <x:c r="C13" s="16" t="str">
        <x:v>КОЛЬЦО 00-В-Б ГФ-2 78*52*13</x:v>
      </x:c>
      <x:c r="D13" s="16" t="str">
        <x:v>Асбо-технические изд</x:v>
      </x:c>
      <x:c r="E13" s="16" t="str">
        <x:v>ШТ</x:v>
      </x:c>
      <x:c r="F13" s="25" t="n">
        <x:v>5</x:v>
      </x:c>
      <x:c r="G13" s="17" t="n">
        <x:v>49.861399999999996</x:v>
      </x:c>
      <x:c r="H13" s="17" t="n">
        <x:f>G13*F13</x:f>
        <x:v>249.307</x:v>
      </x:c>
      <x:c r="I13" s="26" t="str">
        <x:f>HYPERLINK("https://etp-aktiv.ru/catalog/materialy/asbo-tekhnicheskie-izdeliya/2000538938-W111/","Открыть позицию")</x:f>
        <x:v>Открыть позицию</x:v>
      </x:c>
    </x:row>
    <x:row r="14" ht="28" customHeight="1">
      <x:c r="A14" s="16" t="str">
        <x:v>Барнаульская ТЭЦ-2</x:v>
      </x:c>
      <x:c r="B14" s="16" t="str">
        <x:v>2000538934-W111</x:v>
      </x:c>
      <x:c r="C14" s="16" t="str">
        <x:v>КОЛЬЦО 00-В-Б КГФ-Г 52*36*10</x:v>
      </x:c>
      <x:c r="D14" s="16" t="str">
        <x:v>Асбо-технические изд</x:v>
      </x:c>
      <x:c r="E14" s="16" t="str">
        <x:v>ШТ</x:v>
      </x:c>
      <x:c r="F14" s="25" t="n">
        <x:v>5</x:v>
      </x:c>
      <x:c r="G14" s="17" t="n">
        <x:v>24.3756</x:v>
      </x:c>
      <x:c r="H14" s="17" t="n">
        <x:f>G14*F14</x:f>
        <x:v>121.87799999999999</x:v>
      </x:c>
      <x:c r="I14" s="26" t="str">
        <x:f>HYPERLINK("https://etp-aktiv.ru/catalog/materialy/asbo-tekhnicheskie-izdeliya/2000538934-W111/","Открыть позицию")</x:f>
        <x:v>Открыть позицию</x:v>
      </x:c>
    </x:row>
    <x:row r="15" ht="28" customHeight="1">
      <x:c r="A15" s="16" t="str">
        <x:v>Барнаульская ТЭЦ-2</x:v>
      </x:c>
      <x:c r="B15" s="16" t="str">
        <x:v>2000572295-W111</x:v>
      </x:c>
      <x:c r="C15" s="16" t="str">
        <x:v>КОЛЬЦО 115-125-58-2-6 ГОСТ18829-2017</x:v>
      </x:c>
      <x:c r="D15" s="16" t="str">
        <x:v>Проч резино-тех изд</x:v>
      </x:c>
      <x:c r="E15" s="16" t="str">
        <x:v>ШТ</x:v>
      </x:c>
      <x:c r="F15" s="25" t="n">
        <x:v>24</x:v>
      </x:c>
      <x:c r="G15" s="17" t="n">
        <x:v>12.748999999999999</x:v>
      </x:c>
      <x:c r="H15" s="17" t="n">
        <x:f>G15*F15</x:f>
        <x:v>305.976</x:v>
      </x:c>
      <x:c r="I15" s="26" t="str">
        <x:f>HYPERLINK("https://etp-aktiv.ru/catalog/materialy/rezino-tekhnicheskie-izdeliya/2000572295-W111/","Открыть позицию")</x:f>
        <x:v>Открыть позицию</x:v>
      </x:c>
    </x:row>
    <x:row r="16" ht="28" customHeight="1">
      <x:c r="A16" s="16" t="str">
        <x:v>Барнаульская ТЭЦ-2</x:v>
      </x:c>
      <x:c r="B16" s="16" t="str">
        <x:v>2000572296-W111</x:v>
      </x:c>
      <x:c r="C16" s="16" t="str">
        <x:v>КОЛЬЦО 125-135-58-2-6 ГОСТ18829-2017</x:v>
      </x:c>
      <x:c r="D16" s="16" t="str">
        <x:v>Проч резино-тех изд</x:v>
      </x:c>
      <x:c r="E16" s="16" t="str">
        <x:v>ШТ</x:v>
      </x:c>
      <x:c r="F16" s="25" t="n">
        <x:v>20</x:v>
      </x:c>
      <x:c r="G16" s="17" t="n">
        <x:v>18.2146</x:v>
      </x:c>
      <x:c r="H16" s="17" t="n">
        <x:f>G16*F16</x:f>
        <x:v>364.29200000000003</x:v>
      </x:c>
      <x:c r="I16" s="26" t="str">
        <x:f>HYPERLINK("https://etp-aktiv.ru/catalog/materialy/rezino-tekhnicheskie-izdeliya/2000572296-W111/","Открыть позицию")</x:f>
        <x:v>Открыть позицию</x:v>
      </x:c>
    </x:row>
    <x:row r="17" ht="28" customHeight="1">
      <x:c r="A17" s="16" t="str">
        <x:v>Барнаульская ТЭЦ-2</x:v>
      </x:c>
      <x:c r="B17" s="16" t="str">
        <x:v>2000572297-W111</x:v>
      </x:c>
      <x:c r="C17" s="16" t="str">
        <x:v>КОЛЬЦО 160-170-58-2-6 ГОСТ18829-2017</x:v>
      </x:c>
      <x:c r="D17" s="16" t="str">
        <x:v>Проч резино-тех изд</x:v>
      </x:c>
      <x:c r="E17" s="16" t="str">
        <x:v>ШТ</x:v>
      </x:c>
      <x:c r="F17" s="25" t="n">
        <x:v>24</x:v>
      </x:c>
      <x:c r="G17" s="17" t="n">
        <x:v>38.2592</x:v>
      </x:c>
      <x:c r="H17" s="17" t="n">
        <x:f>G17*F17</x:f>
        <x:v>918.2208</x:v>
      </x:c>
      <x:c r="I17" s="26" t="str">
        <x:f>HYPERLINK("https://etp-aktiv.ru/catalog/materialy/rezino-tekhnicheskie-izdeliya/2000572297-W111/","Открыть позицию")</x:f>
        <x:v>Открыть позицию</x:v>
      </x:c>
    </x:row>
    <x:row r="18" ht="28" customHeight="1">
      <x:c r="A18" s="16" t="str">
        <x:v>Барнаульская ТЭЦ-2</x:v>
      </x:c>
      <x:c r="B18" s="16" t="str">
        <x:v>2000572299-W111</x:v>
      </x:c>
      <x:c r="C18" s="16" t="str">
        <x:v>КОЛЬЦО 190-200-58-2-6 ГОСТ18829-2017</x:v>
      </x:c>
      <x:c r="D18" s="16" t="str">
        <x:v>Проч резино-тех изд</x:v>
      </x:c>
      <x:c r="E18" s="16" t="str">
        <x:v>ШТ</x:v>
      </x:c>
      <x:c r="F18" s="25" t="n">
        <x:v>12</x:v>
      </x:c>
      <x:c r="G18" s="17" t="n">
        <x:v>28.316200000000002</x:v>
      </x:c>
      <x:c r="H18" s="17" t="n">
        <x:f>G18*F18</x:f>
        <x:v>339.7944</x:v>
      </x:c>
      <x:c r="I18" s="26" t="str">
        <x:f>HYPERLINK("https://etp-aktiv.ru/catalog/materialy/rezino-tekhnicheskie-izdeliya/2000572299-W111/","Открыть позицию")</x:f>
        <x:v>Открыть позицию</x:v>
      </x:c>
    </x:row>
    <x:row r="19" ht="28" customHeight="1">
      <x:c r="A19" s="16" t="str">
        <x:v>Барнаульская ТЭЦ-2</x:v>
      </x:c>
      <x:c r="B19" s="16" t="str">
        <x:v>2000572301-W111</x:v>
      </x:c>
      <x:c r="C19" s="16" t="str">
        <x:v>КОЛЬЦО 280-290-58-2-6 ГОСТ18829-2017</x:v>
      </x:c>
      <x:c r="D19" s="16" t="str">
        <x:v>Проч резино-тех изд</x:v>
      </x:c>
      <x:c r="E19" s="16" t="str">
        <x:v>ШТ</x:v>
      </x:c>
      <x:c r="F19" s="25" t="n">
        <x:v>12</x:v>
      </x:c>
      <x:c r="G19" s="17" t="n">
        <x:v>404.857</x:v>
      </x:c>
      <x:c r="H19" s="17" t="n">
        <x:f>G19*F19</x:f>
        <x:v>4858.284000000001</x:v>
      </x:c>
      <x:c r="I19" s="26" t="str">
        <x:f>HYPERLINK("https://etp-aktiv.ru/catalog/materialy/rezino-tekhnicheskie-izdeliya/2000572301-W111/","Открыть позицию")</x:f>
        <x:v>Открыть позицию</x:v>
      </x:c>
    </x:row>
    <x:row r="20" ht="28" customHeight="1">
      <x:c r="A20" s="16" t="str">
        <x:v>Барнаульская ТЭЦ-2</x:v>
      </x:c>
      <x:c r="B20" s="16" t="str">
        <x:v>2000539008-W111</x:v>
      </x:c>
      <x:c r="C20" s="16" t="str">
        <x:v>КОЛЬЦО КГФ-Г 200*180*15</x:v>
      </x:c>
      <x:c r="D20" s="16" t="str">
        <x:v>Асбо-технические изд</x:v>
      </x:c>
      <x:c r="E20" s="16" t="str">
        <x:v>ШТ</x:v>
      </x:c>
      <x:c r="F20" s="25" t="n">
        <x:v>18</x:v>
      </x:c>
      <x:c r="G20" s="17" t="n">
        <x:v>152.988</x:v>
      </x:c>
      <x:c r="H20" s="17" t="n">
        <x:f>G20*F20</x:f>
        <x:v>2753.784</x:v>
      </x:c>
      <x:c r="I20" s="26" t="str">
        <x:f>HYPERLINK("https://etp-aktiv.ru/catalog/materialy/asbo-tekhnicheskie-izdeliya/2000539008-W111/","Открыть позицию")</x:f>
        <x:v>Открыть позицию</x:v>
      </x:c>
    </x:row>
    <x:row r="21" ht="28" customHeight="1">
      <x:c r="A21" s="16" t="str">
        <x:v>Барнаульская ТЭЦ-2</x:v>
      </x:c>
      <x:c r="B21" s="16" t="str">
        <x:v>2000539010-W111</x:v>
      </x:c>
      <x:c r="C21" s="16" t="str">
        <x:v>КОЛЬЦО КГФ-Г 30*18*6</x:v>
      </x:c>
      <x:c r="D21" s="16" t="str">
        <x:v>Асбо-технические изд</x:v>
      </x:c>
      <x:c r="E21" s="16" t="str">
        <x:v>ШТ</x:v>
      </x:c>
      <x:c r="F21" s="25" t="n">
        <x:v>47</x:v>
      </x:c>
      <x:c r="G21" s="17" t="n">
        <x:v>10.809199999999999</x:v>
      </x:c>
      <x:c r="H21" s="17" t="n">
        <x:f>G21*F21</x:f>
        <x:v>508.03239999999994</x:v>
      </x:c>
      <x:c r="I21" s="26" t="str">
        <x:f>HYPERLINK("https://etp-aktiv.ru/catalog/materialy/asbo-tekhnicheskie-izdeliya/2000539010-W111/","Открыть позицию")</x:f>
        <x:v>Открыть позицию</x:v>
      </x:c>
    </x:row>
    <x:row r="22" ht="28" customHeight="1">
      <x:c r="A22" s="16" t="str">
        <x:v>Барнаульская ТЭЦ-2</x:v>
      </x:c>
      <x:c r="B22" s="16" t="str">
        <x:v>2000539011-W111</x:v>
      </x:c>
      <x:c r="C22" s="16" t="str">
        <x:v>КОЛЬЦО КГФ-Г 350*300*25</x:v>
      </x:c>
      <x:c r="D22" s="16" t="str">
        <x:v>Асбо-технические изд</x:v>
      </x:c>
      <x:c r="E22" s="16" t="str">
        <x:v>ШТ</x:v>
      </x:c>
      <x:c r="F22" s="25" t="n">
        <x:v>4</x:v>
      </x:c>
      <x:c r="G22" s="17" t="n">
        <x:v>902.0923999999999</x:v>
      </x:c>
      <x:c r="H22" s="17" t="n">
        <x:f>G22*F22</x:f>
        <x:v>3608.3695999999995</x:v>
      </x:c>
      <x:c r="I22" s="26" t="str">
        <x:f>HYPERLINK("https://etp-aktiv.ru/catalog/materialy/asbo-tekhnicheskie-izdeliya/2000539011-W111/","Открыть позицию")</x:f>
        <x:v>Открыть позицию</x:v>
      </x:c>
    </x:row>
    <x:row r="23" ht="28" customHeight="1">
      <x:c r="A23" s="16" t="str">
        <x:v>Барнаульская ТЭЦ-2</x:v>
      </x:c>
      <x:c r="B23" s="16" t="str">
        <x:v>2000539024-W111</x:v>
      </x:c>
      <x:c r="C23" s="16" t="str">
        <x:v>КОЛЬЦО КГФ-Г-П2 170*145*15</x:v>
      </x:c>
      <x:c r="D23" s="16" t="str">
        <x:v>Асбо-технические изд</x:v>
      </x:c>
      <x:c r="E23" s="16" t="str">
        <x:v>ШТ</x:v>
      </x:c>
      <x:c r="F23" s="25" t="n">
        <x:v>54</x:v>
      </x:c>
      <x:c r="G23" s="17" t="n">
        <x:v>72.78519999999999</x:v>
      </x:c>
      <x:c r="H23" s="17" t="n">
        <x:f>G23*F23</x:f>
        <x:v>3930.4007999999994</x:v>
      </x:c>
      <x:c r="I23" s="26" t="str">
        <x:f>HYPERLINK("https://etp-aktiv.ru/catalog/materialy/asbo-tekhnicheskie-izdeliya/2000539024-W111/","Открыть позицию")</x:f>
        <x:v>Открыть позицию</x:v>
      </x:c>
    </x:row>
    <x:row r="24" ht="28" customHeight="1">
      <x:c r="A24" s="16" t="str">
        <x:v>Барнаульская ТЭЦ-2</x:v>
      </x:c>
      <x:c r="B24" s="16" t="str">
        <x:v>2000539026-W111</x:v>
      </x:c>
      <x:c r="C24" s="16" t="str">
        <x:v>КОЛЬЦО КГФ-Г-П2 250*210*20</x:v>
      </x:c>
      <x:c r="D24" s="16" t="str">
        <x:v>Асбо-технические изд</x:v>
      </x:c>
      <x:c r="E24" s="16" t="str">
        <x:v>ШТ</x:v>
      </x:c>
      <x:c r="F24" s="25" t="n">
        <x:v>10</x:v>
      </x:c>
      <x:c r="G24" s="17" t="n">
        <x:v>629.703</x:v>
      </x:c>
      <x:c r="H24" s="17" t="n">
        <x:f>G24*F24</x:f>
        <x:v>6297.03</x:v>
      </x:c>
      <x:c r="I24" s="26" t="str">
        <x:f>HYPERLINK("https://etp-aktiv.ru/catalog/materialy/asbo-tekhnicheskie-izdeliya/2000539026-W111/","Открыть позицию")</x:f>
        <x:v>Открыть позицию</x:v>
      </x:c>
    </x:row>
    <x:row r="25" ht="28" customHeight="1">
      <x:c r="A25" s="16" t="str">
        <x:v>Барнаульская ТЭЦ-2</x:v>
      </x:c>
      <x:c r="B25" s="16" t="str">
        <x:v>2000539027-W111</x:v>
      </x:c>
      <x:c r="C25" s="16" t="str">
        <x:v>КОЛЬЦО КГФ-Г-П2 300*270*15</x:v>
      </x:c>
      <x:c r="D25" s="16" t="str">
        <x:v>Асбо-технические изд</x:v>
      </x:c>
      <x:c r="E25" s="16" t="str">
        <x:v>ШТ</x:v>
      </x:c>
      <x:c r="F25" s="30" t="n">
        <x:v>0.25</x:v>
      </x:c>
      <x:c r="G25" s="17" t="n">
        <x:v>520.2812</x:v>
      </x:c>
      <x:c r="H25" s="17" t="n">
        <x:f>G25*F25</x:f>
        <x:v>130.0703</x:v>
      </x:c>
      <x:c r="I25" s="26" t="str">
        <x:f>HYPERLINK("https://etp-aktiv.ru/catalog/materialy/asbo-tekhnicheskie-izdeliya/2000539027-W111/","Открыть позицию")</x:f>
        <x:v>Открыть позицию</x:v>
      </x:c>
    </x:row>
    <x:row r="26" ht="28" customHeight="1">
      <x:c r="A26" s="16" t="str">
        <x:v>Барнаульская ТЭЦ-2</x:v>
      </x:c>
      <x:c r="B26" s="16" t="str">
        <x:v>2000539042-W111</x:v>
      </x:c>
      <x:c r="C26" s="16" t="str">
        <x:v>КОЛЬЦО КГФ-С1 140*120*10</x:v>
      </x:c>
      <x:c r="D26" s="16" t="str">
        <x:v>Асбо-технические изд</x:v>
      </x:c>
      <x:c r="E26" s="16" t="str">
        <x:v>ШТ</x:v>
      </x:c>
      <x:c r="F26" s="25" t="n">
        <x:v>16</x:v>
      </x:c>
      <x:c r="G26" s="17" t="n">
        <x:v>199.5676</x:v>
      </x:c>
      <x:c r="H26" s="17" t="n">
        <x:f>G26*F26</x:f>
        <x:v>3193.0816</x:v>
      </x:c>
      <x:c r="I26" s="26" t="str">
        <x:f>HYPERLINK("https://etp-aktiv.ru/catalog/materialy/asbo-tekhnicheskie-izdeliya/2000539042-W111/","Открыть позицию")</x:f>
        <x:v>Открыть позицию</x:v>
      </x:c>
    </x:row>
    <x:row r="27" ht="28" customHeight="1">
      <x:c r="A27" s="16" t="str">
        <x:v>Барнаульская ТЭЦ-2</x:v>
      </x:c>
      <x:c r="B27" s="16" t="str">
        <x:v>2000585809-W111</x:v>
      </x:c>
      <x:c r="C27" s="16" t="str">
        <x:v>КОЛЬЦО САЛЬНИКОВОЕ 00-В-Б-52*36*8-ГФ-1</x:v>
      </x:c>
      <x:c r="D27" s="16" t="str">
        <x:v>Асбо-технические изд</x:v>
      </x:c>
      <x:c r="E27" s="16" t="str">
        <x:v>ШТ</x:v>
      </x:c>
      <x:c r="F27" s="25" t="n">
        <x:v>30</x:v>
      </x:c>
      <x:c r="G27" s="17" t="n">
        <x:v>13.2004</x:v>
      </x:c>
      <x:c r="H27" s="17" t="n">
        <x:f>G27*F27</x:f>
        <x:v>396.012</x:v>
      </x:c>
      <x:c r="I27" s="26" t="str">
        <x:f>HYPERLINK("https://etp-aktiv.ru/catalog/materialy/asbo-tekhnicheskie-izdeliya/2000585809-W111/","Открыть позицию")</x:f>
        <x:v>Открыть позицию</x:v>
      </x:c>
    </x:row>
    <x:row r="28" ht="28" customHeight="1">
      <x:c r="A28" s="16" t="str">
        <x:v>Барнаульская ТЭЦ-2</x:v>
      </x:c>
      <x:c r="B28" s="16" t="str">
        <x:v>2000593076-W111</x:v>
      </x:c>
      <x:c r="C28" s="16" t="str">
        <x:v>КОЛЬЦО УПЛОТНИТЕЛЬНОЕ 175-185-58-2-6</x:v>
      </x:c>
      <x:c r="D28" s="16" t="str">
        <x:v>Проч резино-тех изд</x:v>
      </x:c>
      <x:c r="E28" s="16" t="str">
        <x:v>ШТ</x:v>
      </x:c>
      <x:c r="F28" s="25" t="n">
        <x:v>12</x:v>
      </x:c>
      <x:c r="G28" s="17" t="n">
        <x:v>25.9372</x:v>
      </x:c>
      <x:c r="H28" s="17" t="n">
        <x:f>G28*F28</x:f>
        <x:v>311.2464</x:v>
      </x:c>
      <x:c r="I28" s="26" t="str">
        <x:f>HYPERLINK("https://etp-aktiv.ru/catalog/materialy/rezino-tekhnicheskie-izdeliya/2000593076-W111/","Открыть позицию")</x:f>
        <x:v>Открыть позицию</x:v>
      </x:c>
    </x:row>
    <x:row r="29" ht="28" customHeight="1">
      <x:c r="A29" s="16" t="str">
        <x:v>Барнаульская ТЭЦ-2</x:v>
      </x:c>
      <x:c r="B29" s="16" t="str">
        <x:v>2000134194-W111</x:v>
      </x:c>
      <x:c r="C29" s="16" t="str">
        <x:v>КОЛЬЦО УПЛОТНИТЕЛЬНОЕ 310-320-58-2-2</x:v>
      </x:c>
      <x:c r="D29" s="16" t="str">
        <x:v>Проч резино-тех изд</x:v>
      </x:c>
      <x:c r="E29" s="16" t="str">
        <x:v>ШТ</x:v>
      </x:c>
      <x:c r="F29" s="25" t="n">
        <x:v>4</x:v>
      </x:c>
      <x:c r="G29" s="17" t="n">
        <x:v>340.95340000000004</x:v>
      </x:c>
      <x:c r="H29" s="17" t="n">
        <x:f>G29*F29</x:f>
        <x:v>1363.8136000000002</x:v>
      </x:c>
      <x:c r="I29" s="26" t="str">
        <x:f>HYPERLINK("https://etp-aktiv.ru/catalog/materialy/rezino-tekhnicheskie-izdeliya/2000134194-W111/","Открыть позицию")</x:f>
        <x:v>Открыть позицию</x:v>
      </x:c>
    </x:row>
    <x:row r="30" ht="28" customHeight="1">
      <x:c r="A30" s="16" t="str">
        <x:v>Барнаульская ТЭЦ-2</x:v>
      </x:c>
      <x:c r="B30" s="16" t="str">
        <x:v>2000593078-W111</x:v>
      </x:c>
      <x:c r="C30" s="16" t="str">
        <x:v>КОЛЬЦО УПЛОТНИТЕЛЬНОЕ 450-460-58-2-6</x:v>
      </x:c>
      <x:c r="D30" s="16" t="str">
        <x:v>Проч резино-тех изд</x:v>
      </x:c>
      <x:c r="E30" s="16" t="str">
        <x:v>ШТ</x:v>
      </x:c>
      <x:c r="F30" s="25" t="n">
        <x:v>24</x:v>
      </x:c>
      <x:c r="G30" s="17" t="n">
        <x:v>619.6502</x:v>
      </x:c>
      <x:c r="H30" s="17" t="n">
        <x:f>G30*F30</x:f>
        <x:v>14871.604800000001</x:v>
      </x:c>
      <x:c r="I30" s="26" t="str">
        <x:f>HYPERLINK("https://etp-aktiv.ru/catalog/materialy/rezino-tekhnicheskie-izdeliya/2000593078-W111/","Открыть позицию")</x:f>
        <x:v>Открыть позицию</x:v>
      </x:c>
    </x:row>
    <x:row r="31" ht="28" customHeight="1">
      <x:c r="A31" s="16" t="str">
        <x:v>Барнаульская ТЭЦ-2</x:v>
      </x:c>
      <x:c r="B31" s="16" t="str">
        <x:v>2000548538-W111</x:v>
      </x:c>
      <x:c r="C31" s="16" t="str">
        <x:v>ЛЕНТА ЛЭ-10-2-Х/Б 10ММ ГОСТ4514-78</x:v>
      </x:c>
      <x:c r="D31" s="16" t="str">
        <x:v>Э/изоляцион мат-лы</x:v>
      </x:c>
      <x:c r="E31" s="16" t="str">
        <x:v>М</x:v>
      </x:c>
      <x:c r="F31" s="24" t="n">
        <x:v>190.1</x:v>
      </x:c>
      <x:c r="G31" s="17" t="n">
        <x:v>1.3664</x:v>
      </x:c>
      <x:c r="H31" s="17" t="n">
        <x:f>G31*F31</x:f>
        <x:v>259.75264</x:v>
      </x:c>
      <x:c r="I31" s="26" t="str">
        <x:f>HYPERLINK("https://etp-aktiv.ru/catalog/materialy/ehlektroizolyacionnye-materialy/2000548538-W111/","Открыть позицию")</x:f>
        <x:v>Открыть позицию</x:v>
      </x:c>
    </x:row>
    <x:row r="32" ht="28" customHeight="1">
      <x:c r="A32" s="16" t="str">
        <x:v>Барнаульская ТЭЦ-2</x:v>
      </x:c>
      <x:c r="B32" s="16" t="str">
        <x:v>2000373988-W111</x:v>
      </x:c>
      <x:c r="C32" s="16" t="str">
        <x:v>ЛЕНТА ТОРМОЗНАЯ ЭМ-1 10*160ММ</x:v>
      </x:c>
      <x:c r="D32" s="16" t="str">
        <x:v>Асбо-технические изд</x:v>
      </x:c>
      <x:c r="E32" s="16" t="str">
        <x:v>ПМ</x:v>
      </x:c>
      <x:c r="F32" s="25" t="n">
        <x:v>40</x:v>
      </x:c>
      <x:c r="G32" s="17" t="n">
        <x:v>597.0070000000001</x:v>
      </x:c>
      <x:c r="H32" s="17" t="n">
        <x:f>G32*F32</x:f>
        <x:v>23880.280000000002</x:v>
      </x:c>
      <x:c r="I32" s="26" t="str">
        <x:f>HYPERLINK("https://etp-aktiv.ru/catalog/materialy/asbo-tekhnicheskie-izdeliya/2000373988-W111/","Открыть позицию")</x:f>
        <x:v>Открыть позицию</x:v>
      </x:c>
    </x:row>
    <x:row r="33" ht="28" customHeight="1">
      <x:c r="A33" s="16" t="str">
        <x:v>Барнаульская ТЭЦ-2</x:v>
      </x:c>
      <x:c r="B33" s="16" t="str">
        <x:v>2000539120-W111</x:v>
      </x:c>
      <x:c r="C33" s="16" t="str">
        <x:v>ЛЕНТА ЭМ-1 10*100</x:v>
      </x:c>
      <x:c r="D33" s="16" t="str">
        <x:v>Асбо-технические изд</x:v>
      </x:c>
      <x:c r="E33" s="16" t="str">
        <x:v>М2</x:v>
      </x:c>
      <x:c r="F33" s="24" t="n">
        <x:v>12.1</x:v>
      </x:c>
      <x:c r="G33" s="17" t="n">
        <x:v>5687.2008000000005</x:v>
      </x:c>
      <x:c r="H33" s="17" t="n">
        <x:f>G33*F33</x:f>
        <x:v>68815.12968</x:v>
      </x:c>
      <x:c r="I33" s="26" t="str">
        <x:f>HYPERLINK("https://etp-aktiv.ru/catalog/materialy/asbo-tekhnicheskie-izdeliya/2000539120-W111/","Открыть позицию")</x:f>
        <x:v>Открыть позицию</x:v>
      </x:c>
    </x:row>
    <x:row r="34" ht="28" customHeight="1">
      <x:c r="A34" s="16" t="str">
        <x:v>Барнаульская ТЭЦ-2</x:v>
      </x:c>
      <x:c r="B34" s="16" t="str">
        <x:v>2000337427-W111</x:v>
      </x:c>
      <x:c r="C34" s="16" t="str">
        <x:v>ЛИСТ ФТОРОПЛАСТ Ф-4 1*1000*1000ММ</x:v>
      </x:c>
      <x:c r="D34" s="16" t="str">
        <x:v>Э/изоляцион мат-лы</x:v>
      </x:c>
      <x:c r="E34" s="16" t="str">
        <x:v>КГ</x:v>
      </x:c>
      <x:c r="F34" s="24" t="n">
        <x:v>1.32</x:v>
      </x:c>
      <x:c r="G34" s="17" t="n">
        <x:v>734.3668</x:v>
      </x:c>
      <x:c r="H34" s="17" t="n">
        <x:f>G34*F34</x:f>
        <x:v>969.364176</x:v>
      </x:c>
      <x:c r="I34" s="26" t="str">
        <x:f>HYPERLINK("https://etp-aktiv.ru/catalog/materialy/ehlektroizolyacionnye-materialy/2000337427-W111/","Открыть позицию")</x:f>
        <x:v>Открыть позицию</x:v>
      </x:c>
    </x:row>
    <x:row r="35" ht="28" customHeight="1">
      <x:c r="A35" s="16" t="str">
        <x:v>Барнаульская ТЭЦ-2</x:v>
      </x:c>
      <x:c r="B35" s="16" t="str">
        <x:v>2000563532-W111</x:v>
      </x:c>
      <x:c r="C35" s="16" t="str">
        <x:v>ЛИСТ ФТОРОПЛАСТ Ф-4 4ММ</x:v>
      </x:c>
      <x:c r="D35" s="16" t="str">
        <x:v>Э/изоляцион мат-лы</x:v>
      </x:c>
      <x:c r="E35" s="16" t="str">
        <x:v>КГ</x:v>
      </x:c>
      <x:c r="F35" s="24" t="n">
        <x:v>7.18</x:v>
      </x:c>
      <x:c r="G35" s="17" t="n">
        <x:v>718.6898</x:v>
      </x:c>
      <x:c r="H35" s="17" t="n">
        <x:f>G35*F35</x:f>
        <x:v>5160.192763999999</x:v>
      </x:c>
      <x:c r="I35" s="26" t="str">
        <x:f>HYPERLINK("https://etp-aktiv.ru/catalog/materialy/ehlektroizolyacionnye-materialy/2000563532-W111/","Открыть позицию")</x:f>
        <x:v>Открыть позицию</x:v>
      </x:c>
    </x:row>
    <x:row r="36" ht="28" customHeight="1">
      <x:c r="A36" s="16" t="str">
        <x:v>Барнаульская ТЭЦ-2</x:v>
      </x:c>
      <x:c r="B36" s="16" t="str">
        <x:v>2000546744-W111</x:v>
      </x:c>
      <x:c r="C36" s="16" t="str">
        <x:v>МАНЖЕТА М 20*40-1 ГОСТ22704-77</x:v>
      </x:c>
      <x:c r="D36" s="16" t="str">
        <x:v>Проч резино-тех изд</x:v>
      </x:c>
      <x:c r="E36" s="16" t="str">
        <x:v>ШТ</x:v>
      </x:c>
      <x:c r="F36" s="25" t="n">
        <x:v>42</x:v>
      </x:c>
      <x:c r="G36" s="17" t="n">
        <x:v>18.4952</x:v>
      </x:c>
      <x:c r="H36" s="17" t="n">
        <x:f>G36*F36</x:f>
        <x:v>776.7984</x:v>
      </x:c>
      <x:c r="I36" s="26" t="str">
        <x:f>HYPERLINK("https://etp-aktiv.ru/catalog/materialy/rezino-tekhnicheskie-izdeliya/2000546744-W111/","Открыть позицию")</x:f>
        <x:v>Открыть позицию</x:v>
      </x:c>
    </x:row>
    <x:row r="37" ht="28" customHeight="1">
      <x:c r="A37" s="16" t="str">
        <x:v>Барнаульская ТЭЦ-2</x:v>
      </x:c>
      <x:c r="B37" s="16" t="str">
        <x:v>2000548555-W111</x:v>
      </x:c>
      <x:c r="C37" s="16" t="str">
        <x:v>МИКАЛЕНТА ЛМК ТТ 0,17*35 ТУ05758799-008</x:v>
      </x:c>
      <x:c r="D37" s="16" t="str">
        <x:v>Э/изоляцион мат-лы</x:v>
      </x:c>
      <x:c r="E37" s="16" t="str">
        <x:v>КГ</x:v>
      </x:c>
      <x:c r="F37" s="30" t="n">
        <x:v>0.69</x:v>
      </x:c>
      <x:c r="G37" s="17" t="n">
        <x:v>2779.3186</x:v>
      </x:c>
      <x:c r="H37" s="17" t="n">
        <x:f>G37*F37</x:f>
        <x:v>1917.729834</x:v>
      </x:c>
      <x:c r="I37" s="26" t="str">
        <x:f>HYPERLINK("https://etp-aktiv.ru/catalog/materialy/ehlektroizolyacionnye-materialy/2000548555-W111/","Открыть позицию")</x:f>
        <x:v>Открыть позицию</x:v>
      </x:c>
    </x:row>
    <x:row r="38" ht="28" customHeight="1">
      <x:c r="A38" s="16" t="str">
        <x:v>Барнаульская ТЭЦ-2</x:v>
      </x:c>
      <x:c r="B38" s="16" t="str">
        <x:v>2000141021-W111</x:v>
      </x:c>
      <x:c r="C38" s="16" t="str">
        <x:v>НАБИВКА 200М 6*6</x:v>
      </x:c>
      <x:c r="D38" s="16" t="str">
        <x:v>Асбо-технические изд</x:v>
      </x:c>
      <x:c r="E38" s="16" t="str">
        <x:v>КГ</x:v>
      </x:c>
      <x:c r="F38" s="25" t="n">
        <x:v>3</x:v>
      </x:c>
      <x:c r="G38" s="17" t="n">
        <x:v>478.8256</x:v>
      </x:c>
      <x:c r="H38" s="17" t="n">
        <x:f>G38*F38</x:f>
        <x:v>1436.4768</x:v>
      </x:c>
      <x:c r="I38" s="26" t="str">
        <x:f>HYPERLINK("https://etp-aktiv.ru/catalog/materialy/asbo-tekhnicheskie-izdeliya/2000141021-W111/","Открыть позицию")</x:f>
        <x:v>Открыть позицию</x:v>
      </x:c>
    </x:row>
    <x:row r="39" ht="28" customHeight="1">
      <x:c r="A39" s="16" t="str">
        <x:v>Барнаульская ТЭЦ-2</x:v>
      </x:c>
      <x:c r="B39" s="16" t="str">
        <x:v>2000141022-W111</x:v>
      </x:c>
      <x:c r="C39" s="16" t="str">
        <x:v>НАБИВКА 200М 8*8</x:v>
      </x:c>
      <x:c r="D39" s="16" t="str">
        <x:v>Асбо-технические изд</x:v>
      </x:c>
      <x:c r="E39" s="16" t="str">
        <x:v>КГ</x:v>
      </x:c>
      <x:c r="F39" s="24" t="n">
        <x:v>28.974</x:v>
      </x:c>
      <x:c r="G39" s="17" t="n">
        <x:v>619.455</x:v>
      </x:c>
      <x:c r="H39" s="17" t="n">
        <x:f>G39*F39</x:f>
        <x:v>17948.089170000003</x:v>
      </x:c>
      <x:c r="I39" s="26" t="str">
        <x:f>HYPERLINK("https://etp-aktiv.ru/catalog/materialy/asbo-tekhnicheskie-izdeliya/2000141022-W111/","Открыть позицию")</x:f>
        <x:v>Открыть позицию</x:v>
      </x:c>
    </x:row>
    <x:row r="40" ht="28" customHeight="1">
      <x:c r="A40" s="16" t="str">
        <x:v>Барнаульская ТЭЦ-2</x:v>
      </x:c>
      <x:c r="B40" s="16" t="str">
        <x:v>2000539149-W111</x:v>
      </x:c>
      <x:c r="C40" s="16" t="str">
        <x:v>НАБИВКА URTEX H 1300 10*10</x:v>
      </x:c>
      <x:c r="D40" s="16" t="str">
        <x:v>Асбо-технические изд</x:v>
      </x:c>
      <x:c r="E40" s="16" t="str">
        <x:v>КГ</x:v>
      </x:c>
      <x:c r="F40" s="25" t="n">
        <x:v>23</x:v>
      </x:c>
      <x:c r="G40" s="17" t="n">
        <x:v>408.3218</x:v>
      </x:c>
      <x:c r="H40" s="17" t="n">
        <x:f>G40*F40</x:f>
        <x:v>9391.4014</x:v>
      </x:c>
      <x:c r="I40" s="26" t="str">
        <x:f>HYPERLINK("https://etp-aktiv.ru/catalog/materialy/asbo-tekhnicheskie-izdeliya/2000539149-W111/","Открыть позицию")</x:f>
        <x:v>Открыть позицию</x:v>
      </x:c>
    </x:row>
    <x:row r="41" ht="28" customHeight="1">
      <x:c r="A41" s="16" t="str">
        <x:v>Барнаульская ТЭЦ-2</x:v>
      </x:c>
      <x:c r="B41" s="16" t="str">
        <x:v>2000539157-W111</x:v>
      </x:c>
      <x:c r="C41" s="16" t="str">
        <x:v>НАБИВКА URTEX Н 1300 16*16</x:v>
      </x:c>
      <x:c r="D41" s="16" t="str">
        <x:v>Асбо-технические изд</x:v>
      </x:c>
      <x:c r="E41" s="16" t="str">
        <x:v>КГ</x:v>
      </x:c>
      <x:c r="F41" s="24" t="n">
        <x:v>2.158</x:v>
      </x:c>
      <x:c r="G41" s="17" t="n">
        <x:v>604.1806</x:v>
      </x:c>
      <x:c r="H41" s="17" t="n">
        <x:f>G41*F41</x:f>
        <x:v>1303.8217348</x:v>
      </x:c>
      <x:c r="I41" s="26" t="str">
        <x:f>HYPERLINK("https://etp-aktiv.ru/catalog/materialy/asbo-tekhnicheskie-izdeliya/2000539157-W111/","Открыть позицию")</x:f>
        <x:v>Открыть позицию</x:v>
      </x:c>
    </x:row>
    <x:row r="42" ht="28" customHeight="1">
      <x:c r="A42" s="16" t="str">
        <x:v>Барнаульская ТЭЦ-2</x:v>
      </x:c>
      <x:c r="B42" s="16" t="str">
        <x:v>2000539154-W111</x:v>
      </x:c>
      <x:c r="C42" s="16" t="str">
        <x:v>НАБИВКА URTEX Н1300 12*12</x:v>
      </x:c>
      <x:c r="D42" s="16" t="str">
        <x:v>Асбо-технические изд</x:v>
      </x:c>
      <x:c r="E42" s="16" t="str">
        <x:v>КГ</x:v>
      </x:c>
      <x:c r="F42" s="24" t="n">
        <x:v>15.615</x:v>
      </x:c>
      <x:c r="G42" s="17" t="n">
        <x:v>631.3743999999999</x:v>
      </x:c>
      <x:c r="H42" s="17" t="n">
        <x:f>G42*F42</x:f>
        <x:v>9858.911256</x:v>
      </x:c>
      <x:c r="I42" s="26" t="str">
        <x:f>HYPERLINK("https://etp-aktiv.ru/catalog/materialy/asbo-tekhnicheskie-izdeliya/2000539154-W111/","Открыть позицию")</x:f>
        <x:v>Открыть позицию</x:v>
      </x:c>
    </x:row>
    <x:row r="43" ht="28" customHeight="1">
      <x:c r="A43" s="16" t="str">
        <x:v>Барнаульская ТЭЦ-2</x:v>
      </x:c>
      <x:c r="B43" s="16" t="str">
        <x:v>2000539155-W111</x:v>
      </x:c>
      <x:c r="C43" s="16" t="str">
        <x:v>НАБИВКА URTEX Н1300 13*13ММ</x:v>
      </x:c>
      <x:c r="D43" s="16" t="str">
        <x:v>Асбо-технические изд</x:v>
      </x:c>
      <x:c r="E43" s="16" t="str">
        <x:v>КГ</x:v>
      </x:c>
      <x:c r="F43" s="24" t="n">
        <x:v>4.35</x:v>
      </x:c>
      <x:c r="G43" s="17" t="n">
        <x:v>408.3218</x:v>
      </x:c>
      <x:c r="H43" s="17" t="n">
        <x:f>G43*F43</x:f>
        <x:v>1776.1998299999998</x:v>
      </x:c>
      <x:c r="I43" s="26" t="str">
        <x:f>HYPERLINK("https://etp-aktiv.ru/catalog/materialy/asbo-tekhnicheskie-izdeliya/2000539155-W111/","Открыть позицию")</x:f>
        <x:v>Открыть позицию</x:v>
      </x:c>
    </x:row>
    <x:row r="44" ht="28" customHeight="1">
      <x:c r="A44" s="16" t="str">
        <x:v>Барнаульская ТЭЦ-2</x:v>
      </x:c>
      <x:c r="B44" s="16" t="str">
        <x:v>2000539159-W111</x:v>
      </x:c>
      <x:c r="C44" s="16" t="str">
        <x:v>НАБИВКА URTEX Н1300 8*8</x:v>
      </x:c>
      <x:c r="D44" s="16" t="str">
        <x:v>Асбо-технические изд</x:v>
      </x:c>
      <x:c r="E44" s="16" t="str">
        <x:v>КГ</x:v>
      </x:c>
      <x:c r="F44" s="24" t="n">
        <x:v>6.55</x:v>
      </x:c>
      <x:c r="G44" s="17" t="n">
        <x:v>525.0147999999999</x:v>
      </x:c>
      <x:c r="H44" s="17" t="n">
        <x:f>G44*F44</x:f>
        <x:v>3438.8469399999994</x:v>
      </x:c>
      <x:c r="I44" s="26" t="str">
        <x:f>HYPERLINK("https://etp-aktiv.ru/catalog/materialy/asbo-tekhnicheskie-izdeliya/2000539159-W111/","Открыть позицию")</x:f>
        <x:v>Открыть позицию</x:v>
      </x:c>
    </x:row>
    <x:row r="45" ht="28" customHeight="1">
      <x:c r="A45" s="16" t="str">
        <x:v>Барнаульская ТЭЦ-2</x:v>
      </x:c>
      <x:c r="B45" s="16" t="str">
        <x:v>2000140998-W111</x:v>
      </x:c>
      <x:c r="C45" s="16" t="str">
        <x:v>НАБИВКА АГИ 10ММ</x:v>
      </x:c>
      <x:c r="D45" s="16" t="str">
        <x:v>Асбо-технические изд</x:v>
      </x:c>
      <x:c r="E45" s="16" t="str">
        <x:v>КГ</x:v>
      </x:c>
      <x:c r="F45" s="24" t="n">
        <x:v>50.6</x:v>
      </x:c>
      <x:c r="G45" s="17" t="n">
        <x:v>229.3722</x:v>
      </x:c>
      <x:c r="H45" s="17" t="n">
        <x:f>G45*F45</x:f>
        <x:v>11606.23332</x:v>
      </x:c>
      <x:c r="I45" s="26" t="str">
        <x:f>HYPERLINK("https://etp-aktiv.ru/catalog/materialy/asbo-tekhnicheskie-izdeliya/2000140998-W111/","Открыть позицию")</x:f>
        <x:v>Открыть позицию</x:v>
      </x:c>
    </x:row>
    <x:row r="46" ht="28" customHeight="1">
      <x:c r="A46" s="16" t="str">
        <x:v>Барнаульская ТЭЦ-2</x:v>
      </x:c>
      <x:c r="B46" s="16" t="str">
        <x:v>2000220264-W111</x:v>
      </x:c>
      <x:c r="C46" s="16" t="str">
        <x:v>НАБИВКА АГИ 22*22 СК/ПЛЕТ</x:v>
      </x:c>
      <x:c r="D46" s="16" t="str">
        <x:v>Асбо-технические изд</x:v>
      </x:c>
      <x:c r="E46" s="16" t="str">
        <x:v>КГ</x:v>
      </x:c>
      <x:c r="F46" s="24" t="n">
        <x:v>19.674</x:v>
      </x:c>
      <x:c r="G46" s="17" t="n">
        <x:v>220.0148</x:v>
      </x:c>
      <x:c r="H46" s="17" t="n">
        <x:f>G46*F46</x:f>
        <x:v>4328.5711752</x:v>
      </x:c>
      <x:c r="I46" s="26" t="str">
        <x:f>HYPERLINK("https://etp-aktiv.ru/catalog/materialy/asbo-tekhnicheskie-izdeliya/2000220264-W111/","Открыть позицию")</x:f>
        <x:v>Открыть позицию</x:v>
      </x:c>
    </x:row>
    <x:row r="47" ht="28" customHeight="1">
      <x:c r="A47" s="16" t="str">
        <x:v>Барнаульская ТЭЦ-2</x:v>
      </x:c>
      <x:c r="B47" s="16" t="str">
        <x:v>2000031501-W111</x:v>
      </x:c>
      <x:c r="C47" s="16" t="str">
        <x:v>НАБИВКА АП-31 10ММ</x:v>
      </x:c>
      <x:c r="D47" s="16" t="str">
        <x:v>Асбо-технические изд</x:v>
      </x:c>
      <x:c r="E47" s="16" t="str">
        <x:v>КГ</x:v>
      </x:c>
      <x:c r="F47" s="24" t="n">
        <x:v>10.428</x:v>
      </x:c>
      <x:c r="G47" s="17" t="n">
        <x:v>168.3966</x:v>
      </x:c>
      <x:c r="H47" s="17" t="n">
        <x:f>G47*F47</x:f>
        <x:v>1756.0397448</x:v>
      </x:c>
      <x:c r="I47" s="26" t="str">
        <x:f>HYPERLINK("https://etp-aktiv.ru/catalog/materialy/asbo-tekhnicheskie-izdeliya/2000031501-W111/","Открыть позицию")</x:f>
        <x:v>Открыть позицию</x:v>
      </x:c>
    </x:row>
    <x:row r="48" ht="28" customHeight="1">
      <x:c r="A48" s="16" t="str">
        <x:v>Барнаульская ТЭЦ-2</x:v>
      </x:c>
      <x:c r="B48" s="16" t="str">
        <x:v>2000157675-W111</x:v>
      </x:c>
      <x:c r="C48" s="16" t="str">
        <x:v>НАБИВКА АП-31 14*14ММ</x:v>
      </x:c>
      <x:c r="D48" s="16" t="str">
        <x:v>Асбо-технические изд</x:v>
      </x:c>
      <x:c r="E48" s="16" t="str">
        <x:v>КГ</x:v>
      </x:c>
      <x:c r="F48" s="24" t="n">
        <x:v>3.37</x:v>
      </x:c>
      <x:c r="G48" s="17" t="n">
        <x:v>165.31</x:v>
      </x:c>
      <x:c r="H48" s="17" t="n">
        <x:f>G48*F48</x:f>
        <x:v>557.0947</x:v>
      </x:c>
      <x:c r="I48" s="26" t="str">
        <x:f>HYPERLINK("https://etp-aktiv.ru/catalog/materialy/asbo-tekhnicheskie-izdeliya/2000157675-W111/","Открыть позицию")</x:f>
        <x:v>Открыть позицию</x:v>
      </x:c>
    </x:row>
    <x:row r="49" ht="28" customHeight="1">
      <x:c r="A49" s="16" t="str">
        <x:v>Барнаульская ТЭЦ-2</x:v>
      </x:c>
      <x:c r="B49" s="16" t="str">
        <x:v>2000031504-W111</x:v>
      </x:c>
      <x:c r="C49" s="16" t="str">
        <x:v>НАБИВКА АП-31 14ММ</x:v>
      </x:c>
      <x:c r="D49" s="16" t="str">
        <x:v>Асбо-технические изд</x:v>
      </x:c>
      <x:c r="E49" s="16" t="str">
        <x:v>КГ</x:v>
      </x:c>
      <x:c r="F49" s="24" t="n">
        <x:v>10.55</x:v>
      </x:c>
      <x:c r="G49" s="17" t="n">
        <x:v>119.75519999999999</x:v>
      </x:c>
      <x:c r="H49" s="17" t="n">
        <x:f>G49*F49</x:f>
        <x:v>1263.41736</x:v>
      </x:c>
      <x:c r="I49" s="26" t="str">
        <x:f>HYPERLINK("https://etp-aktiv.ru/catalog/materialy/asbo-tekhnicheskie-izdeliya/2000031504-W111/","Открыть позицию")</x:f>
        <x:v>Открыть позицию</x:v>
      </x:c>
    </x:row>
    <x:row r="50" ht="28" customHeight="1">
      <x:c r="A50" s="16" t="str">
        <x:v>Барнаульская ТЭЦ-2</x:v>
      </x:c>
      <x:c r="B50" s="16" t="str">
        <x:v>2000157676-W111</x:v>
      </x:c>
      <x:c r="C50" s="16" t="str">
        <x:v>НАБИВКА АП-31 16*16ММ</x:v>
      </x:c>
      <x:c r="D50" s="16" t="str">
        <x:v>Асбо-технические изд</x:v>
      </x:c>
      <x:c r="E50" s="16" t="str">
        <x:v>КГ</x:v>
      </x:c>
      <x:c r="F50" s="24" t="n">
        <x:v>1.14</x:v>
      </x:c>
      <x:c r="G50" s="17" t="n">
        <x:v>149.68179999999998</x:v>
      </x:c>
      <x:c r="H50" s="17" t="n">
        <x:f>G50*F50</x:f>
        <x:v>170.63725199999996</x:v>
      </x:c>
      <x:c r="I50" s="26" t="str">
        <x:f>HYPERLINK("https://etp-aktiv.ru/catalog/materialy/asbo-tekhnicheskie-izdeliya/2000157676-W111/","Открыть позицию")</x:f>
        <x:v>Открыть позицию</x:v>
      </x:c>
    </x:row>
    <x:row r="51" ht="28" customHeight="1">
      <x:c r="A51" s="16" t="str">
        <x:v>Барнаульская ТЭЦ-2</x:v>
      </x:c>
      <x:c r="B51" s="16" t="str">
        <x:v>2000157678-W111</x:v>
      </x:c>
      <x:c r="C51" s="16" t="str">
        <x:v>НАБИВКА АП-31 18*18ММ</x:v>
      </x:c>
      <x:c r="D51" s="16" t="str">
        <x:v>Асбо-технические изд</x:v>
      </x:c>
      <x:c r="E51" s="16" t="str">
        <x:v>КГ</x:v>
      </x:c>
      <x:c r="F51" s="24" t="n">
        <x:v>28.6</x:v>
      </x:c>
      <x:c r="G51" s="17" t="n">
        <x:v>145.03359999999998</x:v>
      </x:c>
      <x:c r="H51" s="17" t="n">
        <x:f>G51*F51</x:f>
        <x:v>4147.960959999999</x:v>
      </x:c>
      <x:c r="I51" s="26" t="str">
        <x:f>HYPERLINK("https://etp-aktiv.ru/catalog/materialy/asbo-tekhnicheskie-izdeliya/2000157678-W111/","Открыть позицию")</x:f>
        <x:v>Открыть позицию</x:v>
      </x:c>
    </x:row>
    <x:row r="52" ht="28" customHeight="1">
      <x:c r="A52" s="16" t="str">
        <x:v>Барнаульская ТЭЦ-2</x:v>
      </x:c>
      <x:c r="B52" s="16" t="str">
        <x:v>2000163575-W111</x:v>
      </x:c>
      <x:c r="C52" s="16" t="str">
        <x:v>НАБИВКА АП-31 20*20ММ</x:v>
      </x:c>
      <x:c r="D52" s="16" t="str">
        <x:v>Асбо-технические изд</x:v>
      </x:c>
      <x:c r="E52" s="16" t="str">
        <x:v>КГ</x:v>
      </x:c>
      <x:c r="F52" s="24" t="n">
        <x:v>128.6</x:v>
      </x:c>
      <x:c r="G52" s="17" t="n">
        <x:v>140.7026</x:v>
      </x:c>
      <x:c r="H52" s="17" t="n">
        <x:f>G52*F52</x:f>
        <x:v>18094.354359999998</x:v>
      </x:c>
      <x:c r="I52" s="26" t="str">
        <x:f>HYPERLINK("https://etp-aktiv.ru/catalog/materialy/asbo-tekhnicheskie-izdeliya/2000163575-W111/","Открыть позицию")</x:f>
        <x:v>Открыть позицию</x:v>
      </x:c>
    </x:row>
    <x:row r="53" ht="28" customHeight="1">
      <x:c r="A53" s="16" t="str">
        <x:v>Барнаульская ТЭЦ-2</x:v>
      </x:c>
      <x:c r="B53" s="16" t="str">
        <x:v>2000165063-W111</x:v>
      </x:c>
      <x:c r="C53" s="16" t="str">
        <x:v>НАБИВКА АП-31 25*25ММ</x:v>
      </x:c>
      <x:c r="D53" s="16" t="str">
        <x:v>Асбо-технические изд</x:v>
      </x:c>
      <x:c r="E53" s="16" t="str">
        <x:v>КГ</x:v>
      </x:c>
      <x:c r="F53" s="24" t="n">
        <x:v>32.4</x:v>
      </x:c>
      <x:c r="G53" s="17" t="n">
        <x:v>116.90039999999999</x:v>
      </x:c>
      <x:c r="H53" s="17" t="n">
        <x:f>G53*F53</x:f>
        <x:v>3787.5729599999995</x:v>
      </x:c>
      <x:c r="I53" s="26" t="str">
        <x:f>HYPERLINK("https://etp-aktiv.ru/catalog/materialy/asbo-tekhnicheskie-izdeliya/2000165063-W111/","Открыть позицию")</x:f>
        <x:v>Открыть позицию</x:v>
      </x:c>
    </x:row>
    <x:row r="54" ht="28" customHeight="1">
      <x:c r="A54" s="16" t="str">
        <x:v>Барнаульская ТЭЦ-2</x:v>
      </x:c>
      <x:c r="B54" s="16" t="str">
        <x:v>2000031512-W111</x:v>
      </x:c>
      <x:c r="C54" s="16" t="str">
        <x:v>НАБИВКА АП-31 6ММ</x:v>
      </x:c>
      <x:c r="D54" s="16" t="str">
        <x:v>Асбо-технические изд</x:v>
      </x:c>
      <x:c r="E54" s="16" t="str">
        <x:v>КГ</x:v>
      </x:c>
      <x:c r="F54" s="24" t="n">
        <x:v>10.552</x:v>
      </x:c>
      <x:c r="G54" s="17" t="n">
        <x:v>125.5624</x:v>
      </x:c>
      <x:c r="H54" s="17" t="n">
        <x:f>G54*F54</x:f>
        <x:v>1324.9344448</x:v>
      </x:c>
      <x:c r="I54" s="26" t="str">
        <x:f>HYPERLINK("https://etp-aktiv.ru/catalog/materialy/asbo-tekhnicheskie-izdeliya/2000031512-W111/","Открыть позицию")</x:f>
        <x:v>Открыть позицию</x:v>
      </x:c>
    </x:row>
    <x:row r="55" ht="28" customHeight="1">
      <x:c r="A55" s="16" t="str">
        <x:v>Барнаульская ТЭЦ-2</x:v>
      </x:c>
      <x:c r="B55" s="16" t="str">
        <x:v>2000031502-W111</x:v>
      </x:c>
      <x:c r="C55" s="16" t="str">
        <x:v>НАБИВКА АП-31 8ММ</x:v>
      </x:c>
      <x:c r="D55" s="16" t="str">
        <x:v>Асбо-технические изд</x:v>
      </x:c>
      <x:c r="E55" s="16" t="str">
        <x:v>КГ</x:v>
      </x:c>
      <x:c r="F55" s="24" t="n">
        <x:v>21.43</x:v>
      </x:c>
      <x:c r="G55" s="17" t="n">
        <x:v>143.35</x:v>
      </x:c>
      <x:c r="H55" s="17" t="n">
        <x:f>G55*F55</x:f>
        <x:v>3071.9905</x:v>
      </x:c>
      <x:c r="I55" s="26" t="str">
        <x:f>HYPERLINK("https://etp-aktiv.ru/catalog/materialy/asbo-tekhnicheskie-izdeliya/2000031502-W111/","Открыть позицию")</x:f>
        <x:v>Открыть позицию</x:v>
      </x:c>
    </x:row>
    <x:row r="56" ht="28" customHeight="1">
      <x:c r="A56" s="16" t="str">
        <x:v>Барнаульская ТЭЦ-2</x:v>
      </x:c>
      <x:c r="B56" s="16" t="str">
        <x:v>2000219745-W111</x:v>
      </x:c>
      <x:c r="C56" s="16" t="str">
        <x:v>НАБИВКА АПР-31 10*10ММ СКВ/ПЛ</x:v>
      </x:c>
      <x:c r="D56" s="16" t="str">
        <x:v>Асбо-технические изд</x:v>
      </x:c>
      <x:c r="E56" s="16" t="str">
        <x:v>КГ</x:v>
      </x:c>
      <x:c r="F56" s="24" t="n">
        <x:v>29.6</x:v>
      </x:c>
      <x:c r="G56" s="17" t="n">
        <x:v>215.635</x:v>
      </x:c>
      <x:c r="H56" s="17" t="n">
        <x:f>G56*F56</x:f>
        <x:v>6382.796</x:v>
      </x:c>
      <x:c r="I56" s="26" t="str">
        <x:f>HYPERLINK("https://etp-aktiv.ru/catalog/materialy/asbo-tekhnicheskie-izdeliya/2000219745-W111/","Открыть позицию")</x:f>
        <x:v>Открыть позицию</x:v>
      </x:c>
    </x:row>
    <x:row r="57" ht="28" customHeight="1">
      <x:c r="A57" s="16" t="str">
        <x:v>Барнаульская ТЭЦ-2</x:v>
      </x:c>
      <x:c r="B57" s="16" t="str">
        <x:v>2000031516-W111</x:v>
      </x:c>
      <x:c r="C57" s="16" t="str">
        <x:v>НАБИВКА АПР-31 16ММ</x:v>
      </x:c>
      <x:c r="D57" s="16" t="str">
        <x:v>Асбо-технические изд</x:v>
      </x:c>
      <x:c r="E57" s="16" t="str">
        <x:v>КГ</x:v>
      </x:c>
      <x:c r="F57" s="30" t="n">
        <x:v>0.982</x:v>
      </x:c>
      <x:c r="G57" s="17" t="n">
        <x:v>194.55339999999998</x:v>
      </x:c>
      <x:c r="H57" s="17" t="n">
        <x:f>G57*F57</x:f>
        <x:v>191.05143879999997</x:v>
      </x:c>
      <x:c r="I57" s="26" t="str">
        <x:f>HYPERLINK("https://etp-aktiv.ru/catalog/materialy/asbo-tekhnicheskie-izdeliya/2000031516-W111/","Открыть позицию")</x:f>
        <x:v>Открыть позицию</x:v>
      </x:c>
    </x:row>
    <x:row r="58" ht="28" customHeight="1">
      <x:c r="A58" s="16" t="str">
        <x:v>Барнаульская ТЭЦ-2</x:v>
      </x:c>
      <x:c r="B58" s="16" t="str">
        <x:v>2000188332-W111</x:v>
      </x:c>
      <x:c r="C58" s="16" t="str">
        <x:v>НАБИВКА АПР-31 18*18ММ</x:v>
      </x:c>
      <x:c r="D58" s="16" t="str">
        <x:v>Асбо-технические изд</x:v>
      </x:c>
      <x:c r="E58" s="16" t="str">
        <x:v>КГ</x:v>
      </x:c>
      <x:c r="F58" s="24" t="n">
        <x:v>4.6</x:v>
      </x:c>
      <x:c r="G58" s="17" t="n">
        <x:v>168.3112</x:v>
      </x:c>
      <x:c r="H58" s="17" t="n">
        <x:f>G58*F58</x:f>
        <x:v>774.23152</x:v>
      </x:c>
      <x:c r="I58" s="26" t="str">
        <x:f>HYPERLINK("https://etp-aktiv.ru/catalog/materialy/asbo-tekhnicheskie-izdeliya/2000188332-W111/","Открыть позицию")</x:f>
        <x:v>Открыть позицию</x:v>
      </x:c>
    </x:row>
    <x:row r="59" ht="28" customHeight="1">
      <x:c r="A59" s="16" t="str">
        <x:v>Барнаульская ТЭЦ-2</x:v>
      </x:c>
      <x:c r="B59" s="16" t="str">
        <x:v>2000140972-W111</x:v>
      </x:c>
      <x:c r="C59" s="16" t="str">
        <x:v>НАБИВКА АПР-31 25ММ</x:v>
      </x:c>
      <x:c r="D59" s="16" t="str">
        <x:v>Асбо-технические изд</x:v>
      </x:c>
      <x:c r="E59" s="16" t="str">
        <x:v>КГ</x:v>
      </x:c>
      <x:c r="F59" s="24" t="n">
        <x:v>20.84</x:v>
      </x:c>
      <x:c r="G59" s="17" t="n">
        <x:v>139.07999999999998</x:v>
      </x:c>
      <x:c r="H59" s="17" t="n">
        <x:f>G59*F59</x:f>
        <x:v>2898.4271999999996</x:v>
      </x:c>
      <x:c r="I59" s="26" t="str">
        <x:f>HYPERLINK("https://etp-aktiv.ru/catalog/materialy/asbo-tekhnicheskie-izdeliya/2000140972-W111/","Открыть позицию")</x:f>
        <x:v>Открыть позицию</x:v>
      </x:c>
    </x:row>
    <x:row r="60" ht="28" customHeight="1">
      <x:c r="A60" s="16" t="str">
        <x:v>Барнаульская ТЭЦ-2</x:v>
      </x:c>
      <x:c r="B60" s="16" t="str">
        <x:v>2000165095-W111</x:v>
      </x:c>
      <x:c r="C60" s="16" t="str">
        <x:v>НАБИВКА АПР-31 6*6ММ</x:v>
      </x:c>
      <x:c r="D60" s="16" t="str">
        <x:v>Асбо-технические изд</x:v>
      </x:c>
      <x:c r="E60" s="16" t="str">
        <x:v>КГ</x:v>
      </x:c>
      <x:c r="F60" s="24" t="n">
        <x:v>4.96</x:v>
      </x:c>
      <x:c r="G60" s="17" t="n">
        <x:v>283.5036</x:v>
      </x:c>
      <x:c r="H60" s="17" t="n">
        <x:f>G60*F60</x:f>
        <x:v>1406.177856</x:v>
      </x:c>
      <x:c r="I60" s="26" t="str">
        <x:f>HYPERLINK("https://etp-aktiv.ru/catalog/materialy/asbo-tekhnicheskie-izdeliya/2000165095-W111/","Открыть позицию")</x:f>
        <x:v>Открыть позицию</x:v>
      </x:c>
    </x:row>
    <x:row r="61" ht="28" customHeight="1">
      <x:c r="A61" s="16" t="str">
        <x:v>Барнаульская ТЭЦ-2</x:v>
      </x:c>
      <x:c r="B61" s="16" t="str">
        <x:v>2000166761-W111</x:v>
      </x:c>
      <x:c r="C61" s="16" t="str">
        <x:v>НАБИВКА АПРПП 10*10ММ</x:v>
      </x:c>
      <x:c r="D61" s="16" t="str">
        <x:v>Асбо-технические изд</x:v>
      </x:c>
      <x:c r="E61" s="16" t="str">
        <x:v>КГ</x:v>
      </x:c>
      <x:c r="F61" s="24" t="n">
        <x:v>27.04</x:v>
      </x:c>
      <x:c r="G61" s="17" t="n">
        <x:v>466.5646</x:v>
      </x:c>
      <x:c r="H61" s="17" t="n">
        <x:f>G61*F61</x:f>
        <x:v>12615.906783999999</x:v>
      </x:c>
      <x:c r="I61" s="26" t="str">
        <x:f>HYPERLINK("https://etp-aktiv.ru/catalog/materialy/asbo-tekhnicheskie-izdeliya/2000166761-W111/","Открыть позицию")</x:f>
        <x:v>Открыть позицию</x:v>
      </x:c>
    </x:row>
    <x:row r="62" ht="28" customHeight="1">
      <x:c r="A62" s="16" t="str">
        <x:v>Барнаульская ТЭЦ-2</x:v>
      </x:c>
      <x:c r="B62" s="16" t="str">
        <x:v>2000198505-W111</x:v>
      </x:c>
      <x:c r="C62" s="16" t="str">
        <x:v>НАБИВКА АПРПП 8*8ММ ГОСТ5152-84</x:v>
      </x:c>
      <x:c r="D62" s="16" t="str">
        <x:v>Асбо-технические изд</x:v>
      </x:c>
      <x:c r="E62" s="16" t="str">
        <x:v>КГ</x:v>
      </x:c>
      <x:c r="F62" s="24" t="n">
        <x:v>12.38</x:v>
      </x:c>
      <x:c r="G62" s="17" t="n">
        <x:v>168.10379999999998</x:v>
      </x:c>
      <x:c r="H62" s="17" t="n">
        <x:f>G62*F62</x:f>
        <x:v>2081.125044</x:v>
      </x:c>
      <x:c r="I62" s="26" t="str">
        <x:f>HYPERLINK("https://etp-aktiv.ru/catalog/materialy/asbo-tekhnicheskie-izdeliya/2000198505-W111/","Открыть позицию")</x:f>
        <x:v>Открыть позицию</x:v>
      </x:c>
    </x:row>
    <x:row r="63" ht="28" customHeight="1">
      <x:c r="A63" s="16" t="str">
        <x:v>Барнаульская ТЭЦ-2</x:v>
      </x:c>
      <x:c r="B63" s="16" t="str">
        <x:v>2000539173-W111</x:v>
      </x:c>
      <x:c r="C63" s="16" t="str">
        <x:v>НАБИВКА МНОГОСЛОЙНОЕ АП-31 22*22</x:v>
      </x:c>
      <x:c r="D63" s="16" t="str">
        <x:v>Асбо-технические изд</x:v>
      </x:c>
      <x:c r="E63" s="16" t="str">
        <x:v>КГ</x:v>
      </x:c>
      <x:c r="F63" s="24" t="n">
        <x:v>1.1</x:v>
      </x:c>
      <x:c r="G63" s="17" t="n">
        <x:v>152.57319999999999</x:v>
      </x:c>
      <x:c r="H63" s="17" t="n">
        <x:f>G63*F63</x:f>
        <x:v>167.83052</x:v>
      </x:c>
      <x:c r="I63" s="26" t="str">
        <x:f>HYPERLINK("https://etp-aktiv.ru/catalog/materialy/asbo-tekhnicheskie-izdeliya/2000539173-W111/","Открыть позицию")</x:f>
        <x:v>Открыть позицию</x:v>
      </x:c>
    </x:row>
    <x:row r="64" ht="28" customHeight="1">
      <x:c r="A64" s="16" t="str">
        <x:v>Барнаульская ТЭЦ-2</x:v>
      </x:c>
      <x:c r="B64" s="16" t="str">
        <x:v>2000539161-W111</x:v>
      </x:c>
      <x:c r="C64" s="16" t="str">
        <x:v>НАБИВКА МНОГОСЛОЙНОЕ ПЛЕТЕНИЕ АГИ 16*16</x:v>
      </x:c>
      <x:c r="D64" s="16" t="str">
        <x:v>Асбо-технические изд</x:v>
      </x:c>
      <x:c r="E64" s="16" t="str">
        <x:v>КГ</x:v>
      </x:c>
      <x:c r="F64" s="24" t="n">
        <x:v>4.45</x:v>
      </x:c>
      <x:c r="G64" s="17" t="n">
        <x:v>314.4184</x:v>
      </x:c>
      <x:c r="H64" s="17" t="n">
        <x:f>G64*F64</x:f>
        <x:v>1399.16188</x:v>
      </x:c>
      <x:c r="I64" s="26" t="str">
        <x:f>HYPERLINK("https://etp-aktiv.ru/catalog/materialy/asbo-tekhnicheskie-izdeliya/2000539161-W111/","Открыть позицию")</x:f>
        <x:v>Открыть позицию</x:v>
      </x:c>
    </x:row>
    <x:row r="65" ht="28" customHeight="1">
      <x:c r="A65" s="16" t="str">
        <x:v>Барнаульская ТЭЦ-2</x:v>
      </x:c>
      <x:c r="B65" s="16" t="str">
        <x:v>2000645077-W111</x:v>
      </x:c>
      <x:c r="C65" s="16" t="str">
        <x:v>НАБИВКА НГ-100 13*13 ТУ2573-002-93978201</x:v>
      </x:c>
      <x:c r="D65" s="16" t="str">
        <x:v>Асбо-технические изд</x:v>
      </x:c>
      <x:c r="E65" s="16" t="str">
        <x:v>КГ</x:v>
      </x:c>
      <x:c r="F65" s="25" t="n">
        <x:v>3</x:v>
      </x:c>
      <x:c r="G65" s="17" t="n">
        <x:v>747.3231999999999</x:v>
      </x:c>
      <x:c r="H65" s="17" t="n">
        <x:f>G65*F65</x:f>
        <x:v>2241.9696</x:v>
      </x:c>
      <x:c r="I65" s="26" t="str">
        <x:f>HYPERLINK("https://etp-aktiv.ru/catalog/materialy/asbo-tekhnicheskie-izdeliya/2000645077-W111/","Открыть позицию")</x:f>
        <x:v>Открыть позицию</x:v>
      </x:c>
    </x:row>
    <x:row r="66" ht="28" customHeight="1">
      <x:c r="A66" s="16" t="str">
        <x:v>Барнаульская ТЭЦ-2</x:v>
      </x:c>
      <x:c r="B66" s="16" t="str">
        <x:v>2000140376-W111</x:v>
      </x:c>
      <x:c r="C66" s="16" t="str">
        <x:v>НАБИВКА НГФ-С 10*10</x:v>
      </x:c>
      <x:c r="D66" s="16" t="str">
        <x:v>Асбо-технические изд</x:v>
      </x:c>
      <x:c r="E66" s="16" t="str">
        <x:v>КГ</x:v>
      </x:c>
      <x:c r="F66" s="24" t="n">
        <x:v>3.142</x:v>
      </x:c>
      <x:c r="G66" s="17" t="n">
        <x:v>579.2072</x:v>
      </x:c>
      <x:c r="H66" s="17" t="n">
        <x:f>G66*F66</x:f>
        <x:v>1819.8690223999997</x:v>
      </x:c>
      <x:c r="I66" s="26" t="str">
        <x:f>HYPERLINK("https://etp-aktiv.ru/catalog/materialy/asbo-tekhnicheskie-izdeliya/2000140376-W111/","Открыть позицию")</x:f>
        <x:v>Открыть позицию</x:v>
      </x:c>
    </x:row>
    <x:row r="67" ht="28" customHeight="1">
      <x:c r="A67" s="16" t="str">
        <x:v>Барнаульская ТЭЦ-2</x:v>
      </x:c>
      <x:c r="B67" s="16" t="str">
        <x:v>2000140381-W111</x:v>
      </x:c>
      <x:c r="C67" s="16" t="str">
        <x:v>НАБИВКА НГФ-С 16*16</x:v>
      </x:c>
      <x:c r="D67" s="16" t="str">
        <x:v>Асбо-технические изд</x:v>
      </x:c>
      <x:c r="E67" s="16" t="str">
        <x:v>КГ</x:v>
      </x:c>
      <x:c r="F67" s="30" t="n">
        <x:v>0.06</x:v>
      </x:c>
      <x:c r="G67" s="17" t="n">
        <x:v>686.25</x:v>
      </x:c>
      <x:c r="H67" s="17" t="n">
        <x:f>G67*F67</x:f>
        <x:v>41.175</x:v>
      </x:c>
      <x:c r="I67" s="26" t="str">
        <x:f>HYPERLINK("https://etp-aktiv.ru/catalog/materialy/asbo-tekhnicheskie-izdeliya/2000140381-W111/","Открыть позицию")</x:f>
        <x:v>Открыть позицию</x:v>
      </x:c>
    </x:row>
    <x:row r="68" ht="28" customHeight="1">
      <x:c r="A68" s="16" t="str">
        <x:v>Барнаульская ТЭЦ-2</x:v>
      </x:c>
      <x:c r="B68" s="16" t="str">
        <x:v>2000140374-W111</x:v>
      </x:c>
      <x:c r="C68" s="16" t="str">
        <x:v>НАБИВКА НГФ-С 6*6ММ</x:v>
      </x:c>
      <x:c r="D68" s="16" t="str">
        <x:v>Асбо-технические изд</x:v>
      </x:c>
      <x:c r="E68" s="16" t="str">
        <x:v>КГ</x:v>
      </x:c>
      <x:c r="F68" s="24" t="n">
        <x:v>12.71</x:v>
      </x:c>
      <x:c r="G68" s="17" t="n">
        <x:v>613.477</x:v>
      </x:c>
      <x:c r="H68" s="17" t="n">
        <x:f>G68*F68</x:f>
        <x:v>7797.29267</x:v>
      </x:c>
      <x:c r="I68" s="26" t="str">
        <x:f>HYPERLINK("https://etp-aktiv.ru/catalog/materialy/asbo-tekhnicheskie-izdeliya/2000140374-W111/","Открыть позицию")</x:f>
        <x:v>Открыть позицию</x:v>
      </x:c>
    </x:row>
    <x:row r="69" ht="28" customHeight="1">
      <x:c r="A69" s="16" t="str">
        <x:v>Барнаульская ТЭЦ-2</x:v>
      </x:c>
      <x:c r="B69" s="16" t="str">
        <x:v>2000539165-W111</x:v>
      </x:c>
      <x:c r="C69" s="16" t="str">
        <x:v>НАБИВКА ОДНОСЛОЙНОЕ ПЛЕТЕНИЕ АГИ 13*13</x:v>
      </x:c>
      <x:c r="D69" s="16" t="str">
        <x:v>Асбо-технические изд</x:v>
      </x:c>
      <x:c r="E69" s="16" t="str">
        <x:v>КГ</x:v>
      </x:c>
      <x:c r="F69" s="24" t="n">
        <x:v>9.1</x:v>
      </x:c>
      <x:c r="G69" s="17" t="n">
        <x:v>287.3588</x:v>
      </x:c>
      <x:c r="H69" s="17" t="n">
        <x:f>G69*F69</x:f>
        <x:v>2614.9650799999995</x:v>
      </x:c>
      <x:c r="I69" s="26" t="str">
        <x:f>HYPERLINK("https://etp-aktiv.ru/catalog/materialy/asbo-tekhnicheskie-izdeliya/2000539165-W111/","Открыть позицию")</x:f>
        <x:v>Открыть позицию</x:v>
      </x:c>
    </x:row>
    <x:row r="70" ht="28" customHeight="1">
      <x:c r="A70" s="16" t="str">
        <x:v>Барнаульская ТЭЦ-2</x:v>
      </x:c>
      <x:c r="B70" s="16" t="str">
        <x:v>2000539179-W111</x:v>
      </x:c>
      <x:c r="C70" s="16" t="str">
        <x:v>НАБИВКА ОДНОСЛОЙНОЕ ПЛЕТЕНИЕ АП-31 6*6</x:v>
      </x:c>
      <x:c r="D70" s="16" t="str">
        <x:v>Асбо-технические изд</x:v>
      </x:c>
      <x:c r="E70" s="16" t="str">
        <x:v>КГ</x:v>
      </x:c>
      <x:c r="F70" s="24" t="n">
        <x:v>1.415</x:v>
      </x:c>
      <x:c r="G70" s="17" t="n">
        <x:v>107.8968</x:v>
      </x:c>
      <x:c r="H70" s="17" t="n">
        <x:f>G70*F70</x:f>
        <x:v>152.673972</x:v>
      </x:c>
      <x:c r="I70" s="26" t="str">
        <x:f>HYPERLINK("https://etp-aktiv.ru/catalog/materialy/asbo-tekhnicheskie-izdeliya/2000539179-W111/","Открыть позицию")</x:f>
        <x:v>Открыть позицию</x:v>
      </x:c>
    </x:row>
    <x:row r="71" ht="28" customHeight="1">
      <x:c r="A71" s="16" t="str">
        <x:v>Барнаульская ТЭЦ-2</x:v>
      </x:c>
      <x:c r="B71" s="16" t="str">
        <x:v>2000570303-W111</x:v>
      </x:c>
      <x:c r="C71" s="16" t="str">
        <x:v>НАБИВКА САЛЬНИКОВАЯ 200М 13*13</x:v>
      </x:c>
      <x:c r="D71" s="16" t="str">
        <x:v>Асбо-технические изд</x:v>
      </x:c>
      <x:c r="E71" s="16" t="str">
        <x:v>КГ</x:v>
      </x:c>
      <x:c r="F71" s="24" t="n">
        <x:v>13.7</x:v>
      </x:c>
      <x:c r="G71" s="17" t="n">
        <x:v>471.31039999999996</x:v>
      </x:c>
      <x:c r="H71" s="17" t="n">
        <x:f>G71*F71</x:f>
        <x:v>6456.952479999999</x:v>
      </x:c>
      <x:c r="I71" s="26" t="str">
        <x:f>HYPERLINK("https://etp-aktiv.ru/catalog/materialy/asbo-tekhnicheskie-izdeliya/2000570303-W111/","Открыть позицию")</x:f>
        <x:v>Открыть позицию</x:v>
      </x:c>
    </x:row>
    <x:row r="72" ht="28" customHeight="1">
      <x:c r="A72" s="16" t="str">
        <x:v>Барнаульская ТЭЦ-2</x:v>
      </x:c>
      <x:c r="B72" s="16" t="str">
        <x:v>2000539260-W111</x:v>
      </x:c>
      <x:c r="C72" s="16" t="str">
        <x:v>НАБИВКА САЛЬНИКОВАЯ ГЕРМОРУМ С-500 14*14</x:v>
      </x:c>
      <x:c r="D72" s="16" t="str">
        <x:v>Асбо-технические изд</x:v>
      </x:c>
      <x:c r="E72" s="16" t="str">
        <x:v>КГ</x:v>
      </x:c>
      <x:c r="F72" s="24" t="n">
        <x:v>20.675</x:v>
      </x:c>
      <x:c r="G72" s="17" t="n">
        <x:v>1601.25</x:v>
      </x:c>
      <x:c r="H72" s="17" t="n">
        <x:f>G72*F72</x:f>
        <x:v>33105.84375</x:v>
      </x:c>
      <x:c r="I72" s="26" t="str">
        <x:f>HYPERLINK("https://etp-aktiv.ru/catalog/materialy/asbo-tekhnicheskie-izdeliya/2000539260-W111/","Открыть позицию")</x:f>
        <x:v>Открыть позицию</x:v>
      </x:c>
    </x:row>
    <x:row r="73" ht="28" customHeight="1">
      <x:c r="A73" s="16" t="str">
        <x:v>Барнаульская ТЭЦ-2</x:v>
      </x:c>
      <x:c r="B73" s="16" t="str">
        <x:v>2000539189-W111</x:v>
      </x:c>
      <x:c r="C73" s="16" t="str">
        <x:v>НАБИВКА СКВОЗНОЕ ПЛЕТЕНИЕ АПРПП 12*12</x:v>
      </x:c>
      <x:c r="D73" s="16" t="str">
        <x:v>Асбо-технические изд</x:v>
      </x:c>
      <x:c r="E73" s="16" t="str">
        <x:v>КГ</x:v>
      </x:c>
      <x:c r="F73" s="25" t="n">
        <x:v>84</x:v>
      </x:c>
      <x:c r="G73" s="17" t="n">
        <x:v>607.8772</x:v>
      </x:c>
      <x:c r="H73" s="17" t="n">
        <x:f>G73*F73</x:f>
        <x:v>51061.6848</x:v>
      </x:c>
      <x:c r="I73" s="26" t="str">
        <x:f>HYPERLINK("https://etp-aktiv.ru/catalog/materialy/asbo-tekhnicheskie-izdeliya/2000539189-W111/","Открыть позицию")</x:f>
        <x:v>Открыть позицию</x:v>
      </x:c>
    </x:row>
    <x:row r="74" ht="28" customHeight="1">
      <x:c r="A74" s="16" t="str">
        <x:v>Барнаульская ТЭЦ-2</x:v>
      </x:c>
      <x:c r="B74" s="16" t="str">
        <x:v>2000539190-W111</x:v>
      </x:c>
      <x:c r="C74" s="16" t="str">
        <x:v>НАБИВКА СКВОЗНОЕ ПЛЕТЕНИЕ АПРПП 14*14</x:v>
      </x:c>
      <x:c r="D74" s="16" t="str">
        <x:v>Асбо-технические изд</x:v>
      </x:c>
      <x:c r="E74" s="16" t="str">
        <x:v>КГ</x:v>
      </x:c>
      <x:c r="F74" s="24" t="n">
        <x:v>39.25</x:v>
      </x:c>
      <x:c r="G74" s="17" t="n">
        <x:v>478.26439999999997</x:v>
      </x:c>
      <x:c r="H74" s="17" t="n">
        <x:f>G74*F74</x:f>
        <x:v>18771.877699999997</x:v>
      </x:c>
      <x:c r="I74" s="26" t="str">
        <x:f>HYPERLINK("https://etp-aktiv.ru/catalog/materialy/asbo-tekhnicheskie-izdeliya/2000539190-W111/","Открыть позицию")</x:f>
        <x:v>Открыть позицию</x:v>
      </x:c>
    </x:row>
    <x:row r="75" ht="28" customHeight="1">
      <x:c r="A75" s="16" t="str">
        <x:v>Барнаульская ТЭЦ-2</x:v>
      </x:c>
      <x:c r="B75" s="16" t="str">
        <x:v>2000539192-W111</x:v>
      </x:c>
      <x:c r="C75" s="16" t="str">
        <x:v>НАБИВКА СКВОЗНОЕ ПЛЕТЕНИЕ АПРПС 10*10</x:v>
      </x:c>
      <x:c r="D75" s="16" t="str">
        <x:v>Асбо-технические изд</x:v>
      </x:c>
      <x:c r="E75" s="16" t="str">
        <x:v>КГ</x:v>
      </x:c>
      <x:c r="F75" s="24" t="n">
        <x:v>3.9</x:v>
      </x:c>
      <x:c r="G75" s="17" t="n">
        <x:v>594.7378</x:v>
      </x:c>
      <x:c r="H75" s="17" t="n">
        <x:f>G75*F75</x:f>
        <x:v>2319.4774199999997</x:v>
      </x:c>
      <x:c r="I75" s="26" t="str">
        <x:f>HYPERLINK("https://etp-aktiv.ru/catalog/materialy/asbo-tekhnicheskie-izdeliya/2000539192-W111/","Открыть позицию")</x:f>
        <x:v>Открыть позицию</x:v>
      </x:c>
    </x:row>
    <x:row r="76" ht="28" customHeight="1">
      <x:c r="A76" s="16" t="str">
        <x:v>Барнаульская ТЭЦ-2</x:v>
      </x:c>
      <x:c r="B76" s="16" t="str">
        <x:v>2000539193-W111</x:v>
      </x:c>
      <x:c r="C76" s="16" t="str">
        <x:v>НАБИВКА СКВОЗНОЕ ПЛЕТЕНИЕ АПРПС 14*14</x:v>
      </x:c>
      <x:c r="D76" s="16" t="str">
        <x:v>Асбо-технические изд</x:v>
      </x:c>
      <x:c r="E76" s="16" t="str">
        <x:v>КГ</x:v>
      </x:c>
      <x:c r="F76" s="24" t="n">
        <x:v>1.9</x:v>
      </x:c>
      <x:c r="G76" s="17" t="n">
        <x:v>643.8793999999999</x:v>
      </x:c>
      <x:c r="H76" s="17" t="n">
        <x:f>G76*F76</x:f>
        <x:v>1223.3708599999998</x:v>
      </x:c>
      <x:c r="I76" s="26" t="str">
        <x:f>HYPERLINK("https://etp-aktiv.ru/catalog/materialy/asbo-tekhnicheskie-izdeliya/2000539193-W111/","Открыть позицию")</x:f>
        <x:v>Открыть позицию</x:v>
      </x:c>
    </x:row>
    <x:row r="77" ht="28" customHeight="1">
      <x:c r="A77" s="16" t="str">
        <x:v>Барнаульская ТЭЦ-2</x:v>
      </x:c>
      <x:c r="B77" s="16" t="str">
        <x:v>2000165589-W111</x:v>
      </x:c>
      <x:c r="C77" s="16" t="str">
        <x:v>НАБИВКА ХБП-31 8*8ММ</x:v>
      </x:c>
      <x:c r="D77" s="16" t="str">
        <x:v>Асбо-технические изд</x:v>
      </x:c>
      <x:c r="E77" s="16" t="str">
        <x:v>КГ</x:v>
      </x:c>
      <x:c r="F77" s="30" t="n">
        <x:v>0.1</x:v>
      </x:c>
      <x:c r="G77" s="17" t="n">
        <x:v>219.8806</x:v>
      </x:c>
      <x:c r="H77" s="17" t="n">
        <x:f>G77*F77</x:f>
        <x:v>21.98806</x:v>
      </x:c>
      <x:c r="I77" s="26" t="str">
        <x:f>HYPERLINK("https://etp-aktiv.ru/catalog/materialy/asbo-tekhnicheskie-izdeliya/2000165589-W111/","Открыть позицию")</x:f>
        <x:v>Открыть позицию</x:v>
      </x:c>
    </x:row>
    <x:row r="78" ht="28" customHeight="1">
      <x:c r="A78" s="16" t="str">
        <x:v>Барнаульская ТЭЦ-2</x:v>
      </x:c>
      <x:c r="B78" s="16" t="str">
        <x:v>2000146477-W111</x:v>
      </x:c>
      <x:c r="C78" s="16" t="str">
        <x:v>ПАРОНИТ ПМБ 1,0ММ 1,0*1,5</x:v>
      </x:c>
      <x:c r="D78" s="16" t="str">
        <x:v>Асбо-технические изд</x:v>
      </x:c>
      <x:c r="E78" s="16" t="str">
        <x:v>КГ</x:v>
      </x:c>
      <x:c r="F78" s="24" t="n">
        <x:v>23.1</x:v>
      </x:c>
      <x:c r="G78" s="17" t="n">
        <x:v>72.0288</x:v>
      </x:c>
      <x:c r="H78" s="17" t="n">
        <x:f>G78*F78</x:f>
        <x:v>1663.8652800000002</x:v>
      </x:c>
      <x:c r="I78" s="26" t="str">
        <x:f>HYPERLINK("https://etp-aktiv.ru/catalog/materialy/asbo-tekhnicheskie-izdeliya/2000146477-W111/","Открыть позицию")</x:f>
        <x:v>Открыть позицию</x:v>
      </x:c>
    </x:row>
    <x:row r="79" ht="28" customHeight="1">
      <x:c r="A79" s="16" t="str">
        <x:v>Барнаульская ТЭЦ-2</x:v>
      </x:c>
      <x:c r="B79" s="16" t="str">
        <x:v>2000569908-W111</x:v>
      </x:c>
      <x:c r="C79" s="16" t="str">
        <x:v>ПАРОНИТ ПОН-Б 0,5*1000*1500 ГОСТ481</x:v>
      </x:c>
      <x:c r="D79" s="16" t="str">
        <x:v>Асбо-технические изд</x:v>
      </x:c>
      <x:c r="E79" s="16" t="str">
        <x:v>КГ</x:v>
      </x:c>
      <x:c r="F79" s="24" t="n">
        <x:v>9.68</x:v>
      </x:c>
      <x:c r="G79" s="17" t="n">
        <x:v>64.172</x:v>
      </x:c>
      <x:c r="H79" s="17" t="n">
        <x:f>G79*F79</x:f>
        <x:v>621.1849599999999</x:v>
      </x:c>
      <x:c r="I79" s="26" t="str">
        <x:f>HYPERLINK("https://etp-aktiv.ru/catalog/materialy/asbo-tekhnicheskie-izdeliya/2000569908-W111/","Открыть позицию")</x:f>
        <x:v>Открыть позицию</x:v>
      </x:c>
    </x:row>
    <x:row r="80" ht="28" customHeight="1">
      <x:c r="A80" s="16" t="str">
        <x:v>Барнаульская ТЭЦ-2</x:v>
      </x:c>
      <x:c r="B80" s="16" t="str">
        <x:v>2000138950-W111</x:v>
      </x:c>
      <x:c r="C80" s="16" t="str">
        <x:v>ПЛАСТИНА СМОГ 160*24ММ</x:v>
      </x:c>
      <x:c r="D80" s="16" t="str">
        <x:v>Э/изоляцион мат-лы</x:v>
      </x:c>
      <x:c r="E80" s="16" t="str">
        <x:v>ШТ</x:v>
      </x:c>
      <x:c r="F80" s="25" t="n">
        <x:v>100</x:v>
      </x:c>
      <x:c r="G80" s="17" t="n">
        <x:v>116.29039999999999</x:v>
      </x:c>
      <x:c r="H80" s="17" t="n">
        <x:f>G80*F80</x:f>
        <x:v>11629.039999999999</x:v>
      </x:c>
      <x:c r="I80" s="26" t="str">
        <x:f>HYPERLINK("https://etp-aktiv.ru/catalog/materialy/ehlektroizolyacionnye-materialy/2000138950-W111/","Открыть позицию")</x:f>
        <x:v>Открыть позицию</x:v>
      </x:c>
    </x:row>
    <x:row r="81" ht="28" customHeight="1">
      <x:c r="A81" s="16" t="str">
        <x:v>Барнаульская ТЭЦ-2</x:v>
      </x:c>
      <x:c r="B81" s="16" t="str">
        <x:v>2000546655-W111</x:v>
      </x:c>
      <x:c r="C81" s="16" t="str">
        <x:v>РЕМЕНЬ B(Б) 2000</x:v>
      </x:c>
      <x:c r="D81" s="16" t="str">
        <x:v>Проч резино-тех изд</x:v>
      </x:c>
      <x:c r="E81" s="16" t="str">
        <x:v>ШТ</x:v>
      </x:c>
      <x:c r="F81" s="25" t="n">
        <x:v>2</x:v>
      </x:c>
      <x:c r="G81" s="17" t="n">
        <x:v>80.58099999999999</x:v>
      </x:c>
      <x:c r="H81" s="17" t="n">
        <x:f>G81*F81</x:f>
        <x:v>161.16199999999998</x:v>
      </x:c>
      <x:c r="I81" s="26" t="str">
        <x:f>HYPERLINK("https://etp-aktiv.ru/catalog/materialy/rezino-tekhnicheskie-izdeliya/2000546655-W111/","Открыть позицию")</x:f>
        <x:v>Открыть позицию</x:v>
      </x:c>
    </x:row>
    <x:row r="82" ht="28" customHeight="1">
      <x:c r="A82" s="16" t="str">
        <x:v>Барнаульская ТЭЦ-2</x:v>
      </x:c>
      <x:c r="B82" s="16" t="str">
        <x:v>2000546657-W111</x:v>
      </x:c>
      <x:c r="C82" s="16" t="str">
        <x:v>РЕМЕНЬ B(Б) 2240</x:v>
      </x:c>
      <x:c r="D82" s="16" t="str">
        <x:v>Проч резино-тех изд</x:v>
      </x:c>
      <x:c r="E82" s="16" t="str">
        <x:v>ШТ</x:v>
      </x:c>
      <x:c r="F82" s="25" t="n">
        <x:v>3</x:v>
      </x:c>
      <x:c r="G82" s="17" t="n">
        <x:v>91.4268</x:v>
      </x:c>
      <x:c r="H82" s="17" t="n">
        <x:f>G82*F82</x:f>
        <x:v>274.2804</x:v>
      </x:c>
      <x:c r="I82" s="26" t="str">
        <x:f>HYPERLINK("https://etp-aktiv.ru/catalog/materialy/rezino-tekhnicheskie-izdeliya/2000546657-W111/","Открыть позицию")</x:f>
        <x:v>Открыть позицию</x:v>
      </x:c>
    </x:row>
    <x:row r="83" ht="28" customHeight="1">
      <x:c r="A83" s="16" t="str">
        <x:v>Барнаульская ТЭЦ-2</x:v>
      </x:c>
      <x:c r="B83" s="16" t="str">
        <x:v>2000546666-W111</x:v>
      </x:c>
      <x:c r="C83" s="16" t="str">
        <x:v>РЕМЕНЬ C(В) 2120</x:v>
      </x:c>
      <x:c r="D83" s="16" t="str">
        <x:v>Проч резино-тех изд</x:v>
      </x:c>
      <x:c r="E83" s="16" t="str">
        <x:v>ШТ</x:v>
      </x:c>
      <x:c r="F83" s="25" t="n">
        <x:v>3</x:v>
      </x:c>
      <x:c r="G83" s="17" t="n">
        <x:v>131.9186</x:v>
      </x:c>
      <x:c r="H83" s="17" t="n">
        <x:f>G83*F83</x:f>
        <x:v>395.7558</x:v>
      </x:c>
      <x:c r="I83" s="26" t="str">
        <x:f>HYPERLINK("https://etp-aktiv.ru/catalog/materialy/rezino-tekhnicheskie-izdeliya/2000546666-W111/","Открыть позицию")</x:f>
        <x:v>Открыть позицию</x:v>
      </x:c>
    </x:row>
    <x:row r="84" ht="28" customHeight="1">
      <x:c r="A84" s="16" t="str">
        <x:v>Барнаульская ТЭЦ-2</x:v>
      </x:c>
      <x:c r="B84" s="16" t="str">
        <x:v>2000546668-W111</x:v>
      </x:c>
      <x:c r="C84" s="16" t="str">
        <x:v>РЕМЕНЬ C(В) 2500</x:v>
      </x:c>
      <x:c r="D84" s="16" t="str">
        <x:v>Проч резино-тех изд</x:v>
      </x:c>
      <x:c r="E84" s="16" t="str">
        <x:v>ШТ</x:v>
      </x:c>
      <x:c r="F84" s="25" t="n">
        <x:v>4</x:v>
      </x:c>
      <x:c r="G84" s="17" t="n">
        <x:v>167.11559999999997</x:v>
      </x:c>
      <x:c r="H84" s="17" t="n">
        <x:f>G84*F84</x:f>
        <x:v>668.4623999999999</x:v>
      </x:c>
      <x:c r="I84" s="26" t="str">
        <x:f>HYPERLINK("https://etp-aktiv.ru/catalog/materialy/rezino-tekhnicheskie-izdeliya/2000546668-W111/","Открыть позицию")</x:f>
        <x:v>Открыть позицию</x:v>
      </x:c>
    </x:row>
    <x:row r="85" ht="28" customHeight="1">
      <x:c r="A85" s="16" t="str">
        <x:v>Барнаульская ТЭЦ-2</x:v>
      </x:c>
      <x:c r="B85" s="16" t="str">
        <x:v>2000546632-W111</x:v>
      </x:c>
      <x:c r="C85" s="16" t="str">
        <x:v>РЕМЕНЬ А 2120</x:v>
      </x:c>
      <x:c r="D85" s="16" t="str">
        <x:v>Проч резино-тех изд</x:v>
      </x:c>
      <x:c r="E85" s="16" t="str">
        <x:v>ШТ</x:v>
      </x:c>
      <x:c r="F85" s="25" t="n">
        <x:v>10</x:v>
      </x:c>
      <x:c r="G85" s="17" t="n">
        <x:v>74.2126</x:v>
      </x:c>
      <x:c r="H85" s="17" t="n">
        <x:f>G85*F85</x:f>
        <x:v>742.126</x:v>
      </x:c>
      <x:c r="I85" s="26" t="str">
        <x:f>HYPERLINK("https://etp-aktiv.ru/catalog/materialy/rezino-tekhnicheskie-izdeliya/2000546632-W111/","Открыть позицию")</x:f>
        <x:v>Открыть позицию</x:v>
      </x:c>
    </x:row>
    <x:row r="86" ht="28" customHeight="1">
      <x:c r="A86" s="16" t="str">
        <x:v>Барнаульская ТЭЦ-2</x:v>
      </x:c>
      <x:c r="B86" s="16" t="str">
        <x:v>2000038246-W111</x:v>
      </x:c>
      <x:c r="C86" s="16" t="str">
        <x:v>РЕМЕНЬ КЛИНОВОЙ В(Б)-2120</x:v>
      </x:c>
      <x:c r="D86" s="16" t="str">
        <x:v>Проч резино-тех изд</x:v>
      </x:c>
      <x:c r="E86" s="16" t="str">
        <x:v>ШТ</x:v>
      </x:c>
      <x:c r="F86" s="25" t="n">
        <x:v>1</x:v>
      </x:c>
      <x:c r="G86" s="17" t="n">
        <x:v>92.6468</x:v>
      </x:c>
      <x:c r="H86" s="17" t="n">
        <x:f>G86*F86</x:f>
        <x:v>92.6468</x:v>
      </x:c>
      <x:c r="I86" s="26" t="str">
        <x:f>HYPERLINK("https://etp-aktiv.ru/catalog/materialy/rezino-tekhnicheskie-izdeliya/2000038246-W111/","Открыть позицию")</x:f>
        <x:v>Открыть позицию</x:v>
      </x:c>
    </x:row>
    <x:row r="87" ht="28" customHeight="1">
      <x:c r="A87" s="16" t="str">
        <x:v>Барнаульская ТЭЦ-2</x:v>
      </x:c>
      <x:c r="B87" s="16" t="str">
        <x:v>2000547182-W111</x:v>
      </x:c>
      <x:c r="C87" s="16" t="str">
        <x:v>РУКАВ ВГ(III)-10-50-69 ГОСТ18698-79</x:v>
      </x:c>
      <x:c r="D87" s="16" t="str">
        <x:v>РТИ и прч спец.заказ</x:v>
      </x:c>
      <x:c r="E87" s="16" t="str">
        <x:v>ПМ</x:v>
      </x:c>
      <x:c r="F87" s="25" t="n">
        <x:v>10</x:v>
      </x:c>
      <x:c r="G87" s="17" t="n">
        <x:v>416.95939999999996</x:v>
      </x:c>
      <x:c r="H87" s="17" t="n">
        <x:f>G87*F87</x:f>
        <x:v>4169.593999999999</x:v>
      </x:c>
      <x:c r="I87" s="26" t="str">
        <x:f>HYPERLINK("https://etp-aktiv.ru/catalog/materialy/rezino-tekhnicheskie-izdeliya/2000547182-W111/","Открыть позицию")</x:f>
        <x:v>Открыть позицию</x:v>
      </x:c>
    </x:row>
    <x:row r="88" ht="28" customHeight="1">
      <x:c r="A88" s="16" t="str">
        <x:v>Барнаульская ТЭЦ-2</x:v>
      </x:c>
      <x:c r="B88" s="16" t="str">
        <x:v>2000548586-W111</x:v>
      </x:c>
      <x:c r="C88" s="16" t="str">
        <x:v>СИНТОФЛЕКС(ПЛЕН/СИНТ/КАРТ) 515П 0,25*900</x:v>
      </x:c>
      <x:c r="D88" s="16" t="str">
        <x:v>Э/изоляцион мат-лы</x:v>
      </x:c>
      <x:c r="E88" s="16" t="str">
        <x:v>ПМ</x:v>
      </x:c>
      <x:c r="F88" s="24" t="n">
        <x:v>34.023</x:v>
      </x:c>
      <x:c r="G88" s="17" t="n">
        <x:v>431.7946</x:v>
      </x:c>
      <x:c r="H88" s="17" t="n">
        <x:f>G88*F88</x:f>
        <x:v>14690.947675800002</x:v>
      </x:c>
      <x:c r="I88" s="26" t="str">
        <x:f>HYPERLINK("https://etp-aktiv.ru/catalog/materialy/ehlektroizolyacionnye-materialy/2000548586-W111/","Открыть позицию")</x:f>
        <x:v>Открыть позицию</x:v>
      </x:c>
    </x:row>
    <x:row r="89" ht="28" customHeight="1">
      <x:c r="A89" s="16" t="str">
        <x:v>Барнаульская ТЭЦ-2</x:v>
      </x:c>
      <x:c r="B89" s="16" t="str">
        <x:v>2000158603-W111</x:v>
      </x:c>
      <x:c r="C89" s="16" t="str">
        <x:v>СТ/ТЕКСТОЛИТ СТЭФ-1 0,5ММ</x:v>
      </x:c>
      <x:c r="D89" s="16" t="str">
        <x:v>Э/изоляцион мат-лы</x:v>
      </x:c>
      <x:c r="E89" s="16" t="str">
        <x:v>КГ</x:v>
      </x:c>
      <x:c r="F89" s="30" t="n">
        <x:v>0.92</x:v>
      </x:c>
      <x:c r="G89" s="17" t="n">
        <x:v>325.008</x:v>
      </x:c>
      <x:c r="H89" s="17" t="n">
        <x:f>G89*F89</x:f>
        <x:v>299.00736</x:v>
      </x:c>
      <x:c r="I89" s="26" t="str">
        <x:f>HYPERLINK("https://etp-aktiv.ru/catalog/materialy/ehlektroizolyacionnye-materialy/2000158603-W111/","Открыть позицию")</x:f>
        <x:v>Открыть позицию</x:v>
      </x:c>
    </x:row>
    <x:row r="90" ht="28" customHeight="1">
      <x:c r="A90" s="16" t="str">
        <x:v>Барнаульская ТЭЦ-2</x:v>
      </x:c>
      <x:c r="B90" s="16" t="str">
        <x:v>2000041415-W111</x:v>
      </x:c>
      <x:c r="C90" s="16" t="str">
        <x:v>СТЕКЛО ЖИДКОЕ ГОСТ13078-81</x:v>
      </x:c>
      <x:c r="D90" s="16" t="str">
        <x:v>Огнеупорные мат-лы</x:v>
      </x:c>
      <x:c r="E90" s="16" t="str">
        <x:v>КГ</x:v>
      </x:c>
      <x:c r="F90" s="24" t="n">
        <x:v>20.08</x:v>
      </x:c>
      <x:c r="G90" s="17" t="n">
        <x:v>24.461000000000002</x:v>
      </x:c>
      <x:c r="H90" s="17" t="n">
        <x:f>G90*F90</x:f>
        <x:v>491.17688</x:v>
      </x:c>
      <x:c r="I90" s="26" t="str">
        <x:f>HYPERLINK("https://etp-aktiv.ru/catalog/materialy/ogneupornye-materialy/2000041415-W111/","Открыть позицию")</x:f>
        <x:v>Открыть позицию</x:v>
      </x:c>
    </x:row>
    <x:row r="91" ht="28" customHeight="1">
      <x:c r="A91" s="16" t="str">
        <x:v>Барнаульская ТЭЦ-2</x:v>
      </x:c>
      <x:c r="B91" s="16" t="str">
        <x:v>2000549083-W111</x:v>
      </x:c>
      <x:c r="C91" s="16" t="str">
        <x:v>СТЕКЛОТКАНЬ Т-23Р 0,27</x:v>
      </x:c>
      <x:c r="D91" s="16" t="str">
        <x:v>Теплоизоляция</x:v>
      </x:c>
      <x:c r="E91" s="16" t="str">
        <x:v>М2</x:v>
      </x:c>
      <x:c r="F91" s="24" t="n">
        <x:v>84.18</x:v>
      </x:c>
      <x:c r="G91" s="17" t="n">
        <x:v>41.0896</x:v>
      </x:c>
      <x:c r="H91" s="17" t="n">
        <x:f>G91*F91</x:f>
        <x:v>3458.922528</x:v>
      </x:c>
      <x:c r="I91" s="26" t="str">
        <x:f>HYPERLINK("https://etp-aktiv.ru/catalog/materialy/teploizolyaciya/2000549083-W111/","Открыть позицию")</x:f>
        <x:v>Открыть позицию</x:v>
      </x:c>
    </x:row>
    <x:row r="92" ht="28" customHeight="1">
      <x:c r="A92" s="16" t="str">
        <x:v>Барнаульская ТЭЦ-2</x:v>
      </x:c>
      <x:c r="B92" s="16" t="str">
        <x:v>2000138992-W111</x:v>
      </x:c>
      <x:c r="C92" s="16" t="str">
        <x:v>СТЕКЛОХОЛСТ Т-23</x:v>
      </x:c>
      <x:c r="D92" s="16" t="str">
        <x:v>Теплоизоляция</x:v>
      </x:c>
      <x:c r="E92" s="16" t="str">
        <x:v>М2</x:v>
      </x:c>
      <x:c r="F92" s="24" t="n">
        <x:v>29.85</x:v>
      </x:c>
      <x:c r="G92" s="17" t="n">
        <x:v>62.8666</x:v>
      </x:c>
      <x:c r="H92" s="17" t="n">
        <x:f>G92*F92</x:f>
        <x:v>1876.56801</x:v>
      </x:c>
      <x:c r="I92" s="26" t="str">
        <x:f>HYPERLINK("https://etp-aktiv.ru/catalog/materialy/teploizolyaciya/2000138992-W111/","Открыть позицию")</x:f>
        <x:v>Открыть позицию</x:v>
      </x:c>
    </x:row>
    <x:row r="93" ht="28" customHeight="1">
      <x:c r="A93" s="16" t="str">
        <x:v>Барнаульская ТЭЦ-2</x:v>
      </x:c>
      <x:c r="B93" s="16" t="str">
        <x:v>2000548627-W111</x:v>
      </x:c>
      <x:c r="C93" s="16" t="str">
        <x:v>СТЕРЖЕНЬ ФТОРОПЛАСТ Ф-4 25*1000ММ</x:v>
      </x:c>
      <x:c r="D93" s="16" t="str">
        <x:v>Э/изоляцион мат-лы</x:v>
      </x:c>
      <x:c r="E93" s="16" t="str">
        <x:v>КГ</x:v>
      </x:c>
      <x:c r="F93" s="24" t="n">
        <x:v>19.34</x:v>
      </x:c>
      <x:c r="G93" s="17" t="n">
        <x:v>276.1836</x:v>
      </x:c>
      <x:c r="H93" s="17" t="n">
        <x:f>G93*F93</x:f>
        <x:v>5341.390824</x:v>
      </x:c>
      <x:c r="I93" s="26" t="str">
        <x:f>HYPERLINK("https://etp-aktiv.ru/catalog/materialy/ehlektroizolyacionnye-materialy/2000548627-W111/","Открыть позицию")</x:f>
        <x:v>Открыть позицию</x:v>
      </x:c>
    </x:row>
    <x:row r="94" ht="28" customHeight="1">
      <x:c r="A94" s="16" t="str">
        <x:v>Барнаульская ТЭЦ-2</x:v>
      </x:c>
      <x:c r="B94" s="16" t="str">
        <x:v>2000548640-W111</x:v>
      </x:c>
      <x:c r="C94" s="16" t="str">
        <x:v>ТЕКСТОЛИТ А 1С 10ММ ГОСТ2910-74</x:v>
      </x:c>
      <x:c r="D94" s="16" t="str">
        <x:v>Э/изоляцион мат-лы</x:v>
      </x:c>
      <x:c r="E94" s="16" t="str">
        <x:v>КГ</x:v>
      </x:c>
      <x:c r="F94" s="24" t="n">
        <x:v>13.68</x:v>
      </x:c>
      <x:c r="G94" s="17" t="n">
        <x:v>247.04999999999998</x:v>
      </x:c>
      <x:c r="H94" s="17" t="n">
        <x:f>G94*F94</x:f>
        <x:v>3379.644</x:v>
      </x:c>
      <x:c r="I94" s="26" t="str">
        <x:f>HYPERLINK("https://etp-aktiv.ru/catalog/materialy/ehlektroizolyacionnye-materialy/2000548640-W111/","Открыть позицию")</x:f>
        <x:v>Открыть позицию</x:v>
      </x:c>
    </x:row>
    <x:row r="95" ht="28" customHeight="1">
      <x:c r="A95" s="16" t="str">
        <x:v>Барнаульская ТЭЦ-2</x:v>
      </x:c>
      <x:c r="B95" s="16" t="str">
        <x:v>2000042075-W111</x:v>
      </x:c>
      <x:c r="C95" s="16" t="str">
        <x:v>ТЕКСТОЛИТ А 3ММ</x:v>
      </x:c>
      <x:c r="D95" s="16" t="str">
        <x:v>Э/изоляцион мат-лы</x:v>
      </x:c>
      <x:c r="E95" s="16" t="str">
        <x:v>КГ</x:v>
      </x:c>
      <x:c r="F95" s="24" t="n">
        <x:v>3.39</x:v>
      </x:c>
      <x:c r="G95" s="17" t="n">
        <x:v>245.5006</x:v>
      </x:c>
      <x:c r="H95" s="17" t="n">
        <x:f>G95*F95</x:f>
        <x:v>832.247034</x:v>
      </x:c>
      <x:c r="I95" s="26" t="str">
        <x:f>HYPERLINK("https://etp-aktiv.ru/catalog/materialy/ehlektroizolyacionnye-materialy/2000042075-W111/","Открыть позицию")</x:f>
        <x:v>Открыть позицию</x:v>
      </x:c>
    </x:row>
    <x:row r="96" ht="28" customHeight="1">
      <x:c r="A96" s="16" t="str">
        <x:v>Барнаульская ТЭЦ-2</x:v>
      </x:c>
      <x:c r="B96" s="16" t="str">
        <x:v>2000546994-W111</x:v>
      </x:c>
      <x:c r="C96" s="16" t="str">
        <x:v>ТЕХПЛАСТИНА 3 2Н-I-ТМКЩ-С ГОСТ7338-90</x:v>
      </x:c>
      <x:c r="D96" s="16" t="str">
        <x:v>Проч резино-тех изд</x:v>
      </x:c>
      <x:c r="E96" s="16" t="str">
        <x:v>КГ</x:v>
      </x:c>
      <x:c r="F96" s="24" t="n">
        <x:v>30.26</x:v>
      </x:c>
      <x:c r="G96" s="17" t="n">
        <x:v>42.492599999999996</x:v>
      </x:c>
      <x:c r="H96" s="17" t="n">
        <x:f>G96*F96</x:f>
        <x:v>1285.8260759999998</x:v>
      </x:c>
      <x:c r="I96" s="26" t="str">
        <x:f>HYPERLINK("https://etp-aktiv.ru/catalog/materialy/rezino-tekhnicheskie-izdeliya/2000546994-W111/","Открыть позицию")</x:f>
        <x:v>Открыть позицию</x:v>
      </x:c>
    </x:row>
    <x:row r="97" ht="28" customHeight="1">
      <x:c r="A97" s="16" t="str">
        <x:v>Барнаульская ТЭЦ-2</x:v>
      </x:c>
      <x:c r="B97" s="16" t="str">
        <x:v>2000147834-W111</x:v>
      </x:c>
      <x:c r="C97" s="16" t="str">
        <x:v>ТЕХПЛАСТИНА 3*1000*1000 МБС-С ГОСТ7338</x:v>
      </x:c>
      <x:c r="D97" s="16" t="str">
        <x:v>Проч резино-тех изд</x:v>
      </x:c>
      <x:c r="E97" s="16" t="str">
        <x:v>КГ</x:v>
      </x:c>
      <x:c r="F97" s="24" t="n">
        <x:v>6.1</x:v>
      </x:c>
      <x:c r="G97" s="17" t="n">
        <x:v>169.75079999999997</x:v>
      </x:c>
      <x:c r="H97" s="17" t="n">
        <x:f>G97*F97</x:f>
        <x:v>1035.4798799999999</x:v>
      </x:c>
      <x:c r="I97" s="26" t="str">
        <x:f>HYPERLINK("https://etp-aktiv.ru/catalog/materialy/rezino-tekhnicheskie-izdeliya/2000147834-W111/","Открыть позицию")</x:f>
        <x:v>Открыть позицию</x:v>
      </x:c>
    </x:row>
    <x:row r="98" ht="28" customHeight="1">
      <x:c r="A98" s="16" t="str">
        <x:v>Барнаульская ТЭЦ-2</x:v>
      </x:c>
      <x:c r="B98" s="16" t="str">
        <x:v>2000546996-W111</x:v>
      </x:c>
      <x:c r="C98" s="16" t="str">
        <x:v>ТЕХПЛАСТИНА 50 2Ф-I ТМКЩ-С ГОСТ7338-90</x:v>
      </x:c>
      <x:c r="D98" s="16" t="str">
        <x:v>Проч резино-тех изд</x:v>
      </x:c>
      <x:c r="E98" s="16" t="str">
        <x:v>КГ</x:v>
      </x:c>
      <x:c r="F98" s="24" t="n">
        <x:v>23.9</x:v>
      </x:c>
      <x:c r="G98" s="17" t="n">
        <x:v>81.19099999999999</x:v>
      </x:c>
      <x:c r="H98" s="17" t="n">
        <x:f>G98*F98</x:f>
        <x:v>1940.4648999999997</x:v>
      </x:c>
      <x:c r="I98" s="26" t="str">
        <x:f>HYPERLINK("https://etp-aktiv.ru/catalog/materialy/rezino-tekhnicheskie-izdeliya/2000546996-W111/","Открыть позицию")</x:f>
        <x:v>Открыть позицию</x:v>
      </x:c>
    </x:row>
    <x:row r="99" ht="28" customHeight="1">
      <x:c r="A99" s="16" t="str">
        <x:v>Барнаульская ТЭЦ-2</x:v>
      </x:c>
      <x:c r="B99" s="16" t="str">
        <x:v>2000549102-W111</x:v>
      </x:c>
      <x:c r="C99" s="16" t="str">
        <x:v>ТКАНЬ КРЕМНЕЗЕМ КТ-11</x:v>
      </x:c>
      <x:c r="D99" s="16" t="str">
        <x:v>Теплоизоляция</x:v>
      </x:c>
      <x:c r="E99" s="16" t="str">
        <x:v>М2</x:v>
      </x:c>
      <x:c r="F99" s="24" t="n">
        <x:v>4.926</x:v>
      </x:c>
      <x:c r="G99" s="17" t="n">
        <x:v>285.0896</x:v>
      </x:c>
      <x:c r="H99" s="17" t="n">
        <x:f>G99*F99</x:f>
        <x:v>1404.3513696000002</x:v>
      </x:c>
      <x:c r="I99" s="26" t="str">
        <x:f>HYPERLINK("https://etp-aktiv.ru/catalog/materialy/teploizolyaciya/2000549102-W111/","Открыть позицию")</x:f>
        <x:v>Открыть позицию</x:v>
      </x:c>
    </x:row>
    <x:row r="100" ht="28" customHeight="1">
      <x:c r="A100" s="16" t="str">
        <x:v>Барнаульская ТЭЦ-2</x:v>
      </x:c>
      <x:c r="B100" s="16" t="str">
        <x:v>2000628538-W111</x:v>
      </x:c>
      <x:c r="C100" s="16" t="str">
        <x:v>ШНУР 1-2 T 8 ГOСT6467-79</x:v>
      </x:c>
      <x:c r="D100" s="16" t="str">
        <x:v>Проч резино-тех изд</x:v>
      </x:c>
      <x:c r="E100" s="16" t="str">
        <x:v>КГ</x:v>
      </x:c>
      <x:c r="F100" s="24" t="n">
        <x:v>23.85</x:v>
      </x:c>
      <x:c r="G100" s="17" t="n">
        <x:v>111.996</x:v>
      </x:c>
      <x:c r="H100" s="17" t="n">
        <x:f>G100*F100</x:f>
        <x:v>2671.1046</x:v>
      </x:c>
      <x:c r="I100" s="26" t="str">
        <x:f>HYPERLINK("https://etp-aktiv.ru/catalog/materialy/rezino-tekhnicheskie-izdeliya/2000628538-W111/","Открыть позицию")</x:f>
        <x:v>Открыть позицию</x:v>
      </x:c>
    </x:row>
    <x:row r="101" ht="28" customHeight="1">
      <x:c r="A101" s="16" t="str">
        <x:v>Барнаульская ТЭЦ-2</x:v>
      </x:c>
      <x:c r="B101" s="16" t="str">
        <x:v>2000549118-W111</x:v>
      </x:c>
      <x:c r="C101" s="16" t="str">
        <x:v>ШНУР 30ММ ШБТ-30-Б 160</x:v>
      </x:c>
      <x:c r="D101" s="16" t="str">
        <x:v>Теплоизоляция</x:v>
      </x:c>
      <x:c r="E101" s="16" t="str">
        <x:v>М3</x:v>
      </x:c>
      <x:c r="F101" s="24" t="n">
        <x:v>3.12</x:v>
      </x:c>
      <x:c r="G101" s="17" t="n">
        <x:v>7824.775</x:v>
      </x:c>
      <x:c r="H101" s="17" t="n">
        <x:f>G101*F101</x:f>
        <x:v>24413.298</x:v>
      </x:c>
      <x:c r="I101" s="26" t="str">
        <x:f>HYPERLINK("https://etp-aktiv.ru/catalog/materialy/teploizolyaciya/2000549118-W111/","Открыть позицию")</x:f>
        <x:v>Открыть позицию</x:v>
      </x:c>
    </x:row>
    <x:row r="102" ht="28" customHeight="1">
      <x:c r="A102" s="16" t="str">
        <x:v>Барнаульская ТЭЦ-2</x:v>
      </x:c>
      <x:c r="B102" s="16" t="str">
        <x:v>2000546772-W111</x:v>
      </x:c>
      <x:c r="C102" s="16" t="str">
        <x:v>ШНУР РЕЗ 1,4C 5 ГОСТ6467-79</x:v>
      </x:c>
      <x:c r="D102" s="16" t="str">
        <x:v>Проч резино-тех изд</x:v>
      </x:c>
      <x:c r="E102" s="16" t="str">
        <x:v>КГ</x:v>
      </x:c>
      <x:c r="F102" s="24" t="n">
        <x:v>39.2</x:v>
      </x:c>
      <x:c r="G102" s="17" t="n">
        <x:v>147.8152</x:v>
      </x:c>
      <x:c r="H102" s="17" t="n">
        <x:f>G102*F102</x:f>
        <x:v>5794.35584</x:v>
      </x:c>
      <x:c r="I102" s="26" t="str">
        <x:f>HYPERLINK("https://etp-aktiv.ru/catalog/materialy/rezino-tekhnicheskie-izdeliya/2000546772-W111/","Открыть позицию")</x:f>
        <x:v>Открыть позицию</x:v>
      </x:c>
    </x:row>
    <x:row r="103" ht="28" customHeight="1">
      <x:c r="A103" s="16" t="str">
        <x:v>Барнаульская ТЭЦ-2</x:v>
      </x:c>
      <x:c r="B103" s="16" t="str">
        <x:v>2000546792-W111</x:v>
      </x:c>
      <x:c r="C103" s="16" t="str">
        <x:v>ШНУР РЕЗ. 2-5С 45 ГОСТ6467-79</x:v>
      </x:c>
      <x:c r="D103" s="16" t="str">
        <x:v>Проч резино-тех изд</x:v>
      </x:c>
      <x:c r="E103" s="16" t="str">
        <x:v>КГ</x:v>
      </x:c>
      <x:c r="F103" s="24" t="n">
        <x:v>7.09</x:v>
      </x:c>
      <x:c r="G103" s="17" t="n">
        <x:v>187.85559999999998</x:v>
      </x:c>
      <x:c r="H103" s="17" t="n">
        <x:f>G103*F103</x:f>
        <x:v>1331.896204</x:v>
      </x:c>
      <x:c r="I103" s="26" t="str">
        <x:f>HYPERLINK("https://etp-aktiv.ru/catalog/materialy/rezino-tekhnicheskie-izdeliya/2000546792-W111/","Открыть позицию")</x:f>
        <x:v>Открыть позицию</x:v>
      </x:c>
    </x:row>
    <x:row r="104" ht="28" customHeight="1">
      <x:c r="A104" s="16" t="str">
        <x:v>Барнаульская ТЭЦ-2</x:v>
      </x:c>
      <x:c r="B104" s="16" t="str">
        <x:v>2000784017-W111</x:v>
      </x:c>
      <x:c r="C104" s="16" t="str">
        <x:v>ШНУР РЕЗИНОВЫЙ 2-5С D12 ГОСТ6467-79</x:v>
      </x:c>
      <x:c r="D104" s="16" t="str">
        <x:v>Проч резино-тех изд</x:v>
      </x:c>
      <x:c r="E104" s="16" t="str">
        <x:v>КГ</x:v>
      </x:c>
      <x:c r="F104" s="24" t="n">
        <x:v>12.74</x:v>
      </x:c>
      <x:c r="G104" s="17" t="n">
        <x:v>192.00359999999998</x:v>
      </x:c>
      <x:c r="H104" s="17" t="n">
        <x:f>G104*F104</x:f>
        <x:v>2446.1258639999996</x:v>
      </x:c>
      <x:c r="I104" s="26" t="str">
        <x:f>HYPERLINK("https://etp-aktiv.ru/catalog/materialy/rezino-tekhnicheskie-izdeliya/2000784017-W111/","Открыть позицию")</x:f>
        <x:v>Открыть позицию</x:v>
      </x:c>
    </x:row>
    <x:row r="105" ht="28" customHeight="1">
      <x:c r="A105" s="16" t="str">
        <x:v>Барнаульская ТЭЦ-2</x:v>
      </x:c>
      <x:c r="B105" s="16" t="str">
        <x:v>2000590456-W111</x:v>
      </x:c>
      <x:c r="C105" s="16" t="str">
        <x:v>ШНУР ШПРИЦ D10ММ 5Р-129 ТУ38.105.1165</x:v>
      </x:c>
      <x:c r="D105" s="16" t="str">
        <x:v>Проч резино-тех изд</x:v>
      </x:c>
      <x:c r="E105" s="16" t="str">
        <x:v>КГ</x:v>
      </x:c>
      <x:c r="F105" s="25" t="n">
        <x:v>3</x:v>
      </x:c>
      <x:c r="G105" s="17" t="n">
        <x:v>1640.1191999999999</x:v>
      </x:c>
      <x:c r="H105" s="17" t="n">
        <x:f>G105*F105</x:f>
        <x:v>4920.357599999999</x:v>
      </x:c>
      <x:c r="I105" s="26" t="str">
        <x:f>HYPERLINK("https://etp-aktiv.ru/catalog/materialy/rezino-tekhnicheskie-izdeliya/2000590456-W111/","Открыть позицию")</x:f>
        <x:v>Открыть позицию</x:v>
      </x:c>
    </x:row>
    <x:row r="106" ht="28" customHeight="1">
      <x:c r="A106" s="16" t="str">
        <x:v>Барнаульская ТЭЦ-3</x:v>
      </x:c>
      <x:c r="B106" s="16" t="str">
        <x:v>2000550700-W112</x:v>
      </x:c>
      <x:c r="C106" s="16" t="str">
        <x:v>КЛЕЙ РЕЗИНОВЫЙ У-425-3</x:v>
      </x:c>
      <x:c r="D106" s="16" t="str">
        <x:v>Проч строит матер-ы</x:v>
      </x:c>
      <x:c r="E106" s="16" t="str">
        <x:v>КГ</x:v>
      </x:c>
      <x:c r="F106" s="25" t="n">
        <x:v>30</x:v>
      </x:c>
      <x:c r="G106" s="17" t="n">
        <x:v>464.36859999999996</x:v>
      </x:c>
      <x:c r="H106" s="17" t="n">
        <x:f>G106*F106</x:f>
        <x:v>13931.057999999999</x:v>
      </x:c>
      <x:c r="I106" s="26" t="str">
        <x:f>HYPERLINK("https://etp-aktiv.ru/catalog/materialy/stroitelnye-materialy/2000550700-W112/","Открыть позицию")</x:f>
        <x:v>Открыть позицию</x:v>
      </x:c>
    </x:row>
    <x:row r="107" ht="28" customHeight="1">
      <x:c r="A107" s="16" t="str">
        <x:v>Барнаульская ТЭЦ-3</x:v>
      </x:c>
      <x:c r="B107" s="16" t="str">
        <x:v>2000538928-W112</x:v>
      </x:c>
      <x:c r="C107" s="16" t="str">
        <x:v>КОЛЬЦО 00-В-Б ГФ-2 170*150*15</x:v>
      </x:c>
      <x:c r="D107" s="16" t="str">
        <x:v>Асбо-технические изд</x:v>
      </x:c>
      <x:c r="E107" s="16" t="str">
        <x:v>ШТ</x:v>
      </x:c>
      <x:c r="F107" s="25" t="n">
        <x:v>4</x:v>
      </x:c>
      <x:c r="G107" s="17" t="n">
        <x:v>59.475</x:v>
      </x:c>
      <x:c r="H107" s="17" t="n">
        <x:f>G107*F107</x:f>
        <x:v>237.9</x:v>
      </x:c>
      <x:c r="I107" s="26" t="str">
        <x:f>HYPERLINK("https://etp-aktiv.ru/catalog/materialy/asbo-tekhnicheskie-izdeliya/2000538928-W112/","Открыть позицию")</x:f>
        <x:v>Открыть позицию</x:v>
      </x:c>
    </x:row>
    <x:row r="108" ht="28" customHeight="1">
      <x:c r="A108" s="16" t="str">
        <x:v>Барнаульская ТЭЦ-3</x:v>
      </x:c>
      <x:c r="B108" s="16" t="str">
        <x:v>2000538956-W112</x:v>
      </x:c>
      <x:c r="C108" s="16" t="str">
        <x:v>КОЛЬЦО 02-В-Б ГФ-2 (КГФ-О) 52*36*8</x:v>
      </x:c>
      <x:c r="D108" s="16" t="str">
        <x:v>Асбо-технические изд</x:v>
      </x:c>
      <x:c r="E108" s="16" t="str">
        <x:v>ШТ</x:v>
      </x:c>
      <x:c r="F108" s="25" t="n">
        <x:v>4</x:v>
      </x:c>
      <x:c r="G108" s="17" t="n">
        <x:v>15.4574</x:v>
      </x:c>
      <x:c r="H108" s="17" t="n">
        <x:f>G108*F108</x:f>
        <x:v>61.8296</x:v>
      </x:c>
      <x:c r="I108" s="26" t="str">
        <x:f>HYPERLINK("https://etp-aktiv.ru/catalog/materialy/asbo-tekhnicheskie-izdeliya/2000538956-W112/","Открыть позицию")</x:f>
        <x:v>Открыть позицию</x:v>
      </x:c>
    </x:row>
    <x:row r="109" ht="28" customHeight="1">
      <x:c r="A109" s="16" t="str">
        <x:v>Барнаульская ТЭЦ-3</x:v>
      </x:c>
      <x:c r="B109" s="16" t="str">
        <x:v>2000538947-W112</x:v>
      </x:c>
      <x:c r="C109" s="16" t="str">
        <x:v>КОЛЬЦО 02-В-Б ГФ-2 170*150*15</x:v>
      </x:c>
      <x:c r="D109" s="16" t="str">
        <x:v>Асбо-технические изд</x:v>
      </x:c>
      <x:c r="E109" s="16" t="str">
        <x:v>ШТ</x:v>
      </x:c>
      <x:c r="F109" s="25" t="n">
        <x:v>8</x:v>
      </x:c>
      <x:c r="G109" s="17" t="n">
        <x:v>102.94359999999999</x:v>
      </x:c>
      <x:c r="H109" s="17" t="n">
        <x:f>G109*F109</x:f>
        <x:v>823.5487999999999</x:v>
      </x:c>
      <x:c r="I109" s="26" t="str">
        <x:f>HYPERLINK("https://etp-aktiv.ru/catalog/materialy/asbo-tekhnicheskie-izdeliya/2000538947-W112/","Открыть позицию")</x:f>
        <x:v>Открыть позицию</x:v>
      </x:c>
    </x:row>
    <x:row r="110" ht="28" customHeight="1">
      <x:c r="A110" s="16" t="str">
        <x:v>Барнаульская ТЭЦ-3</x:v>
      </x:c>
      <x:c r="B110" s="16" t="str">
        <x:v>2000548538-W112</x:v>
      </x:c>
      <x:c r="C110" s="16" t="str">
        <x:v>ЛЕНТА ЛЭ-10-2-Х/Б 10ММ ГОСТ4514-78</x:v>
      </x:c>
      <x:c r="D110" s="16" t="str">
        <x:v>Э/изоляцион мат-лы</x:v>
      </x:c>
      <x:c r="E110" s="16" t="str">
        <x:v>М</x:v>
      </x:c>
      <x:c r="F110" s="25" t="n">
        <x:v>110</x:v>
      </x:c>
      <x:c r="G110" s="17" t="n">
        <x:v>1.1224</x:v>
      </x:c>
      <x:c r="H110" s="17" t="n">
        <x:f>G110*F110</x:f>
        <x:v>123.46400000000001</x:v>
      </x:c>
      <x:c r="I110" s="26" t="str">
        <x:f>HYPERLINK("https://etp-aktiv.ru/catalog/materialy/ehlektroizolyacionnye-materialy/2000548538-W112/","Открыть позицию")</x:f>
        <x:v>Открыть позицию</x:v>
      </x:c>
    </x:row>
    <x:row r="111" ht="28" customHeight="1">
      <x:c r="A111" s="16" t="str">
        <x:v>Барнаульская ТЭЦ-3</x:v>
      </x:c>
      <x:c r="B111" s="16" t="str">
        <x:v>2000548594-W112</x:v>
      </x:c>
      <x:c r="C111" s="16" t="str">
        <x:v>ЛЕНТА ЛЭС 0,15*25ММ</x:v>
      </x:c>
      <x:c r="D111" s="16" t="str">
        <x:v>Э/изоляцион мат-лы</x:v>
      </x:c>
      <x:c r="E111" s="16" t="str">
        <x:v>М</x:v>
      </x:c>
      <x:c r="F111" s="25" t="n">
        <x:v>580</x:v>
      </x:c>
      <x:c r="G111" s="17" t="n">
        <x:v>2.3302</x:v>
      </x:c>
      <x:c r="H111" s="17" t="n">
        <x:f>G111*F111</x:f>
        <x:v>1351.516</x:v>
      </x:c>
      <x:c r="I111" s="26" t="str">
        <x:f>HYPERLINK("https://etp-aktiv.ru/catalog/materialy/ehlektroizolyacionnye-materialy/2000548594-W112/","Открыть позицию")</x:f>
        <x:v>Открыть позицию</x:v>
      </x:c>
    </x:row>
    <x:row r="112" ht="28" customHeight="1">
      <x:c r="A112" s="16" t="str">
        <x:v>Барнаульская ТЭЦ-3</x:v>
      </x:c>
      <x:c r="B112" s="16" t="str">
        <x:v>2000148789-W112</x:v>
      </x:c>
      <x:c r="C112" s="16" t="str">
        <x:v>МАНЖЕТА 1,2-45*65-10 ГОСТ8752-79</x:v>
      </x:c>
      <x:c r="D112" s="16" t="str">
        <x:v>Проч резино-тех изд</x:v>
      </x:c>
      <x:c r="E112" s="16" t="str">
        <x:v>ШТ</x:v>
      </x:c>
      <x:c r="F112" s="25" t="n">
        <x:v>2</x:v>
      </x:c>
      <x:c r="G112" s="17" t="n">
        <x:v>10.3822</x:v>
      </x:c>
      <x:c r="H112" s="17" t="n">
        <x:f>G112*F112</x:f>
        <x:v>20.7644</x:v>
      </x:c>
      <x:c r="I112" s="26" t="str">
        <x:f>HYPERLINK("https://etp-aktiv.ru/catalog/materialy/rezino-tekhnicheskie-izdeliya/2000148789-W112/","Открыть позицию")</x:f>
        <x:v>Открыть позицию</x:v>
      </x:c>
    </x:row>
    <x:row r="113" ht="28" customHeight="1">
      <x:c r="A113" s="16" t="str">
        <x:v>Барнаульская ТЭЦ-3</x:v>
      </x:c>
      <x:c r="B113" s="16" t="str">
        <x:v>2000001418-W112</x:v>
      </x:c>
      <x:c r="C113" s="16" t="str">
        <x:v>МАНЖЕТА 1-65*90-1 ГОСТ14896-84</x:v>
      </x:c>
      <x:c r="D113" s="16" t="str">
        <x:v>Проч резино-тех изд</x:v>
      </x:c>
      <x:c r="E113" s="16" t="str">
        <x:v>ШТ</x:v>
      </x:c>
      <x:c r="F113" s="25" t="n">
        <x:v>2</x:v>
      </x:c>
      <x:c r="G113" s="17" t="n">
        <x:v>12.8954</x:v>
      </x:c>
      <x:c r="H113" s="17" t="n">
        <x:f>G113*F113</x:f>
        <x:v>25.7908</x:v>
      </x:c>
      <x:c r="I113" s="26" t="str">
        <x:f>HYPERLINK("https://etp-aktiv.ru/catalog/materialy/rezino-tekhnicheskie-izdeliya/2000001418-W112/","Открыть позицию")</x:f>
        <x:v>Открыть позицию</x:v>
      </x:c>
    </x:row>
    <x:row r="114" ht="28" customHeight="1">
      <x:c r="A114" s="16" t="str">
        <x:v>Барнаульская ТЭЦ-3</x:v>
      </x:c>
      <x:c r="B114" s="16" t="str">
        <x:v>2000640138-W112</x:v>
      </x:c>
      <x:c r="C114" s="16" t="str">
        <x:v>МАНЖЕТА 2,2-280*240-20 ГОСТ14896-84</x:v>
      </x:c>
      <x:c r="D114" s="16" t="str">
        <x:v>Проч резино-тех изд</x:v>
      </x:c>
      <x:c r="E114" s="16" t="str">
        <x:v>ШТ</x:v>
      </x:c>
      <x:c r="F114" s="25" t="n">
        <x:v>2</x:v>
      </x:c>
      <x:c r="G114" s="17" t="n">
        <x:v>63.135</x:v>
      </x:c>
      <x:c r="H114" s="17" t="n">
        <x:f>G114*F114</x:f>
        <x:v>126.27</x:v>
      </x:c>
      <x:c r="I114" s="26" t="str">
        <x:f>HYPERLINK("https://etp-aktiv.ru/catalog/materialy/rezino-tekhnicheskie-izdeliya/2000640138-W112/","Открыть позицию")</x:f>
        <x:v>Открыть позицию</x:v>
      </x:c>
    </x:row>
    <x:row r="115" ht="28" customHeight="1">
      <x:c r="A115" s="16" t="str">
        <x:v>Барнаульская ТЭЦ-3</x:v>
      </x:c>
      <x:c r="B115" s="16" t="str">
        <x:v>2000639784-W112</x:v>
      </x:c>
      <x:c r="C115" s="16" t="str">
        <x:v>МАНЖЕТА 2,2-95*120*12 ГОСТ8752-79</x:v>
      </x:c>
      <x:c r="D115" s="16" t="str">
        <x:v>Проч резино-тех изд</x:v>
      </x:c>
      <x:c r="E115" s="16" t="str">
        <x:v>ШТ</x:v>
      </x:c>
      <x:c r="F115" s="25" t="n">
        <x:v>2</x:v>
      </x:c>
      <x:c r="G115" s="17" t="n">
        <x:v>26.84</x:v>
      </x:c>
      <x:c r="H115" s="17" t="n">
        <x:f>G115*F115</x:f>
        <x:v>53.68</x:v>
      </x:c>
      <x:c r="I115" s="26" t="str">
        <x:f>HYPERLINK("https://etp-aktiv.ru/catalog/materialy/rezino-tekhnicheskie-izdeliya/2000639784-W112/","Открыть позицию")</x:f>
        <x:v>Открыть позицию</x:v>
      </x:c>
    </x:row>
    <x:row r="116" ht="28" customHeight="1">
      <x:c r="A116" s="16" t="str">
        <x:v>Барнаульская ТЭЦ-3</x:v>
      </x:c>
      <x:c r="B116" s="16" t="str">
        <x:v>2000580517-W112</x:v>
      </x:c>
      <x:c r="C116" s="16" t="str">
        <x:v>МАНЖЕТА 2.2-85*110-3 ГОСТ8752-79</x:v>
      </x:c>
      <x:c r="D116" s="16" t="str">
        <x:v>Проч резино-тех изд</x:v>
      </x:c>
      <x:c r="E116" s="16" t="str">
        <x:v>ШТ</x:v>
      </x:c>
      <x:c r="F116" s="25" t="n">
        <x:v>2</x:v>
      </x:c>
      <x:c r="G116" s="17" t="n">
        <x:v>15.2134</x:v>
      </x:c>
      <x:c r="H116" s="17" t="n">
        <x:f>G116*F116</x:f>
        <x:v>30.4268</x:v>
      </x:c>
      <x:c r="I116" s="26" t="str">
        <x:f>HYPERLINK("https://etp-aktiv.ru/catalog/materialy/rezino-tekhnicheskie-izdeliya/2000580517-W112/","Открыть позицию")</x:f>
        <x:v>Открыть позицию</x:v>
      </x:c>
    </x:row>
    <x:row r="117" ht="28" customHeight="1">
      <x:c r="A117" s="16" t="str">
        <x:v>Барнаульская ТЭЦ-3</x:v>
      </x:c>
      <x:c r="B117" s="16" t="str">
        <x:v>2000220325-W112</x:v>
      </x:c>
      <x:c r="C117" s="16" t="str">
        <x:v>НАБИВКА 200G 6*6ММ</x:v>
      </x:c>
      <x:c r="D117" s="16" t="str">
        <x:v>Асбо-технические изд</x:v>
      </x:c>
      <x:c r="E117" s="16" t="str">
        <x:v>КГ</x:v>
      </x:c>
      <x:c r="F117" s="30" t="n">
        <x:v>0.6</x:v>
      </x:c>
      <x:c r="G117" s="17" t="n">
        <x:v>458.8786</x:v>
      </x:c>
      <x:c r="H117" s="17" t="n">
        <x:f>G117*F117</x:f>
        <x:v>275.32716</x:v>
      </x:c>
      <x:c r="I117" s="26" t="str">
        <x:f>HYPERLINK("https://etp-aktiv.ru/catalog/materialy/asbo-tekhnicheskie-izdeliya/2000220325-W112/","Открыть позицию")</x:f>
        <x:v>Открыть позицию</x:v>
      </x:c>
    </x:row>
    <x:row r="118" ht="28" customHeight="1">
      <x:c r="A118" s="16" t="str">
        <x:v>Барнаульская ТЭЦ-3</x:v>
      </x:c>
      <x:c r="B118" s="16" t="str">
        <x:v>2000141021-W112</x:v>
      </x:c>
      <x:c r="C118" s="16" t="str">
        <x:v>НАБИВКА 200М 6*6</x:v>
      </x:c>
      <x:c r="D118" s="16" t="str">
        <x:v>Асбо-технические изд</x:v>
      </x:c>
      <x:c r="E118" s="16" t="str">
        <x:v>КГ</x:v>
      </x:c>
      <x:c r="F118" s="30" t="n">
        <x:v>0.035</x:v>
      </x:c>
      <x:c r="G118" s="17" t="n">
        <x:v>478.80119999999994</x:v>
      </x:c>
      <x:c r="H118" s="17" t="n">
        <x:f>G118*F118</x:f>
        <x:v>16.758042</x:v>
      </x:c>
      <x:c r="I118" s="26" t="str">
        <x:f>HYPERLINK("https://etp-aktiv.ru/catalog/materialy/asbo-tekhnicheskie-izdeliya/2000141021-W112/","Открыть позицию")</x:f>
        <x:v>Открыть позицию</x:v>
      </x:c>
    </x:row>
    <x:row r="119" ht="28" customHeight="1">
      <x:c r="A119" s="16" t="str">
        <x:v>Барнаульская ТЭЦ-3</x:v>
      </x:c>
      <x:c r="B119" s="16" t="str">
        <x:v>2000539146-W112</x:v>
      </x:c>
      <x:c r="C119" s="16" t="str">
        <x:v>НАБИВКА URTEX H 1200 14*14</x:v>
      </x:c>
      <x:c r="D119" s="16" t="str">
        <x:v>Асбо-технические изд</x:v>
      </x:c>
      <x:c r="E119" s="16" t="str">
        <x:v>КГ</x:v>
      </x:c>
      <x:c r="F119" s="24" t="n">
        <x:v>6.68</x:v>
      </x:c>
      <x:c r="G119" s="17" t="n">
        <x:v>633.0702</x:v>
      </x:c>
      <x:c r="H119" s="17" t="n">
        <x:f>G119*F119</x:f>
        <x:v>4228.908936</x:v>
      </x:c>
      <x:c r="I119" s="26" t="str">
        <x:f>HYPERLINK("https://etp-aktiv.ru/catalog/materialy/asbo-tekhnicheskie-izdeliya/2000539146-W112/","Открыть позицию")</x:f>
        <x:v>Открыть позицию</x:v>
      </x:c>
    </x:row>
    <x:row r="120" ht="28" customHeight="1">
      <x:c r="A120" s="16" t="str">
        <x:v>Барнаульская ТЭЦ-3</x:v>
      </x:c>
      <x:c r="B120" s="16" t="str">
        <x:v>2000031514-W112</x:v>
      </x:c>
      <x:c r="C120" s="16" t="str">
        <x:v>НАБИВКА АПР-31 6ММ</x:v>
      </x:c>
      <x:c r="D120" s="16" t="str">
        <x:v>Асбо-технические изд</x:v>
      </x:c>
      <x:c r="E120" s="16" t="str">
        <x:v>КГ</x:v>
      </x:c>
      <x:c r="F120" s="25" t="n">
        <x:v>14</x:v>
      </x:c>
      <x:c r="G120" s="17" t="n">
        <x:v>130.8328</x:v>
      </x:c>
      <x:c r="H120" s="17" t="n">
        <x:f>G120*F120</x:f>
        <x:v>1831.6591999999998</x:v>
      </x:c>
      <x:c r="I120" s="26" t="str">
        <x:f>HYPERLINK("https://etp-aktiv.ru/catalog/materialy/asbo-tekhnicheskie-izdeliya/2000031514-W112/","Открыть позицию")</x:f>
        <x:v>Открыть позицию</x:v>
      </x:c>
    </x:row>
    <x:row r="121" ht="28" customHeight="1">
      <x:c r="A121" s="16" t="str">
        <x:v>Барнаульская ТЭЦ-3</x:v>
      </x:c>
      <x:c r="B121" s="16" t="str">
        <x:v>2000141009-W112</x:v>
      </x:c>
      <x:c r="C121" s="16" t="str">
        <x:v>НАБИВКА АС 13ММ</x:v>
      </x:c>
      <x:c r="D121" s="16" t="str">
        <x:v>Асбо-технические изд</x:v>
      </x:c>
      <x:c r="E121" s="16" t="str">
        <x:v>КГ</x:v>
      </x:c>
      <x:c r="F121" s="24" t="n">
        <x:v>35.6</x:v>
      </x:c>
      <x:c r="G121" s="17" t="n">
        <x:v>145.424</x:v>
      </x:c>
      <x:c r="H121" s="17" t="n">
        <x:f>G121*F121</x:f>
        <x:v>5177.094400000001</x:v>
      </x:c>
      <x:c r="I121" s="26" t="str">
        <x:f>HYPERLINK("https://etp-aktiv.ru/catalog/materialy/asbo-tekhnicheskie-izdeliya/2000141009-W112/","Открыть позицию")</x:f>
        <x:v>Открыть позицию</x:v>
      </x:c>
    </x:row>
    <x:row r="122" ht="28" customHeight="1">
      <x:c r="A122" s="16" t="str">
        <x:v>Барнаульская ТЭЦ-3</x:v>
      </x:c>
      <x:c r="B122" s="16" t="str">
        <x:v>2000539198-W112</x:v>
      </x:c>
      <x:c r="C122" s="16" t="str">
        <x:v>НАБИВКА АС 25*25</x:v>
      </x:c>
      <x:c r="D122" s="16" t="str">
        <x:v>Асбо-технические изд</x:v>
      </x:c>
      <x:c r="E122" s="16" t="str">
        <x:v>КГ</x:v>
      </x:c>
      <x:c r="F122" s="24" t="n">
        <x:v>10.2</x:v>
      </x:c>
      <x:c r="G122" s="17" t="n">
        <x:v>98.8444</x:v>
      </x:c>
      <x:c r="H122" s="17" t="n">
        <x:f>G122*F122</x:f>
        <x:v>1008.2128799999998</x:v>
      </x:c>
      <x:c r="I122" s="26" t="str">
        <x:f>HYPERLINK("https://etp-aktiv.ru/catalog/materialy/asbo-tekhnicheskie-izdeliya/2000539198-W112/","Открыть позицию")</x:f>
        <x:v>Открыть позицию</x:v>
      </x:c>
    </x:row>
    <x:row r="123" ht="28" customHeight="1">
      <x:c r="A123" s="16" t="str">
        <x:v>Барнаульская ТЭЦ-3</x:v>
      </x:c>
      <x:c r="B123" s="16" t="str">
        <x:v>2000316280-W112</x:v>
      </x:c>
      <x:c r="C123" s="16" t="str">
        <x:v>НАБИВКА ГРАФЛЕКС Н-1100 15*15ММ</x:v>
      </x:c>
      <x:c r="D123" s="16" t="str">
        <x:v>Асбо-технические изд</x:v>
      </x:c>
      <x:c r="E123" s="16" t="str">
        <x:v>КГ</x:v>
      </x:c>
      <x:c r="F123" s="24" t="n">
        <x:v>1.33</x:v>
      </x:c>
      <x:c r="G123" s="17" t="n">
        <x:v>548.8048</x:v>
      </x:c>
      <x:c r="H123" s="17" t="n">
        <x:f>G123*F123</x:f>
        <x:v>729.910384</x:v>
      </x:c>
      <x:c r="I123" s="26" t="str">
        <x:f>HYPERLINK("https://etp-aktiv.ru/catalog/materialy/asbo-tekhnicheskie-izdeliya/2000316280-W112/","Открыть позицию")</x:f>
        <x:v>Открыть позицию</x:v>
      </x:c>
    </x:row>
    <x:row r="124" ht="28" customHeight="1">
      <x:c r="A124" s="16" t="str">
        <x:v>Барнаульская ТЭЦ-3</x:v>
      </x:c>
      <x:c r="B124" s="16" t="str">
        <x:v>2000253231-W112</x:v>
      </x:c>
      <x:c r="C124" s="16" t="str">
        <x:v>НАБИВКА ГРАФЛЕКС Н-1200 10*10ММ</x:v>
      </x:c>
      <x:c r="D124" s="16" t="str">
        <x:v>Асбо-технические изд</x:v>
      </x:c>
      <x:c r="E124" s="16" t="str">
        <x:v>КГ</x:v>
      </x:c>
      <x:c r="F124" s="25" t="n">
        <x:v>7</x:v>
      </x:c>
      <x:c r="G124" s="17" t="n">
        <x:v>496.2106</x:v>
      </x:c>
      <x:c r="H124" s="17" t="n">
        <x:f>G124*F124</x:f>
        <x:v>3473.4742</x:v>
      </x:c>
      <x:c r="I124" s="26" t="str">
        <x:f>HYPERLINK("https://etp-aktiv.ru/catalog/materialy/asbo-tekhnicheskie-izdeliya/2000253231-W112/","Открыть позицию")</x:f>
        <x:v>Открыть позицию</x:v>
      </x:c>
    </x:row>
    <x:row r="125" ht="28" customHeight="1">
      <x:c r="A125" s="16" t="str">
        <x:v>Барнаульская ТЭЦ-3</x:v>
      </x:c>
      <x:c r="B125" s="16" t="str">
        <x:v>2000765039-W112</x:v>
      </x:c>
      <x:c r="C125" s="16" t="str">
        <x:v>НАБИВКА ГРАФЛЕКС Н1100 10*10ММ</x:v>
      </x:c>
      <x:c r="D125" s="16" t="str">
        <x:v>Асбо-технические изд</x:v>
      </x:c>
      <x:c r="E125" s="16" t="str">
        <x:v>КГ</x:v>
      </x:c>
      <x:c r="F125" s="24" t="n">
        <x:v>1.805</x:v>
      </x:c>
      <x:c r="G125" s="17" t="n">
        <x:v>539.7646</x:v>
      </x:c>
      <x:c r="H125" s="17" t="n">
        <x:f>G125*F125</x:f>
        <x:v>974.275103</x:v>
      </x:c>
      <x:c r="I125" s="26" t="str">
        <x:f>HYPERLINK("https://etp-aktiv.ru/catalog/materialy/asbo-tekhnicheskie-izdeliya/2000765039-W112/","Открыть позицию")</x:f>
        <x:v>Открыть позицию</x:v>
      </x:c>
    </x:row>
    <x:row r="126" ht="28" customHeight="1">
      <x:c r="A126" s="16" t="str">
        <x:v>Барнаульская ТЭЦ-3</x:v>
      </x:c>
      <x:c r="B126" s="16" t="str">
        <x:v>2000779007-W112</x:v>
      </x:c>
      <x:c r="C126" s="16" t="str">
        <x:v>НАБИВКА ГРАФЛЕКС Н1100 12*12ММ</x:v>
      </x:c>
      <x:c r="D126" s="16" t="str">
        <x:v>Асбо-технические изд</x:v>
      </x:c>
      <x:c r="E126" s="16" t="str">
        <x:v>КГ</x:v>
      </x:c>
      <x:c r="F126" s="24" t="n">
        <x:v>1.37</x:v>
      </x:c>
      <x:c r="G126" s="17" t="n">
        <x:v>540.6186</x:v>
      </x:c>
      <x:c r="H126" s="17" t="n">
        <x:f>G126*F126</x:f>
        <x:v>740.6474820000001</x:v>
      </x:c>
      <x:c r="I126" s="26" t="str">
        <x:f>HYPERLINK("https://etp-aktiv.ru/catalog/materialy/asbo-tekhnicheskie-izdeliya/2000779007-W112/","Открыть позицию")</x:f>
        <x:v>Открыть позицию</x:v>
      </x:c>
    </x:row>
    <x:row r="127" ht="28" customHeight="1">
      <x:c r="A127" s="16" t="str">
        <x:v>Барнаульская ТЭЦ-3</x:v>
      </x:c>
      <x:c r="B127" s="16" t="str">
        <x:v>2000539201-W112</x:v>
      </x:c>
      <x:c r="C127" s="16" t="str">
        <x:v>НАБИВКА МНОГОСЛОЙНОЕ ПЛЕТЕНИЕ АС 24*24</x:v>
      </x:c>
      <x:c r="D127" s="16" t="str">
        <x:v>Асбо-технические изд</x:v>
      </x:c>
      <x:c r="E127" s="16" t="str">
        <x:v>КГ</x:v>
      </x:c>
      <x:c r="F127" s="24" t="n">
        <x:v>2.2</x:v>
      </x:c>
      <x:c r="G127" s="17" t="n">
        <x:v>227.0542</x:v>
      </x:c>
      <x:c r="H127" s="17" t="n">
        <x:f>G127*F127</x:f>
        <x:v>499.5192400000001</x:v>
      </x:c>
      <x:c r="I127" s="26" t="str">
        <x:f>HYPERLINK("https://etp-aktiv.ru/catalog/materialy/asbo-tekhnicheskie-izdeliya/2000539201-W112/","Открыть позицию")</x:f>
        <x:v>Открыть позицию</x:v>
      </x:c>
    </x:row>
    <x:row r="128" ht="28" customHeight="1">
      <x:c r="A128" s="16" t="str">
        <x:v>Барнаульская ТЭЦ-3</x:v>
      </x:c>
      <x:c r="B128" s="16" t="str">
        <x:v>2000254832-W112</x:v>
      </x:c>
      <x:c r="C128" s="16" t="str">
        <x:v>НАБИВКА МС-105 16*16ММ</x:v>
      </x:c>
      <x:c r="D128" s="16" t="str">
        <x:v>Асбо-технические изд</x:v>
      </x:c>
      <x:c r="E128" s="16" t="str">
        <x:v>КГ</x:v>
      </x:c>
      <x:c r="F128" s="25" t="n">
        <x:v>10</x:v>
      </x:c>
      <x:c r="G128" s="17" t="n">
        <x:v>538.813</x:v>
      </x:c>
      <x:c r="H128" s="17" t="n">
        <x:f>G128*F128</x:f>
        <x:v>5388.13</x:v>
      </x:c>
      <x:c r="I128" s="26" t="str">
        <x:f>HYPERLINK("https://etp-aktiv.ru/catalog/materialy/asbo-tekhnicheskie-izdeliya/2000254832-W112/","Открыть позицию")</x:f>
        <x:v>Открыть позицию</x:v>
      </x:c>
    </x:row>
    <x:row r="129" ht="28" customHeight="1">
      <x:c r="A129" s="16" t="str">
        <x:v>Барнаульская ТЭЦ-3</x:v>
      </x:c>
      <x:c r="B129" s="16" t="str">
        <x:v>2000176370-W112</x:v>
      </x:c>
      <x:c r="C129" s="16" t="str">
        <x:v>НАБИВКА НГ 200 6*6</x:v>
      </x:c>
      <x:c r="D129" s="16" t="str">
        <x:v>Асбо-технические изд</x:v>
      </x:c>
      <x:c r="E129" s="16" t="str">
        <x:v>КГ</x:v>
      </x:c>
      <x:c r="F129" s="25" t="n">
        <x:v>5</x:v>
      </x:c>
      <x:c r="G129" s="17" t="n">
        <x:v>401.99</x:v>
      </x:c>
      <x:c r="H129" s="17" t="n">
        <x:f>G129*F129</x:f>
        <x:v>2009.95</x:v>
      </x:c>
      <x:c r="I129" s="26" t="str">
        <x:f>HYPERLINK("https://etp-aktiv.ru/catalog/materialy/asbo-tekhnicheskie-izdeliya/2000176370-W112/","Открыть позицию")</x:f>
        <x:v>Открыть позицию</x:v>
      </x:c>
    </x:row>
    <x:row r="130" ht="28" customHeight="1">
      <x:c r="A130" s="16" t="str">
        <x:v>Барнаульская ТЭЦ-3</x:v>
      </x:c>
      <x:c r="B130" s="16" t="str">
        <x:v>2000539244-W112</x:v>
      </x:c>
      <x:c r="C130" s="16" t="str">
        <x:v>НАБИВКА НГ-200 (МС131) 12,7*12,7</x:v>
      </x:c>
      <x:c r="D130" s="16" t="str">
        <x:v>Асбо-технические изд</x:v>
      </x:c>
      <x:c r="E130" s="16" t="str">
        <x:v>КГ</x:v>
      </x:c>
      <x:c r="F130" s="25" t="n">
        <x:v>5</x:v>
      </x:c>
      <x:c r="G130" s="17" t="n">
        <x:v>430.61119999999994</x:v>
      </x:c>
      <x:c r="H130" s="17" t="n">
        <x:f>G130*F130</x:f>
        <x:v>2153.0559999999996</x:v>
      </x:c>
      <x:c r="I130" s="26" t="str">
        <x:f>HYPERLINK("https://etp-aktiv.ru/catalog/materialy/asbo-tekhnicheskie-izdeliya/2000539244-W112/","Открыть позицию")</x:f>
        <x:v>Открыть позицию</x:v>
      </x:c>
    </x:row>
    <x:row r="131" ht="28" customHeight="1">
      <x:c r="A131" s="16" t="str">
        <x:v>Барнаульская ТЭЦ-3</x:v>
      </x:c>
      <x:c r="B131" s="16" t="str">
        <x:v>2000160352-W112</x:v>
      </x:c>
      <x:c r="C131" s="16" t="str">
        <x:v>НАБИВКА НГ-200 10*10</x:v>
      </x:c>
      <x:c r="D131" s="16" t="str">
        <x:v>Проч резино-тех изд</x:v>
      </x:c>
      <x:c r="E131" s="16" t="str">
        <x:v>КГ</x:v>
      </x:c>
      <x:c r="F131" s="25" t="n">
        <x:v>5</x:v>
      </x:c>
      <x:c r="G131" s="17" t="n">
        <x:v>446.0686</x:v>
      </x:c>
      <x:c r="H131" s="17" t="n">
        <x:f>G131*F131</x:f>
        <x:v>2230.343</x:v>
      </x:c>
      <x:c r="I131" s="26" t="str">
        <x:f>HYPERLINK("https://etp-aktiv.ru/catalog/materialy/rezino-tekhnicheskie-izdeliya/2000160352-W112/","Открыть позицию")</x:f>
        <x:v>Открыть позицию</x:v>
      </x:c>
    </x:row>
    <x:row r="132" ht="28" customHeight="1">
      <x:c r="A132" s="16" t="str">
        <x:v>Барнаульская ТЭЦ-3</x:v>
      </x:c>
      <x:c r="B132" s="16" t="str">
        <x:v>2000184552-W112</x:v>
      </x:c>
      <x:c r="C132" s="16" t="str">
        <x:v>НАБИВКА НГ-200 8*8</x:v>
      </x:c>
      <x:c r="D132" s="16" t="str">
        <x:v>Асбо-технические изд</x:v>
      </x:c>
      <x:c r="E132" s="16" t="str">
        <x:v>КГ</x:v>
      </x:c>
      <x:c r="F132" s="25" t="n">
        <x:v>3</x:v>
      </x:c>
      <x:c r="G132" s="17" t="n">
        <x:v>407.175</x:v>
      </x:c>
      <x:c r="H132" s="17" t="n">
        <x:f>G132*F132</x:f>
        <x:v>1221.525</x:v>
      </x:c>
      <x:c r="I132" s="26" t="str">
        <x:f>HYPERLINK("https://etp-aktiv.ru/catalog/materialy/asbo-tekhnicheskie-izdeliya/2000184552-W112/","Открыть позицию")</x:f>
        <x:v>Открыть позицию</x:v>
      </x:c>
    </x:row>
    <x:row r="133" ht="28" customHeight="1">
      <x:c r="A133" s="16" t="str">
        <x:v>Барнаульская ТЭЦ-3</x:v>
      </x:c>
      <x:c r="B133" s="16" t="str">
        <x:v>2000570272-W112</x:v>
      </x:c>
      <x:c r="C133" s="16" t="str">
        <x:v>НАБИВКА НУ-101 8*8</x:v>
      </x:c>
      <x:c r="D133" s="16" t="str">
        <x:v>Асбо-технические изд</x:v>
      </x:c>
      <x:c r="E133" s="16" t="str">
        <x:v>КГ</x:v>
      </x:c>
      <x:c r="F133" s="25" t="n">
        <x:v>39</x:v>
      </x:c>
      <x:c r="G133" s="17" t="n">
        <x:v>1372.5</x:v>
      </x:c>
      <x:c r="H133" s="17" t="n">
        <x:f>G133*F133</x:f>
        <x:v>53527.5</x:v>
      </x:c>
      <x:c r="I133" s="26" t="str">
        <x:f>HYPERLINK("https://etp-aktiv.ru/catalog/materialy/asbo-tekhnicheskie-izdeliya/2000570272-W112/","Открыть позицию")</x:f>
        <x:v>Открыть позицию</x:v>
      </x:c>
    </x:row>
    <x:row r="134" ht="28" customHeight="1">
      <x:c r="A134" s="16" t="str">
        <x:v>Барнаульская ТЭЦ-3</x:v>
      </x:c>
      <x:c r="B134" s="16" t="str">
        <x:v>2000539203-W112</x:v>
      </x:c>
      <x:c r="C134" s="16" t="str">
        <x:v>НАБИВКА ОДНОСЛОЙНОЕ ПЛЕТЕНИЕ АС 28ММ</x:v>
      </x:c>
      <x:c r="D134" s="16" t="str">
        <x:v>Асбо-технические изд</x:v>
      </x:c>
      <x:c r="E134" s="16" t="str">
        <x:v>КГ</x:v>
      </x:c>
      <x:c r="F134" s="24" t="n">
        <x:v>5.4</x:v>
      </x:c>
      <x:c r="G134" s="17" t="n">
        <x:v>121.06060000000001</x:v>
      </x:c>
      <x:c r="H134" s="17" t="n">
        <x:f>G134*F134</x:f>
        <x:v>653.72724</x:v>
      </x:c>
      <x:c r="I134" s="26" t="str">
        <x:f>HYPERLINK("https://etp-aktiv.ru/catalog/materialy/asbo-tekhnicheskie-izdeliya/2000539203-W112/","Открыть позицию")</x:f>
        <x:v>Открыть позицию</x:v>
      </x:c>
    </x:row>
    <x:row r="135" ht="28" customHeight="1">
      <x:c r="A135" s="16" t="str">
        <x:v>Барнаульская ТЭЦ-3</x:v>
      </x:c>
      <x:c r="B135" s="16" t="str">
        <x:v>2000570303-W112</x:v>
      </x:c>
      <x:c r="C135" s="16" t="str">
        <x:v>НАБИВКА САЛЬНИКОВАЯ 200М 13*13</x:v>
      </x:c>
      <x:c r="D135" s="16" t="str">
        <x:v>Асбо-технические изд</x:v>
      </x:c>
      <x:c r="E135" s="16" t="str">
        <x:v>КГ</x:v>
      </x:c>
      <x:c r="F135" s="24" t="n">
        <x:v>3.55</x:v>
      </x:c>
      <x:c r="G135" s="17" t="n">
        <x:v>467.5772</x:v>
      </x:c>
      <x:c r="H135" s="17" t="n">
        <x:f>G135*F135</x:f>
        <x:v>1659.89906</x:v>
      </x:c>
      <x:c r="I135" s="26" t="str">
        <x:f>HYPERLINK("https://etp-aktiv.ru/catalog/materialy/asbo-tekhnicheskie-izdeliya/2000570303-W112/","Открыть позицию")</x:f>
        <x:v>Открыть позицию</x:v>
      </x:c>
    </x:row>
    <x:row r="136" ht="28" customHeight="1">
      <x:c r="A136" s="16" t="str">
        <x:v>Барнаульская ТЭЦ-3</x:v>
      </x:c>
      <x:c r="B136" s="16" t="str">
        <x:v>2000539167-W112</x:v>
      </x:c>
      <x:c r="C136" s="16" t="str">
        <x:v>НАБИВКА СКВОЗНОЕ ПЛЕТЕНИЕ АГИ 4*4</x:v>
      </x:c>
      <x:c r="D136" s="16" t="str">
        <x:v>Асбо-технические изд</x:v>
      </x:c>
      <x:c r="E136" s="16" t="str">
        <x:v>КГ</x:v>
      </x:c>
      <x:c r="F136" s="24" t="n">
        <x:v>20.2</x:v>
      </x:c>
      <x:c r="G136" s="17" t="n">
        <x:v>434.625</x:v>
      </x:c>
      <x:c r="H136" s="17" t="n">
        <x:f>G136*F136</x:f>
        <x:v>8779.425</x:v>
      </x:c>
      <x:c r="I136" s="26" t="str">
        <x:f>HYPERLINK("https://etp-aktiv.ru/catalog/materialy/asbo-tekhnicheskie-izdeliya/2000539167-W112/","Открыть позицию")</x:f>
        <x:v>Открыть позицию</x:v>
      </x:c>
    </x:row>
    <x:row r="137" ht="28" customHeight="1">
      <x:c r="A137" s="16" t="str">
        <x:v>Барнаульская ТЭЦ-3</x:v>
      </x:c>
      <x:c r="B137" s="16" t="str">
        <x:v>2000031485-W112</x:v>
      </x:c>
      <x:c r="C137" s="16" t="str">
        <x:v>НАБИВКА ХБП-31 10ММ</x:v>
      </x:c>
      <x:c r="D137" s="16" t="str">
        <x:v>Асбо-технические изд</x:v>
      </x:c>
      <x:c r="E137" s="16" t="str">
        <x:v>КГ</x:v>
      </x:c>
      <x:c r="F137" s="24" t="n">
        <x:v>10.4</x:v>
      </x:c>
      <x:c r="G137" s="17" t="n">
        <x:v>142.4594</x:v>
      </x:c>
      <x:c r="H137" s="17" t="n">
        <x:f>G137*F137</x:f>
        <x:v>1481.57776</x:v>
      </x:c>
      <x:c r="I137" s="26" t="str">
        <x:f>HYPERLINK("https://etp-aktiv.ru/catalog/materialy/asbo-tekhnicheskie-izdeliya/2000031485-W112/","Открыть позицию")</x:f>
        <x:v>Открыть позицию</x:v>
      </x:c>
    </x:row>
    <x:row r="138" ht="28" customHeight="1">
      <x:c r="A138" s="16" t="str">
        <x:v>Барнаульская ТЭЦ-3</x:v>
      </x:c>
      <x:c r="B138" s="16" t="str">
        <x:v>2000140892-W112</x:v>
      </x:c>
      <x:c r="C138" s="16" t="str">
        <x:v>РЕЗИНА ЛИСТОВАЯ 10ММ МБС ГОСТ7338-90</x:v>
      </x:c>
      <x:c r="D138" s="16" t="str">
        <x:v>Проч резино-тех изд</x:v>
      </x:c>
      <x:c r="E138" s="16" t="str">
        <x:v>КГ</x:v>
      </x:c>
      <x:c r="F138" s="30" t="n">
        <x:v>0.66</x:v>
      </x:c>
      <x:c r="G138" s="17" t="n">
        <x:v>172.7032</x:v>
      </x:c>
      <x:c r="H138" s="17" t="n">
        <x:f>G138*F138</x:f>
        <x:v>113.98411200000001</x:v>
      </x:c>
      <x:c r="I138" s="26" t="str">
        <x:f>HYPERLINK("https://etp-aktiv.ru/catalog/materialy/rezino-tekhnicheskie-izdeliya/2000140892-W112/","Открыть позицию")</x:f>
        <x:v>Открыть позицию</x:v>
      </x:c>
    </x:row>
    <x:row r="139" ht="28" customHeight="1">
      <x:c r="A139" s="16" t="str">
        <x:v>Барнаульская ТЭЦ-3</x:v>
      </x:c>
      <x:c r="B139" s="16" t="str">
        <x:v>2000140895-W112</x:v>
      </x:c>
      <x:c r="C139" s="16" t="str">
        <x:v>РЕЗИНА ЛИСТОВАЯ 6ММ МБС ГОСТ7338-90</x:v>
      </x:c>
      <x:c r="D139" s="16" t="str">
        <x:v>Проч резино-тех изд</x:v>
      </x:c>
      <x:c r="E139" s="16" t="str">
        <x:v>КГ</x:v>
      </x:c>
      <x:c r="F139" s="24" t="n">
        <x:v>8.22</x:v>
      </x:c>
      <x:c r="G139" s="17" t="n">
        <x:v>172.2884</x:v>
      </x:c>
      <x:c r="H139" s="17" t="n">
        <x:f>G139*F139</x:f>
        <x:v>1416.210648</x:v>
      </x:c>
      <x:c r="I139" s="26" t="str">
        <x:f>HYPERLINK("https://etp-aktiv.ru/catalog/materialy/rezino-tekhnicheskie-izdeliya/2000140895-W112/","Открыть позицию")</x:f>
        <x:v>Открыть позицию</x:v>
      </x:c>
    </x:row>
    <x:row r="140" ht="28" customHeight="1">
      <x:c r="A140" s="16" t="str">
        <x:v>Барнаульская ТЭЦ-3</x:v>
      </x:c>
      <x:c r="B140" s="16" t="str">
        <x:v>2000334447-W112</x:v>
      </x:c>
      <x:c r="C140" s="16" t="str">
        <x:v>РЕЗИНА ЛИСТОВАЯ 8ММ МБС ГОСТ7338-90</x:v>
      </x:c>
      <x:c r="D140" s="16" t="str">
        <x:v>Проч резино-тех изд</x:v>
      </x:c>
      <x:c r="E140" s="16" t="str">
        <x:v>КГ</x:v>
      </x:c>
      <x:c r="F140" s="24" t="n">
        <x:v>24.07</x:v>
      </x:c>
      <x:c r="G140" s="17" t="n">
        <x:v>172.4836</x:v>
      </x:c>
      <x:c r="H140" s="17" t="n">
        <x:f>G140*F140</x:f>
        <x:v>4151.680252</x:v>
      </x:c>
      <x:c r="I140" s="26" t="str">
        <x:f>HYPERLINK("https://etp-aktiv.ru/catalog/materialy/rezino-tekhnicheskie-izdeliya/2000334447-W112/","Открыть позицию")</x:f>
        <x:v>Открыть позицию</x:v>
      </x:c>
    </x:row>
    <x:row r="141" ht="28" customHeight="1">
      <x:c r="A141" s="16" t="str">
        <x:v>Барнаульская ТЭЦ-3</x:v>
      </x:c>
      <x:c r="B141" s="16" t="str">
        <x:v>2000547203-W112</x:v>
      </x:c>
      <x:c r="C141" s="16" t="str">
        <x:v>РУКАВ I-9-0,63 ГОСТ9356-75</x:v>
      </x:c>
      <x:c r="D141" s="16" t="str">
        <x:v>РТИ и прч спец.заказ</x:v>
      </x:c>
      <x:c r="E141" s="16" t="str">
        <x:v>ПМ</x:v>
      </x:c>
      <x:c r="F141" s="24" t="n">
        <x:v>22.3</x:v>
      </x:c>
      <x:c r="G141" s="17" t="n">
        <x:v>28.9506</x:v>
      </x:c>
      <x:c r="H141" s="17" t="n">
        <x:f>G141*F141</x:f>
        <x:v>645.59838</x:v>
      </x:c>
      <x:c r="I141" s="26" t="str">
        <x:f>HYPERLINK("https://etp-aktiv.ru/catalog/materialy/rezino-tekhnicheskie-izdeliya/2000547203-W112/","Открыть позицию")</x:f>
        <x:v>Открыть позицию</x:v>
      </x:c>
    </x:row>
    <x:row r="142" ht="28" customHeight="1">
      <x:c r="A142" s="16" t="str">
        <x:v>Барнаульская ТЭЦ-3</x:v>
      </x:c>
      <x:c r="B142" s="16" t="str">
        <x:v>2000547174-W112</x:v>
      </x:c>
      <x:c r="C142" s="16" t="str">
        <x:v>РУКАВ В(II)-10-25-38 ГОСТ18698-79</x:v>
      </x:c>
      <x:c r="D142" s="16" t="str">
        <x:v>РТИ и прч спец.заказ</x:v>
      </x:c>
      <x:c r="E142" s="16" t="str">
        <x:v>М</x:v>
      </x:c>
      <x:c r="F142" s="25" t="n">
        <x:v>4</x:v>
      </x:c>
      <x:c r="G142" s="17" t="n">
        <x:v>108.58</x:v>
      </x:c>
      <x:c r="H142" s="17" t="n">
        <x:f>G142*F142</x:f>
        <x:v>434.32</x:v>
      </x:c>
      <x:c r="I142" s="26" t="str">
        <x:f>HYPERLINK("https://etp-aktiv.ru/catalog/materialy/rezino-tekhnicheskie-izdeliya/2000547174-W112/","Открыть позицию")</x:f>
        <x:v>Открыть позицию</x:v>
      </x:c>
    </x:row>
    <x:row r="143" ht="28" customHeight="1">
      <x:c r="A143" s="16" t="str">
        <x:v>Барнаульская ТЭЦ-3</x:v>
      </x:c>
      <x:c r="B143" s="16" t="str">
        <x:v>2000547189-W112</x:v>
      </x:c>
      <x:c r="C143" s="16" t="str">
        <x:v>РУКАВ Г(IV)-6,3-16-27 ГОСТ18698-79</x:v>
      </x:c>
      <x:c r="D143" s="16" t="str">
        <x:v>РТИ и прч спец.заказ</x:v>
      </x:c>
      <x:c r="E143" s="16" t="str">
        <x:v>М</x:v>
      </x:c>
      <x:c r="F143" s="25" t="n">
        <x:v>11</x:v>
      </x:c>
      <x:c r="G143" s="17" t="n">
        <x:v>130.7352</x:v>
      </x:c>
      <x:c r="H143" s="17" t="n">
        <x:f>G143*F143</x:f>
        <x:v>1438.0872</x:v>
      </x:c>
      <x:c r="I143" s="26" t="str">
        <x:f>HYPERLINK("https://etp-aktiv.ru/catalog/materialy/rezino-tekhnicheskie-izdeliya/2000547189-W112/","Открыть позицию")</x:f>
        <x:v>Открыть позицию</x:v>
      </x:c>
    </x:row>
    <x:row r="144" ht="28" customHeight="1">
      <x:c r="A144" s="16" t="str">
        <x:v>Барнаульская ТЭЦ-3</x:v>
      </x:c>
      <x:c r="B144" s="16" t="str">
        <x:v>2000916188-W112</x:v>
      </x:c>
      <x:c r="C144" s="16" t="str">
        <x:v>РУКАВ ДЮРИТ 40У 20ММ 0,7МПА ТУ0056016-87</x:v>
      </x:c>
      <x:c r="D144" s="16" t="str">
        <x:v>РТИ и прч спец.заказ</x:v>
      </x:c>
      <x:c r="E144" s="16" t="str">
        <x:v>М</x:v>
      </x:c>
      <x:c r="F144" s="30" t="n">
        <x:v>0.3</x:v>
      </x:c>
      <x:c r="G144" s="17" t="n">
        <x:v>199.165</x:v>
      </x:c>
      <x:c r="H144" s="17" t="n">
        <x:f>G144*F144</x:f>
        <x:v>59.7495</x:v>
      </x:c>
      <x:c r="I144" s="26" t="str">
        <x:f>HYPERLINK("https://etp-aktiv.ru/catalog/materialy/rezino-tekhnicheskie-izdeliya/2000916188-W112/","Открыть позицию")</x:f>
        <x:v>Открыть позицию</x:v>
      </x:c>
    </x:row>
    <x:row r="145" ht="28" customHeight="1">
      <x:c r="A145" s="16" t="str">
        <x:v>Барнаульская ТЭЦ-3</x:v>
      </x:c>
      <x:c r="B145" s="16" t="str">
        <x:v>2000445327-W112</x:v>
      </x:c>
      <x:c r="C145" s="16" t="str">
        <x:v>РУКАВ ДЮРИТОВЫЙ 40У D25 P5 ТУ0056016-87</x:v>
      </x:c>
      <x:c r="D145" s="16" t="str">
        <x:v>РТИ и прч спец.заказ</x:v>
      </x:c>
      <x:c r="E145" s="16" t="str">
        <x:v>ПМ</x:v>
      </x:c>
      <x:c r="F145" s="24" t="n">
        <x:v>6.2</x:v>
      </x:c>
      <x:c r="G145" s="17" t="n">
        <x:v>201.54399999999998</x:v>
      </x:c>
      <x:c r="H145" s="17" t="n">
        <x:f>G145*F145</x:f>
        <x:v>1249.5728</x:v>
      </x:c>
      <x:c r="I145" s="26" t="str">
        <x:f>HYPERLINK("https://etp-aktiv.ru/catalog/materialy/rezino-tekhnicheskie-izdeliya/2000445327-W112/","Открыть позицию")</x:f>
        <x:v>Открыть позицию</x:v>
      </x:c>
    </x:row>
    <x:row r="146" ht="28" customHeight="1">
      <x:c r="A146" s="16" t="str">
        <x:v>Барнаульская ТЭЦ-3</x:v>
      </x:c>
      <x:c r="B146" s="16" t="str">
        <x:v>2000005462-W112</x:v>
      </x:c>
      <x:c r="C146" s="16" t="str">
        <x:v>РУКАВ ДЮРИТОВЫЙ D32 P13 ТУ0056016-87</x:v>
      </x:c>
      <x:c r="D146" s="16" t="str">
        <x:v>РТИ и прч спец.заказ</x:v>
      </x:c>
      <x:c r="E146" s="16" t="str">
        <x:v>ПМ</x:v>
      </x:c>
      <x:c r="F146" s="25" t="n">
        <x:v>8</x:v>
      </x:c>
      <x:c r="G146" s="17" t="n">
        <x:v>414.0192</x:v>
      </x:c>
      <x:c r="H146" s="17" t="n">
        <x:f>G146*F146</x:f>
        <x:v>3312.1536</x:v>
      </x:c>
      <x:c r="I146" s="26" t="str">
        <x:f>HYPERLINK("https://etp-aktiv.ru/catalog/materialy/rezino-tekhnicheskie-izdeliya/2000005462-W112/","Открыть позицию")</x:f>
        <x:v>Открыть позицию</x:v>
      </x:c>
    </x:row>
    <x:row r="147" ht="28" customHeight="1">
      <x:c r="A147" s="16" t="str">
        <x:v>Барнаульская ТЭЦ-3</x:v>
      </x:c>
      <x:c r="B147" s="16" t="str">
        <x:v>2000006128-W112</x:v>
      </x:c>
      <x:c r="C147" s="16" t="str">
        <x:v>РУКАВ ДЮРИТОВЫЙ D38 P13 ТУ0056016-87</x:v>
      </x:c>
      <x:c r="D147" s="16" t="str">
        <x:v>РТИ и прч спец.заказ</x:v>
      </x:c>
      <x:c r="E147" s="16" t="str">
        <x:v>ПМ</x:v>
      </x:c>
      <x:c r="F147" s="25" t="n">
        <x:v>470</x:v>
      </x:c>
      <x:c r="G147" s="17" t="n">
        <x:v>564.1036</x:v>
      </x:c>
      <x:c r="H147" s="17" t="n">
        <x:f>G147*F147</x:f>
        <x:v>265128.69200000004</x:v>
      </x:c>
      <x:c r="I147" s="26" t="str">
        <x:f>HYPERLINK("https://etp-aktiv.ru/catalog/materialy/rezino-tekhnicheskie-izdeliya/2000006128-W112/","Открыть позицию")</x:f>
        <x:v>Открыть позицию</x:v>
      </x:c>
    </x:row>
    <x:row r="148" ht="28" customHeight="1">
      <x:c r="A148" s="16" t="str">
        <x:v>Барнаульская ТЭЦ-3</x:v>
      </x:c>
      <x:c r="B148" s="16" t="str">
        <x:v>2000683640-W112</x:v>
      </x:c>
      <x:c r="C148" s="16" t="str">
        <x:v>РУКАВ С НИТ ОПЛЕТ 16*25 1,6 ГОСТ10362-76</x:v>
      </x:c>
      <x:c r="D148" s="16" t="str">
        <x:v>РТИ и прч спец.заказ</x:v>
      </x:c>
      <x:c r="E148" s="16" t="str">
        <x:v>ПМ</x:v>
      </x:c>
      <x:c r="F148" s="24" t="n">
        <x:v>529.1</x:v>
      </x:c>
      <x:c r="G148" s="17" t="n">
        <x:v>113.9968</x:v>
      </x:c>
      <x:c r="H148" s="17" t="n">
        <x:f>G148*F148</x:f>
        <x:v>60315.70688</x:v>
      </x:c>
      <x:c r="I148" s="26" t="str">
        <x:f>HYPERLINK("https://etp-aktiv.ru/catalog/materialy/rezino-tekhnicheskie-izdeliya/2000683640-W112/","Открыть позицию")</x:f>
        <x:v>Открыть позицию</x:v>
      </x:c>
    </x:row>
    <x:row r="149" ht="28" customHeight="1">
      <x:c r="A149" s="16" t="str">
        <x:v>Барнаульская ТЭЦ-3</x:v>
      </x:c>
      <x:c r="B149" s="16" t="str">
        <x:v>2000548586-W112</x:v>
      </x:c>
      <x:c r="C149" s="16" t="str">
        <x:v>СИНТОФЛЕКС(ПЛЕН/СИНТ/КАРТ) 515П 0,25*900</x:v>
      </x:c>
      <x:c r="D149" s="16" t="str">
        <x:v>Э/изоляцион мат-лы</x:v>
      </x:c>
      <x:c r="E149" s="16" t="str">
        <x:v>ПМ</x:v>
      </x:c>
      <x:c r="F149" s="24" t="n">
        <x:v>18.541</x:v>
      </x:c>
      <x:c r="G149" s="17" t="n">
        <x:v>394.3528</x:v>
      </x:c>
      <x:c r="H149" s="17" t="n">
        <x:f>G149*F149</x:f>
        <x:v>7311.695264800001</x:v>
      </x:c>
      <x:c r="I149" s="26" t="str">
        <x:f>HYPERLINK("https://etp-aktiv.ru/catalog/materialy/ehlektroizolyacionnye-materialy/2000548586-W112/","Открыть позицию")</x:f>
        <x:v>Открыть позицию</x:v>
      </x:c>
    </x:row>
    <x:row r="150" ht="28" customHeight="1">
      <x:c r="A150" s="16" t="str">
        <x:v>Барнаульская ТЭЦ-3</x:v>
      </x:c>
      <x:c r="B150" s="16" t="str">
        <x:v>2000138992-W112</x:v>
      </x:c>
      <x:c r="C150" s="16" t="str">
        <x:v>СТЕКЛОХОЛСТ Т-23</x:v>
      </x:c>
      <x:c r="D150" s="16" t="str">
        <x:v>Теплоизоляция</x:v>
      </x:c>
      <x:c r="E150" s="16" t="str">
        <x:v>М2</x:v>
      </x:c>
      <x:c r="F150" s="24" t="n">
        <x:v>204.005</x:v>
      </x:c>
      <x:c r="G150" s="17" t="n">
        <x:v>47.153</x:v>
      </x:c>
      <x:c r="H150" s="17" t="n">
        <x:f>G150*F150</x:f>
        <x:v>9619.447764999999</x:v>
      </x:c>
      <x:c r="I150" s="26" t="str">
        <x:f>HYPERLINK("https://etp-aktiv.ru/catalog/materialy/teploizolyaciya/2000138992-W112/","Открыть позицию")</x:f>
        <x:v>Открыть позицию</x:v>
      </x:c>
    </x:row>
    <x:row r="151" ht="28" customHeight="1">
      <x:c r="A151" s="16" t="str">
        <x:v>Барнаульская ТЭЦ-3</x:v>
      </x:c>
      <x:c r="B151" s="16" t="str">
        <x:v>2000694155-W112</x:v>
      </x:c>
      <x:c r="C151" s="16" t="str">
        <x:v>СТЕРЖЕНЬ ФТОР Ф-4 300*650 ТУ6-05-810-88</x:v>
      </x:c>
      <x:c r="D151" s="16" t="str">
        <x:v>Э/изоляцион мат-лы</x:v>
      </x:c>
      <x:c r="E151" s="16" t="str">
        <x:v>КГ</x:v>
      </x:c>
      <x:c r="F151" s="24" t="n">
        <x:v>8.56</x:v>
      </x:c>
      <x:c r="G151" s="17" t="n">
        <x:v>531.981</x:v>
      </x:c>
      <x:c r="H151" s="17" t="n">
        <x:f>G151*F151</x:f>
        <x:v>4553.7573600000005</x:v>
      </x:c>
      <x:c r="I151" s="26" t="str">
        <x:f>HYPERLINK("https://etp-aktiv.ru/catalog/materialy/ehlektroizolyacionnye-materialy/2000694155-W112/","Открыть позицию")</x:f>
        <x:v>Открыть позицию</x:v>
      </x:c>
    </x:row>
    <x:row r="152" ht="28" customHeight="1">
      <x:c r="A152" s="16" t="str">
        <x:v>Барнаульская ТЭЦ-3</x:v>
      </x:c>
      <x:c r="B152" s="16" t="str">
        <x:v>2000548629-W112</x:v>
      </x:c>
      <x:c r="C152" s="16" t="str">
        <x:v>СТЕРЖЕНЬ ФТОРОПЛАСТ Ф-4 40*600ММ</x:v>
      </x:c>
      <x:c r="D152" s="16" t="str">
        <x:v>Э/изоляцион мат-лы</x:v>
      </x:c>
      <x:c r="E152" s="16" t="str">
        <x:v>КГ</x:v>
      </x:c>
      <x:c r="F152" s="24" t="n">
        <x:v>11.78</x:v>
      </x:c>
      <x:c r="G152" s="17" t="n">
        <x:v>595.8968</x:v>
      </x:c>
      <x:c r="H152" s="17" t="n">
        <x:f>G152*F152</x:f>
        <x:v>7019.664303999999</x:v>
      </x:c>
      <x:c r="I152" s="26" t="str">
        <x:f>HYPERLINK("https://etp-aktiv.ru/catalog/materialy/ehlektroizolyacionnye-materialy/2000548629-W112/","Открыть позицию")</x:f>
        <x:v>Открыть позицию</x:v>
      </x:c>
    </x:row>
    <x:row r="153" ht="28" customHeight="1">
      <x:c r="A153" s="16" t="str">
        <x:v>Барнаульская ТЭЦ-3</x:v>
      </x:c>
      <x:c r="B153" s="16" t="str">
        <x:v>2000547019-W112</x:v>
      </x:c>
      <x:c r="C153" s="16" t="str">
        <x:v>ТЕХПЛАСТИНА 12*1200*5000 УМ ГОСТ12855-77</x:v>
      </x:c>
      <x:c r="D153" s="16" t="str">
        <x:v>Проч резино-тех изд</x:v>
      </x:c>
      <x:c r="E153" s="16" t="str">
        <x:v>КГ</x:v>
      </x:c>
      <x:c r="F153" s="25" t="n">
        <x:v>10</x:v>
      </x:c>
      <x:c r="G153" s="17" t="n">
        <x:v>353.21439999999996</x:v>
      </x:c>
      <x:c r="H153" s="17" t="n">
        <x:f>G153*F153</x:f>
        <x:v>3532.1439999999993</x:v>
      </x:c>
      <x:c r="I153" s="26" t="str">
        <x:f>HYPERLINK("https://etp-aktiv.ru/catalog/materialy/rezino-tekhnicheskie-izdeliya/2000547019-W112/","Открыть позицию")</x:f>
        <x:v>Открыть позицию</x:v>
      </x:c>
    </x:row>
    <x:row r="154" ht="28" customHeight="1">
      <x:c r="A154" s="16" t="str">
        <x:v>Барнаульская ТЭЦ-3</x:v>
      </x:c>
      <x:c r="B154" s="16" t="str">
        <x:v>2000147850-W112</x:v>
      </x:c>
      <x:c r="C154" s="16" t="str">
        <x:v>ТЕХПЛАСТИНА 2*1000*1000 МБС-С ГОСТ7338</x:v>
      </x:c>
      <x:c r="D154" s="16" t="str">
        <x:v>Проч резино-тех изд</x:v>
      </x:c>
      <x:c r="E154" s="16" t="str">
        <x:v>КГ</x:v>
      </x:c>
      <x:c r="F154" s="24" t="n">
        <x:v>46.06</x:v>
      </x:c>
      <x:c r="G154" s="17" t="n">
        <x:v>131.4916</x:v>
      </x:c>
      <x:c r="H154" s="17" t="n">
        <x:f>G154*F154</x:f>
        <x:v>6056.503096</x:v>
      </x:c>
      <x:c r="I154" s="26" t="str">
        <x:f>HYPERLINK("https://etp-aktiv.ru/catalog/materialy/rezino-tekhnicheskie-izdeliya/2000147850-W112/","Открыть позицию")</x:f>
        <x:v>Открыть позицию</x:v>
      </x:c>
    </x:row>
    <x:row r="155" ht="28" customHeight="1">
      <x:c r="A155" s="16" t="str">
        <x:v>Барнаульская ТЭЦ-3</x:v>
      </x:c>
      <x:c r="B155" s="16" t="str">
        <x:v>2000147834-W112</x:v>
      </x:c>
      <x:c r="C155" s="16" t="str">
        <x:v>ТЕХПЛАСТИНА 3*1000*1000 МБС-С ГОСТ7338</x:v>
      </x:c>
      <x:c r="D155" s="16" t="str">
        <x:v>Проч резино-тех изд</x:v>
      </x:c>
      <x:c r="E155" s="16" t="str">
        <x:v>КГ</x:v>
      </x:c>
      <x:c r="F155" s="24" t="n">
        <x:v>13.92</x:v>
      </x:c>
      <x:c r="G155" s="17" t="n">
        <x:v>127.3192</x:v>
      </x:c>
      <x:c r="H155" s="17" t="n">
        <x:f>G155*F155</x:f>
        <x:v>1772.283264</x:v>
      </x:c>
      <x:c r="I155" s="26" t="str">
        <x:f>HYPERLINK("https://etp-aktiv.ru/catalog/materialy/rezino-tekhnicheskie-izdeliya/2000147834-W112/","Открыть позицию")</x:f>
        <x:v>Открыть позицию</x:v>
      </x:c>
    </x:row>
    <x:row r="156" ht="28" customHeight="1">
      <x:c r="A156" s="16" t="str">
        <x:v>Барнаульская ТЭЦ-3</x:v>
      </x:c>
      <x:c r="B156" s="16" t="str">
        <x:v>2000547042-W112</x:v>
      </x:c>
      <x:c r="C156" s="16" t="str">
        <x:v>ТЕХПЛАСТИНА 5*1000*2000 1Н-I-МБС-С Г7338</x:v>
      </x:c>
      <x:c r="D156" s="16" t="str">
        <x:v>Проч резино-тех изд</x:v>
      </x:c>
      <x:c r="E156" s="16" t="str">
        <x:v>КГ</x:v>
      </x:c>
      <x:c r="F156" s="24" t="n">
        <x:v>85.78</x:v>
      </x:c>
      <x:c r="G156" s="17" t="n">
        <x:v>132.0528</x:v>
      </x:c>
      <x:c r="H156" s="17" t="n">
        <x:f>G156*F156</x:f>
        <x:v>11327.489184</x:v>
      </x:c>
      <x:c r="I156" s="26" t="str">
        <x:f>HYPERLINK("https://etp-aktiv.ru/catalog/materialy/rezino-tekhnicheskie-izdeliya/2000547042-W112/","Открыть позицию")</x:f>
        <x:v>Открыть позицию</x:v>
      </x:c>
    </x:row>
    <x:row r="157" ht="28" customHeight="1">
      <x:c r="A157" s="16" t="str">
        <x:v>Барнаульская ТЭЦ-3</x:v>
      </x:c>
      <x:c r="B157" s="16" t="str">
        <x:v>2000499782-W112</x:v>
      </x:c>
      <x:c r="C157" s="16" t="str">
        <x:v>ТЕХПЛАСТИНА 5ММ МБС-М ГОСТ7338-90</x:v>
      </x:c>
      <x:c r="D157" s="16" t="str">
        <x:v>Проч резино-тех изд</x:v>
      </x:c>
      <x:c r="E157" s="16" t="str">
        <x:v>КГ</x:v>
      </x:c>
      <x:c r="F157" s="24" t="n">
        <x:v>29.7</x:v>
      </x:c>
      <x:c r="G157" s="17" t="n">
        <x:v>116.6686</x:v>
      </x:c>
      <x:c r="H157" s="17" t="n">
        <x:f>G157*F157</x:f>
        <x:v>3465.0574199999996</x:v>
      </x:c>
      <x:c r="I157" s="26" t="str">
        <x:f>HYPERLINK("https://etp-aktiv.ru/catalog/materialy/rezino-tekhnicheskie-izdeliya/2000499782-W112/","Открыть позицию")</x:f>
        <x:v>Открыть позицию</x:v>
      </x:c>
    </x:row>
    <x:row r="158" ht="28" customHeight="1">
      <x:c r="A158" s="16" t="str">
        <x:v>Барнаульская ТЭЦ-3</x:v>
      </x:c>
      <x:c r="B158" s="16" t="str">
        <x:v>2000546901-W112</x:v>
      </x:c>
      <x:c r="C158" s="16" t="str">
        <x:v>ШНУР 16 1,2С ГОСТ6467-79</x:v>
      </x:c>
      <x:c r="D158" s="16" t="str">
        <x:v>Проч резино-тех изд</x:v>
      </x:c>
      <x:c r="E158" s="16" t="str">
        <x:v>КГ</x:v>
      </x:c>
      <x:c r="F158" s="25" t="n">
        <x:v>10</x:v>
      </x:c>
      <x:c r="G158" s="17" t="n">
        <x:v>89.1454</x:v>
      </x:c>
      <x:c r="H158" s="17" t="n">
        <x:f>G158*F158</x:f>
        <x:v>891.454</x:v>
      </x:c>
      <x:c r="I158" s="26" t="str">
        <x:f>HYPERLINK("https://etp-aktiv.ru/catalog/materialy/rezino-tekhnicheskie-izdeliya/2000546901-W112/","Открыть позицию")</x:f>
        <x:v>Открыть позицию</x:v>
      </x:c>
    </x:row>
    <x:row r="159" ht="28" customHeight="1">
      <x:c r="A159" s="16" t="str">
        <x:v>Барнаульская ТЭЦ-3</x:v>
      </x:c>
      <x:c r="B159" s="16" t="str">
        <x:v>2000117713-W112</x:v>
      </x:c>
      <x:c r="C159" s="16" t="str">
        <x:v>ШНУР 28ММ ГОСТ6467-79</x:v>
      </x:c>
      <x:c r="D159" s="16" t="str">
        <x:v>Проч резино-тех изд</x:v>
      </x:c>
      <x:c r="E159" s="16" t="str">
        <x:v>КГ</x:v>
      </x:c>
      <x:c r="F159" s="25" t="n">
        <x:v>20</x:v>
      </x:c>
      <x:c r="G159" s="17" t="n">
        <x:v>388.143</x:v>
      </x:c>
      <x:c r="H159" s="17" t="n">
        <x:f>G159*F159</x:f>
        <x:v>7762.86</x:v>
      </x:c>
      <x:c r="I159" s="26" t="str">
        <x:f>HYPERLINK("https://etp-aktiv.ru/catalog/materialy/rezino-tekhnicheskie-izdeliya/2000117713-W112/","Открыть позицию")</x:f>
        <x:v>Открыть позицию</x:v>
      </x:c>
    </x:row>
    <x:row r="160" ht="28" customHeight="1">
      <x:c r="A160" s="16" t="str">
        <x:v>Барнаульская ТЭЦ-3</x:v>
      </x:c>
      <x:c r="B160" s="16" t="str">
        <x:v>2000354280-W112</x:v>
      </x:c>
      <x:c r="C160" s="16" t="str">
        <x:v>ШНУР МБС 4С 40ММ ГОСТ6467-79</x:v>
      </x:c>
      <x:c r="D160" s="16" t="str">
        <x:v>Проч резино-тех изд</x:v>
      </x:c>
      <x:c r="E160" s="16" t="str">
        <x:v>КГ</x:v>
      </x:c>
      <x:c r="F160" s="24" t="n">
        <x:v>7.05</x:v>
      </x:c>
      <x:c r="G160" s="17" t="n">
        <x:v>214.35399999999998</x:v>
      </x:c>
      <x:c r="H160" s="17" t="n">
        <x:f>G160*F160</x:f>
        <x:v>1511.1956999999998</x:v>
      </x:c>
      <x:c r="I160" s="26" t="str">
        <x:f>HYPERLINK("https://etp-aktiv.ru/catalog/materialy/rezino-tekhnicheskie-izdeliya/2000354280-W112/","Открыть позицию")</x:f>
        <x:v>Открыть позицию</x:v>
      </x:c>
    </x:row>
    <x:row r="161" ht="28" customHeight="1">
      <x:c r="A161" s="16" t="str">
        <x:v>Барнаульская ТЭЦ-3</x:v>
      </x:c>
      <x:c r="B161" s="16" t="str">
        <x:v>2000546766-W112</x:v>
      </x:c>
      <x:c r="C161" s="16" t="str">
        <x:v>ШНУР РЕЗ 1,2C 8 ГОСТ6467-79</x:v>
      </x:c>
      <x:c r="D161" s="16" t="str">
        <x:v>Проч резино-тех изд</x:v>
      </x:c>
      <x:c r="E161" s="16" t="str">
        <x:v>КГ</x:v>
      </x:c>
      <x:c r="F161" s="24" t="n">
        <x:v>2.59</x:v>
      </x:c>
      <x:c r="G161" s="17" t="n">
        <x:v>218.30679999999998</x:v>
      </x:c>
      <x:c r="H161" s="17" t="n">
        <x:f>G161*F161</x:f>
        <x:v>565.4146119999999</x:v>
      </x:c>
      <x:c r="I161" s="26" t="str">
        <x:f>HYPERLINK("https://etp-aktiv.ru/catalog/materialy/rezino-tekhnicheskie-izdeliya/2000546766-W112/","Открыть позицию")</x:f>
        <x:v>Открыть позицию</x:v>
      </x:c>
    </x:row>
    <x:row r="162" ht="28" customHeight="1">
      <x:c r="A162" s="16" t="str">
        <x:v>Барнаульская ТЭЦ-3</x:v>
      </x:c>
      <x:c r="B162" s="16" t="str">
        <x:v>2000546778-W112</x:v>
      </x:c>
      <x:c r="C162" s="16" t="str">
        <x:v>ШНУР РЕЗ 1,5C 50 ГОСТ6467-79</x:v>
      </x:c>
      <x:c r="D162" s="16" t="str">
        <x:v>Проч резино-тех изд</x:v>
      </x:c>
      <x:c r="E162" s="16" t="str">
        <x:v>КГ</x:v>
      </x:c>
      <x:c r="F162" s="24" t="n">
        <x:v>25.8</x:v>
      </x:c>
      <x:c r="G162" s="17" t="n">
        <x:v>183.51239999999999</x:v>
      </x:c>
      <x:c r="H162" s="17" t="n">
        <x:f>G162*F162</x:f>
        <x:v>4734.61992</x:v>
      </x:c>
      <x:c r="I162" s="26" t="str">
        <x:f>HYPERLINK("https://etp-aktiv.ru/catalog/materialy/rezino-tekhnicheskie-izdeliya/2000546778-W112/","Открыть позицию")</x:f>
        <x:v>Открыть позицию</x:v>
      </x:c>
    </x:row>
    <x:row r="163" ht="28" customHeight="1">
      <x:c r="A163" s="16" t="str">
        <x:v>Барнаульская ТЭЦ-3</x:v>
      </x:c>
      <x:c r="B163" s="16" t="str">
        <x:v>2000546873-W112</x:v>
      </x:c>
      <x:c r="C163" s="16" t="str">
        <x:v>ШНУР РЕЗ 10 ТУ38.105.1165-90</x:v>
      </x:c>
      <x:c r="D163" s="16" t="str">
        <x:v>Проч резино-тех изд</x:v>
      </x:c>
      <x:c r="E163" s="16" t="str">
        <x:v>КГ</x:v>
      </x:c>
      <x:c r="F163" s="24" t="n">
        <x:v>9.6</x:v>
      </x:c>
      <x:c r="G163" s="17" t="n">
        <x:v>142.75220000000002</x:v>
      </x:c>
      <x:c r="H163" s="17" t="n">
        <x:f>G163*F163</x:f>
        <x:v>1370.4211200000002</x:v>
      </x:c>
      <x:c r="I163" s="26" t="str">
        <x:f>HYPERLINK("https://etp-aktiv.ru/catalog/materialy/rezino-tekhnicheskie-izdeliya/2000546873-W112/","Открыть позицию")</x:f>
        <x:v>Открыть позицию</x:v>
      </x:c>
    </x:row>
    <x:row r="164" ht="28" customHeight="1">
      <x:c r="A164" s="16" t="str">
        <x:v>Барнаульская ТЭЦ-3</x:v>
      </x:c>
      <x:c r="B164" s="16" t="str">
        <x:v>2000784018-W112</x:v>
      </x:c>
      <x:c r="C164" s="16" t="str">
        <x:v>ШНУР РЕЗИНОВЫЙ 2-5С D14 ГОСТ6467-79</x:v>
      </x:c>
      <x:c r="D164" s="16" t="str">
        <x:v>Проч резино-тех изд</x:v>
      </x:c>
      <x:c r="E164" s="16" t="str">
        <x:v>КГ</x:v>
      </x:c>
      <x:c r="F164" s="24" t="n">
        <x:v>38.85</x:v>
      </x:c>
      <x:c r="G164" s="17" t="n">
        <x:v>349.71299999999997</x:v>
      </x:c>
      <x:c r="H164" s="17" t="n">
        <x:f>G164*F164</x:f>
        <x:v>13586.35005</x:v>
      </x:c>
      <x:c r="I164" s="26" t="str">
        <x:f>HYPERLINK("https://etp-aktiv.ru/catalog/materialy/rezino-tekhnicheskie-izdeliya/2000784018-W112/","Открыть позицию")</x:f>
        <x:v>Открыть позицию</x:v>
      </x:c>
    </x:row>
    <x:row r="165" ht="28" customHeight="1">
      <x:c r="A165" s="16" t="str">
        <x:v>Бийскэнерго</x:v>
      </x:c>
      <x:c r="B165" s="16" t="str">
        <x:v>2000019536-W113</x:v>
      </x:c>
      <x:c r="C165" s="16" t="str">
        <x:v>АСБОКАРТОН КАОН 10ММ</x:v>
      </x:c>
      <x:c r="D165" s="16" t="str">
        <x:v>Асбо-технические изд</x:v>
      </x:c>
      <x:c r="E165" s="16" t="str">
        <x:v>КГ</x:v>
      </x:c>
      <x:c r="F165" s="24" t="n">
        <x:v>29.95</x:v>
      </x:c>
      <x:c r="G165" s="17" t="n">
        <x:v>60.39</x:v>
      </x:c>
      <x:c r="H165" s="17" t="n">
        <x:f>G165*F165</x:f>
        <x:v>1808.6805</x:v>
      </x:c>
      <x:c r="I165" s="26" t="str">
        <x:f>HYPERLINK("https://etp-aktiv.ru/catalog/materialy/asbo-tekhnicheskie-izdeliya/2000019536-W113/","Открыть позицию")</x:f>
        <x:v>Открыть позицию</x:v>
      </x:c>
    </x:row>
    <x:row r="166" ht="28" customHeight="1">
      <x:c r="A166" s="16" t="str">
        <x:v>Бийскэнерго</x:v>
      </x:c>
      <x:c r="B166" s="16" t="str">
        <x:v>2000808078-W113</x:v>
      </x:c>
      <x:c r="C166" s="16" t="str">
        <x:v>ВОЙЛОК ТЕХНИЧЕСКИЙ 12ММ ГОСТ6418-67</x:v>
      </x:c>
      <x:c r="D166" s="16" t="str">
        <x:v>Теплоизоляция</x:v>
      </x:c>
      <x:c r="E166" s="16" t="str">
        <x:v>КГ</x:v>
      </x:c>
      <x:c r="F166" s="30" t="n">
        <x:v>0.7</x:v>
      </x:c>
      <x:c r="G166" s="17" t="n">
        <x:v>456.07259999999997</x:v>
      </x:c>
      <x:c r="H166" s="17" t="n">
        <x:f>G166*F166</x:f>
        <x:v>319.25082</x:v>
      </x:c>
      <x:c r="I166" s="26" t="str">
        <x:f>HYPERLINK("https://etp-aktiv.ru/catalog/materialy/teploizolyaciya/2000808078-W113/","Открыть позицию")</x:f>
        <x:v>Открыть позицию</x:v>
      </x:c>
    </x:row>
    <x:row r="167" ht="28" customHeight="1">
      <x:c r="A167" s="16" t="str">
        <x:v>Бийскэнерго</x:v>
      </x:c>
      <x:c r="B167" s="16" t="str">
        <x:v>2000150813-W113</x:v>
      </x:c>
      <x:c r="C167" s="16" t="str">
        <x:v>ИЗОЛЕНТА REXANT 19ММ*25М</x:v>
      </x:c>
      <x:c r="D167" s="16" t="str">
        <x:v>Э/изоляцион мат-лы</x:v>
      </x:c>
      <x:c r="E167" s="16" t="str">
        <x:v>РУЛ</x:v>
      </x:c>
      <x:c r="F167" s="25" t="n">
        <x:v>17</x:v>
      </x:c>
      <x:c r="G167" s="17" t="n">
        <x:v>28.718799999999998</x:v>
      </x:c>
      <x:c r="H167" s="17" t="n">
        <x:f>G167*F167</x:f>
        <x:v>488.21959999999996</x:v>
      </x:c>
      <x:c r="I167" s="26" t="str">
        <x:f>HYPERLINK("https://etp-aktiv.ru/catalog/materialy/ehlektroizolyacionnye-materialy/2000150813-W113/","Открыть позицию")</x:f>
        <x:v>Открыть позицию</x:v>
      </x:c>
    </x:row>
    <x:row r="168" ht="28" customHeight="1">
      <x:c r="A168" s="16" t="str">
        <x:v>Бийскэнерго</x:v>
      </x:c>
      <x:c r="B168" s="16" t="str">
        <x:v>2000234697-W113</x:v>
      </x:c>
      <x:c r="C168" s="16" t="str">
        <x:v>ИЗОЛЕНТА SAFELINE 15ММ*20М*0,15ММ</x:v>
      </x:c>
      <x:c r="D168" s="16" t="str">
        <x:v>Э/изоляцион мат-лы</x:v>
      </x:c>
      <x:c r="E168" s="16" t="str">
        <x:v>ШТ</x:v>
      </x:c>
      <x:c r="F168" s="25" t="n">
        <x:v>26</x:v>
      </x:c>
      <x:c r="G168" s="17" t="n">
        <x:v>20.8986</x:v>
      </x:c>
      <x:c r="H168" s="17" t="n">
        <x:f>G168*F168</x:f>
        <x:v>543.3635999999999</x:v>
      </x:c>
      <x:c r="I168" s="26" t="str">
        <x:f>HYPERLINK("https://etp-aktiv.ru/catalog/materialy/ehlektroizolyacionnye-materialy/2000234697-W113/","Открыть позицию")</x:f>
        <x:v>Открыть позицию</x:v>
      </x:c>
    </x:row>
    <x:row r="169" ht="28" customHeight="1">
      <x:c r="A169" s="16" t="str">
        <x:v>Бийскэнерго</x:v>
      </x:c>
      <x:c r="B169" s="16" t="str">
        <x:v>2000176869-W113</x:v>
      </x:c>
      <x:c r="C169" s="16" t="str">
        <x:v>ИЗОЛЕНТА SAFELINE 19ММ*20М</x:v>
      </x:c>
      <x:c r="D169" s="16" t="str">
        <x:v>Э/изоляцион мат-лы</x:v>
      </x:c>
      <x:c r="E169" s="16" t="str">
        <x:v>ШТ</x:v>
      </x:c>
      <x:c r="F169" s="25" t="n">
        <x:v>1</x:v>
      </x:c>
      <x:c r="G169" s="17" t="n">
        <x:v>33.855</x:v>
      </x:c>
      <x:c r="H169" s="17" t="n">
        <x:f>G169*F169</x:f>
        <x:v>33.855</x:v>
      </x:c>
      <x:c r="I169" s="26" t="str">
        <x:f>HYPERLINK("https://etp-aktiv.ru/catalog/materialy/ehlektroizolyacionnye-materialy/2000176869-W113/","Открыть позицию")</x:f>
        <x:v>Открыть позицию</x:v>
      </x:c>
    </x:row>
    <x:row r="170" ht="28" customHeight="1">
      <x:c r="A170" s="16" t="str">
        <x:v>Бийскэнерго</x:v>
      </x:c>
      <x:c r="B170" s="16" t="str">
        <x:v>2000325148-W113</x:v>
      </x:c>
      <x:c r="C170" s="16" t="str">
        <x:v>ИЗОЛЕНТА ПВХ TDM 0,13*15ММ*20М СИНЯЯ</x:v>
      </x:c>
      <x:c r="D170" s="16" t="str">
        <x:v>Э/изоляцион мат-лы</x:v>
      </x:c>
      <x:c r="E170" s="16" t="str">
        <x:v>ШТ</x:v>
      </x:c>
      <x:c r="F170" s="25" t="n">
        <x:v>3</x:v>
      </x:c>
      <x:c r="G170" s="17" t="n">
        <x:v>24.705</x:v>
      </x:c>
      <x:c r="H170" s="17" t="n">
        <x:f>G170*F170</x:f>
        <x:v>74.115</x:v>
      </x:c>
      <x:c r="I170" s="26" t="str">
        <x:f>HYPERLINK("https://etp-aktiv.ru/catalog/materialy/ehlektroizolyacionnye-materialy/2000325148-W113/","Открыть позицию")</x:f>
        <x:v>Открыть позицию</x:v>
      </x:c>
    </x:row>
    <x:row r="171" ht="28" customHeight="1">
      <x:c r="A171" s="16" t="str">
        <x:v>Бийскэнерго</x:v>
      </x:c>
      <x:c r="B171" s="16" t="str">
        <x:v>2000538970-W113</x:v>
      </x:c>
      <x:c r="C171" s="16" t="str">
        <x:v>КМП КОЛЕЦ 2ШТ КШ-03-2*4-104*72*96-ГФ-2</x:v>
      </x:c>
      <x:c r="D171" s="16" t="str">
        <x:v>Асбо-технические изд</x:v>
      </x:c>
      <x:c r="E171" s="16" t="str">
        <x:v>КМП</x:v>
      </x:c>
      <x:c r="F171" s="25" t="n">
        <x:v>18</x:v>
      </x:c>
      <x:c r="G171" s="17" t="n">
        <x:v>1049.7856</x:v>
      </x:c>
      <x:c r="H171" s="17" t="n">
        <x:f>G171*F171</x:f>
        <x:v>18896.140799999997</x:v>
      </x:c>
      <x:c r="I171" s="26" t="str">
        <x:f>HYPERLINK("https://etp-aktiv.ru/catalog/materialy/asbo-tekhnicheskie-izdeliya/2000538970-W113/","Открыть позицию")</x:f>
        <x:v>Открыть позицию</x:v>
      </x:c>
    </x:row>
    <x:row r="172" ht="28" customHeight="1">
      <x:c r="A172" s="16" t="str">
        <x:v>Бийскэнерго</x:v>
      </x:c>
      <x:c r="B172" s="16" t="str">
        <x:v>2000711303-W113</x:v>
      </x:c>
      <x:c r="C172" s="16" t="str">
        <x:v>КМП КОЛЕЦ 6ШТ КШ-03 2*4-86*60*78-ГФ-2</x:v>
      </x:c>
      <x:c r="D172" s="16" t="str">
        <x:v>Асбо-технические изд</x:v>
      </x:c>
      <x:c r="E172" s="16" t="str">
        <x:v>ШТ</x:v>
      </x:c>
      <x:c r="F172" s="25" t="n">
        <x:v>2</x:v>
      </x:c>
      <x:c r="G172" s="17" t="n">
        <x:v>874.2886</x:v>
      </x:c>
      <x:c r="H172" s="17" t="n">
        <x:f>G172*F172</x:f>
        <x:v>1748.5772</x:v>
      </x:c>
      <x:c r="I172" s="26" t="str">
        <x:f>HYPERLINK("https://etp-aktiv.ru/catalog/materialy/asbo-tekhnicheskie-izdeliya/2000711303-W113/","Открыть позицию")</x:f>
        <x:v>Открыть позицию</x:v>
      </x:c>
    </x:row>
    <x:row r="173" ht="28" customHeight="1">
      <x:c r="A173" s="16" t="str">
        <x:v>Бийскэнерго</x:v>
      </x:c>
      <x:c r="B173" s="16" t="str">
        <x:v>2000539072-W113</x:v>
      </x:c>
      <x:c r="C173" s="16" t="str">
        <x:v>КМП КОЛЕЦ 6ШТ КШ-04-2*4-62*36*78-ГФ-2</x:v>
      </x:c>
      <x:c r="D173" s="16" t="str">
        <x:v>Асбо-технические изд</x:v>
      </x:c>
      <x:c r="E173" s="16" t="str">
        <x:v>КМП</x:v>
      </x:c>
      <x:c r="F173" s="25" t="n">
        <x:v>1</x:v>
      </x:c>
      <x:c r="G173" s="17" t="n">
        <x:v>59.292</x:v>
      </x:c>
      <x:c r="H173" s="17" t="n">
        <x:f>G173*F173</x:f>
        <x:v>59.292</x:v>
      </x:c>
      <x:c r="I173" s="26" t="str">
        <x:f>HYPERLINK("https://etp-aktiv.ru/catalog/materialy/asbo-tekhnicheskie-izdeliya/2000539072-W113/","Открыть позицию")</x:f>
        <x:v>Открыть позицию</x:v>
      </x:c>
    </x:row>
    <x:row r="174" ht="28" customHeight="1">
      <x:c r="A174" s="16" t="str">
        <x:v>Бийскэнерго</x:v>
      </x:c>
      <x:c r="B174" s="16" t="str">
        <x:v>2000539083-W113</x:v>
      </x:c>
      <x:c r="C174" s="16" t="str">
        <x:v>КМП КОЛЕЦ КГФ-Г К-04Ш 2*4-78*52*78</x:v>
      </x:c>
      <x:c r="D174" s="16" t="str">
        <x:v>Асбо-технические изд</x:v>
      </x:c>
      <x:c r="E174" s="16" t="str">
        <x:v>КМП</x:v>
      </x:c>
      <x:c r="F174" s="25" t="n">
        <x:v>4</x:v>
      </x:c>
      <x:c r="G174" s="17" t="n">
        <x:v>535.5434</x:v>
      </x:c>
      <x:c r="H174" s="17" t="n">
        <x:f>G174*F174</x:f>
        <x:v>2142.1736</x:v>
      </x:c>
      <x:c r="I174" s="26" t="str">
        <x:f>HYPERLINK("https://etp-aktiv.ru/catalog/materialy/asbo-tekhnicheskie-izdeliya/2000539083-W113/","Открыть позицию")</x:f>
        <x:v>Открыть позицию</x:v>
      </x:c>
    </x:row>
    <x:row r="175" ht="28" customHeight="1">
      <x:c r="A175" s="16" t="str">
        <x:v>Бийскэнерго</x:v>
      </x:c>
      <x:c r="B175" s="16" t="str">
        <x:v>2000539099-W113</x:v>
      </x:c>
      <x:c r="C175" s="16" t="str">
        <x:v>КМП КОЛЕЦ КП-04 170*145*15 ГФ-2</x:v>
      </x:c>
      <x:c r="D175" s="16" t="str">
        <x:v>Асбо-технические изд</x:v>
      </x:c>
      <x:c r="E175" s="16" t="str">
        <x:v>ШТ</x:v>
      </x:c>
      <x:c r="F175" s="25" t="n">
        <x:v>2</x:v>
      </x:c>
      <x:c r="G175" s="17" t="n">
        <x:v>637.5232</x:v>
      </x:c>
      <x:c r="H175" s="17" t="n">
        <x:f>G175*F175</x:f>
        <x:v>1275.0464</x:v>
      </x:c>
      <x:c r="I175" s="26" t="str">
        <x:f>HYPERLINK("https://etp-aktiv.ru/catalog/materialy/asbo-tekhnicheskie-izdeliya/2000539099-W113/","Открыть позицию")</x:f>
        <x:v>Открыть позицию</x:v>
      </x:c>
    </x:row>
    <x:row r="176" ht="28" customHeight="1">
      <x:c r="A176" s="16" t="str">
        <x:v>Бийскэнерго</x:v>
      </x:c>
      <x:c r="B176" s="16" t="str">
        <x:v>2000538941-W113</x:v>
      </x:c>
      <x:c r="C176" s="16" t="str">
        <x:v>КОЛЬЦО 00-В-Б (КГФ-Г-ПО) 170*145*15</x:v>
      </x:c>
      <x:c r="D176" s="16" t="str">
        <x:v>Асбо-технические изд</x:v>
      </x:c>
      <x:c r="E176" s="16" t="str">
        <x:v>ШТ</x:v>
      </x:c>
      <x:c r="F176" s="25" t="n">
        <x:v>2</x:v>
      </x:c>
      <x:c r="G176" s="17" t="n">
        <x:v>22.752999999999997</x:v>
      </x:c>
      <x:c r="H176" s="17" t="n">
        <x:f>G176*F176</x:f>
        <x:v>45.50599999999999</x:v>
      </x:c>
      <x:c r="I176" s="26" t="str">
        <x:f>HYPERLINK("https://etp-aktiv.ru/catalog/materialy/asbo-tekhnicheskie-izdeliya/2000538941-W113/","Открыть позицию")</x:f>
        <x:v>Открыть позицию</x:v>
      </x:c>
    </x:row>
    <x:row r="177" ht="28" customHeight="1">
      <x:c r="A177" s="16" t="str">
        <x:v>Бийскэнерго</x:v>
      </x:c>
      <x:c r="B177" s="16" t="str">
        <x:v>2000538945-W113</x:v>
      </x:c>
      <x:c r="C177" s="16" t="str">
        <x:v>КОЛЬЦО 00-В-Б (КГФ-Г-ПО) 360*305*25</x:v>
      </x:c>
      <x:c r="D177" s="16" t="str">
        <x:v>Асбо-технические изд</x:v>
      </x:c>
      <x:c r="E177" s="16" t="str">
        <x:v>ШТ</x:v>
      </x:c>
      <x:c r="F177" s="25" t="n">
        <x:v>18</x:v>
      </x:c>
      <x:c r="G177" s="17" t="n">
        <x:v>1144.4088</x:v>
      </x:c>
      <x:c r="H177" s="17" t="n">
        <x:f>G177*F177</x:f>
        <x:v>20599.358399999997</x:v>
      </x:c>
      <x:c r="I177" s="26" t="str">
        <x:f>HYPERLINK("https://etp-aktiv.ru/catalog/materialy/asbo-tekhnicheskie-izdeliya/2000538945-W113/","Открыть позицию")</x:f>
        <x:v>Открыть позицию</x:v>
      </x:c>
    </x:row>
    <x:row r="178" ht="28" customHeight="1">
      <x:c r="A178" s="16" t="str">
        <x:v>Бийскэнерго</x:v>
      </x:c>
      <x:c r="B178" s="16" t="str">
        <x:v>2000627400-W113</x:v>
      </x:c>
      <x:c r="C178" s="16" t="str">
        <x:v>КОЛЬЦО 00-В-Б ГФ-2 250*210*20</x:v>
      </x:c>
      <x:c r="D178" s="16" t="str">
        <x:v>Асбо-технические изд</x:v>
      </x:c>
      <x:c r="E178" s="16" t="str">
        <x:v>ШТ</x:v>
      </x:c>
      <x:c r="F178" s="25" t="n">
        <x:v>4</x:v>
      </x:c>
      <x:c r="G178" s="17" t="n">
        <x:v>111.8374</x:v>
      </x:c>
      <x:c r="H178" s="17" t="n">
        <x:f>G178*F178</x:f>
        <x:v>447.3496</x:v>
      </x:c>
      <x:c r="I178" s="26" t="str">
        <x:f>HYPERLINK("https://etp-aktiv.ru/catalog/materialy/asbo-tekhnicheskie-izdeliya/2000627400-W113/","Открыть позицию")</x:f>
        <x:v>Открыть позицию</x:v>
      </x:c>
    </x:row>
    <x:row r="179" ht="28" customHeight="1">
      <x:c r="A179" s="16" t="str">
        <x:v>Бийскэнерго</x:v>
      </x:c>
      <x:c r="B179" s="16" t="str">
        <x:v>2000606249-W113</x:v>
      </x:c>
      <x:c r="C179" s="16" t="str">
        <x:v>КОЛЬЦО 00-В-Б-104*72*16 ГФ-2</x:v>
      </x:c>
      <x:c r="D179" s="16" t="str">
        <x:v>Асбо-технические изд</x:v>
      </x:c>
      <x:c r="E179" s="16" t="str">
        <x:v>ШТ</x:v>
      </x:c>
      <x:c r="F179" s="25" t="n">
        <x:v>4</x:v>
      </x:c>
      <x:c r="G179" s="17" t="n">
        <x:v>160.6984</x:v>
      </x:c>
      <x:c r="H179" s="17" t="n">
        <x:f>G179*F179</x:f>
        <x:v>642.7936</x:v>
      </x:c>
      <x:c r="I179" s="26" t="str">
        <x:f>HYPERLINK("https://etp-aktiv.ru/catalog/materialy/asbo-tekhnicheskie-izdeliya/2000606249-W113/","Открыть позицию")</x:f>
        <x:v>Открыть позицию</x:v>
      </x:c>
    </x:row>
    <x:row r="180" ht="28" customHeight="1">
      <x:c r="A180" s="16" t="str">
        <x:v>Бийскэнерго</x:v>
      </x:c>
      <x:c r="B180" s="16" t="str">
        <x:v>2000538953-W113</x:v>
      </x:c>
      <x:c r="C180" s="16" t="str">
        <x:v>КОЛЬЦО 02-В-Б ГФ-2 300*270*15</x:v>
      </x:c>
      <x:c r="D180" s="16" t="str">
        <x:v>Асбо-технические изд</x:v>
      </x:c>
      <x:c r="E180" s="16" t="str">
        <x:v>ШТ</x:v>
      </x:c>
      <x:c r="F180" s="25" t="n">
        <x:v>2</x:v>
      </x:c>
      <x:c r="G180" s="17" t="n">
        <x:v>208.7298</x:v>
      </x:c>
      <x:c r="H180" s="17" t="n">
        <x:f>G180*F180</x:f>
        <x:v>417.4596</x:v>
      </x:c>
      <x:c r="I180" s="26" t="str">
        <x:f>HYPERLINK("https://etp-aktiv.ru/catalog/materialy/asbo-tekhnicheskie-izdeliya/2000538953-W113/","Открыть позицию")</x:f>
        <x:v>Открыть позицию</x:v>
      </x:c>
    </x:row>
    <x:row r="181" ht="28" customHeight="1">
      <x:c r="A181" s="16" t="str">
        <x:v>Бийскэнерго</x:v>
      </x:c>
      <x:c r="B181" s="16" t="str">
        <x:v>2000539007-W113</x:v>
      </x:c>
      <x:c r="C181" s="16" t="str">
        <x:v>КОЛЬЦО КГФ-Г 104*72*16</x:v>
      </x:c>
      <x:c r="D181" s="16" t="str">
        <x:v>Асбо-технические изд</x:v>
      </x:c>
      <x:c r="E181" s="16" t="str">
        <x:v>ШТ</x:v>
      </x:c>
      <x:c r="F181" s="25" t="n">
        <x:v>15</x:v>
      </x:c>
      <x:c r="G181" s="17" t="n">
        <x:v>121.1948</x:v>
      </x:c>
      <x:c r="H181" s="17" t="n">
        <x:f>G181*F181</x:f>
        <x:v>1817.922</x:v>
      </x:c>
      <x:c r="I181" s="26" t="str">
        <x:f>HYPERLINK("https://etp-aktiv.ru/catalog/materialy/asbo-tekhnicheskie-izdeliya/2000539007-W113/","Открыть позицию")</x:f>
        <x:v>Открыть позицию</x:v>
      </x:c>
    </x:row>
    <x:row r="182" ht="28" customHeight="1">
      <x:c r="A182" s="16" t="str">
        <x:v>Бийскэнерго</x:v>
      </x:c>
      <x:c r="B182" s="16" t="str">
        <x:v>2000539009-W113</x:v>
      </x:c>
      <x:c r="C182" s="16" t="str">
        <x:v>КОЛЬЦО КГФ-Г 24*14*5</x:v>
      </x:c>
      <x:c r="D182" s="16" t="str">
        <x:v>Асбо-технические изд</x:v>
      </x:c>
      <x:c r="E182" s="16" t="str">
        <x:v>ШТ</x:v>
      </x:c>
      <x:c r="F182" s="25" t="n">
        <x:v>10</x:v>
      </x:c>
      <x:c r="G182" s="17" t="n">
        <x:v>1.9154</x:v>
      </x:c>
      <x:c r="H182" s="17" t="n">
        <x:f>G182*F182</x:f>
        <x:v>19.154</x:v>
      </x:c>
      <x:c r="I182" s="26" t="str">
        <x:f>HYPERLINK("https://etp-aktiv.ru/catalog/materialy/asbo-tekhnicheskie-izdeliya/2000539009-W113/","Открыть позицию")</x:f>
        <x:v>Открыть позицию</x:v>
      </x:c>
    </x:row>
    <x:row r="183" ht="28" customHeight="1">
      <x:c r="A183" s="16" t="str">
        <x:v>Бийскэнерго</x:v>
      </x:c>
      <x:c r="B183" s="16" t="str">
        <x:v>2000539024-W113</x:v>
      </x:c>
      <x:c r="C183" s="16" t="str">
        <x:v>КОЛЬЦО КГФ-Г-П2 170*145*15</x:v>
      </x:c>
      <x:c r="D183" s="16" t="str">
        <x:v>Асбо-технические изд</x:v>
      </x:c>
      <x:c r="E183" s="16" t="str">
        <x:v>ШТ</x:v>
      </x:c>
      <x:c r="F183" s="25" t="n">
        <x:v>34</x:v>
      </x:c>
      <x:c r="G183" s="17" t="n">
        <x:v>97.03880000000001</x:v>
      </x:c>
      <x:c r="H183" s="17" t="n">
        <x:f>G183*F183</x:f>
        <x:v>3299.3192000000004</x:v>
      </x:c>
      <x:c r="I183" s="26" t="str">
        <x:f>HYPERLINK("https://etp-aktiv.ru/catalog/materialy/asbo-tekhnicheskie-izdeliya/2000539024-W113/","Открыть позицию")</x:f>
        <x:v>Открыть позицию</x:v>
      </x:c>
    </x:row>
    <x:row r="184" ht="28" customHeight="1">
      <x:c r="A184" s="16" t="str">
        <x:v>Бийскэнерго</x:v>
      </x:c>
      <x:c r="B184" s="16" t="str">
        <x:v>2000539027-W113</x:v>
      </x:c>
      <x:c r="C184" s="16" t="str">
        <x:v>КОЛЬЦО КГФ-Г-П2 300*270*15</x:v>
      </x:c>
      <x:c r="D184" s="16" t="str">
        <x:v>Асбо-технические изд</x:v>
      </x:c>
      <x:c r="E184" s="16" t="str">
        <x:v>ШТ</x:v>
      </x:c>
      <x:c r="F184" s="25" t="n">
        <x:v>10</x:v>
      </x:c>
      <x:c r="G184" s="17" t="n">
        <x:v>693.7164</x:v>
      </x:c>
      <x:c r="H184" s="17" t="n">
        <x:f>G184*F184</x:f>
        <x:v>6937.164000000001</x:v>
      </x:c>
      <x:c r="I184" s="26" t="str">
        <x:f>HYPERLINK("https://etp-aktiv.ru/catalog/materialy/asbo-tekhnicheskie-izdeliya/2000539027-W113/","Открыть позицию")</x:f>
        <x:v>Открыть позицию</x:v>
      </x:c>
    </x:row>
    <x:row r="185" ht="28" customHeight="1">
      <x:c r="A185" s="16" t="str">
        <x:v>Бийскэнерго</x:v>
      </x:c>
      <x:c r="B185" s="16" t="str">
        <x:v>2000539028-W113</x:v>
      </x:c>
      <x:c r="C185" s="16" t="str">
        <x:v>КОЛЬЦО КГФ-Г-П2 360*305*25</x:v>
      </x:c>
      <x:c r="D185" s="16" t="str">
        <x:v>Асбо-технические изд</x:v>
      </x:c>
      <x:c r="E185" s="16" t="str">
        <x:v>ШТ</x:v>
      </x:c>
      <x:c r="F185" s="25" t="n">
        <x:v>1</x:v>
      </x:c>
      <x:c r="G185" s="17" t="n">
        <x:v>390.4976</x:v>
      </x:c>
      <x:c r="H185" s="17" t="n">
        <x:f>G185*F185</x:f>
        <x:v>390.4976</x:v>
      </x:c>
      <x:c r="I185" s="26" t="str">
        <x:f>HYPERLINK("https://etp-aktiv.ru/catalog/materialy/asbo-tekhnicheskie-izdeliya/2000539028-W113/","Открыть позицию")</x:f>
        <x:v>Открыть позицию</x:v>
      </x:c>
    </x:row>
    <x:row r="186" ht="28" customHeight="1">
      <x:c r="A186" s="16" t="str">
        <x:v>Бийскэнерго</x:v>
      </x:c>
      <x:c r="B186" s="16" t="str">
        <x:v>2000074124-W113</x:v>
      </x:c>
      <x:c r="C186" s="16" t="str">
        <x:v>КОЛЬЦО РЕЗИНОВОЕ 028-034-36-2-2</x:v>
      </x:c>
      <x:c r="D186" s="16" t="str">
        <x:v>Проч резино-тех изд</x:v>
      </x:c>
      <x:c r="E186" s="16" t="str">
        <x:v>ШТ</x:v>
      </x:c>
      <x:c r="F186" s="25" t="n">
        <x:v>22</x:v>
      </x:c>
      <x:c r="G186" s="17" t="n">
        <x:v>3.2818</x:v>
      </x:c>
      <x:c r="H186" s="17" t="n">
        <x:f>G186*F186</x:f>
        <x:v>72.1996</x:v>
      </x:c>
      <x:c r="I186" s="26" t="str">
        <x:f>HYPERLINK("https://etp-aktiv.ru/catalog/materialy/rezino-tekhnicheskie-izdeliya/2000074124-W113/","Открыть позицию")</x:f>
        <x:v>Открыть позицию</x:v>
      </x:c>
    </x:row>
    <x:row r="187" ht="28" customHeight="1">
      <x:c r="A187" s="16" t="str">
        <x:v>Бийскэнерго</x:v>
      </x:c>
      <x:c r="B187" s="16" t="str">
        <x:v>2000218622-W113</x:v>
      </x:c>
      <x:c r="C187" s="16" t="str">
        <x:v>КОЛЬЦО РЕЗИНОВОЕ 129888</x:v>
      </x:c>
      <x:c r="D187" s="16" t="str">
        <x:v>ЗЧ к ДВС Cummins</x:v>
      </x:c>
      <x:c r="E187" s="16" t="str">
        <x:v>ШТ</x:v>
      </x:c>
      <x:c r="F187" s="25" t="n">
        <x:v>6</x:v>
      </x:c>
      <x:c r="G187" s="17" t="n">
        <x:v>3321.2792</x:v>
      </x:c>
      <x:c r="H187" s="17" t="n">
        <x:f>G187*F187</x:f>
        <x:v>19927.675199999998</x:v>
      </x:c>
      <x:c r="I187" s="26" t="str">
        <x:f>HYPERLINK("https://etp-aktiv.ru/catalog/materialy/zapasnye-chasti-k-dorozhno-stroitelnoj-tekhnike/2000218622-W113/","Открыть позицию")</x:f>
        <x:v>Открыть позицию</x:v>
      </x:c>
    </x:row>
    <x:row r="188" ht="28" customHeight="1">
      <x:c r="A188" s="16" t="str">
        <x:v>Бийскэнерго</x:v>
      </x:c>
      <x:c r="B188" s="16" t="str">
        <x:v>2000141888-W113</x:v>
      </x:c>
      <x:c r="C188" s="16" t="str">
        <x:v>КОЛЬЦО УПЛОТ 02-В-Б 86-60-13-ГФ-2</x:v>
      </x:c>
      <x:c r="D188" s="16" t="str">
        <x:v>Проч резино-тех изд</x:v>
      </x:c>
      <x:c r="E188" s="16" t="str">
        <x:v>ШТ</x:v>
      </x:c>
      <x:c r="F188" s="25" t="n">
        <x:v>4</x:v>
      </x:c>
      <x:c r="G188" s="17" t="n">
        <x:v>35.0872</x:v>
      </x:c>
      <x:c r="H188" s="17" t="n">
        <x:f>G188*F188</x:f>
        <x:v>140.3488</x:v>
      </x:c>
      <x:c r="I188" s="26" t="str">
        <x:f>HYPERLINK("https://etp-aktiv.ru/catalog/materialy/rezino-tekhnicheskie-izdeliya/2000141888-W113/","Открыть позицию")</x:f>
        <x:v>Открыть позицию</x:v>
      </x:c>
    </x:row>
    <x:row r="189" ht="28" customHeight="1">
      <x:c r="A189" s="16" t="str">
        <x:v>Бийскэнерго</x:v>
      </x:c>
      <x:c r="B189" s="16" t="str">
        <x:v>2000000365-W113</x:v>
      </x:c>
      <x:c r="C189" s="16" t="str">
        <x:v>КОЛЬЦО УПЛОТНИТЕЛЬНОЕ 022-028-36-2-2</x:v>
      </x:c>
      <x:c r="D189" s="16" t="str">
        <x:v>Проч резино-тех изд</x:v>
      </x:c>
      <x:c r="E189" s="16" t="str">
        <x:v>ШТ</x:v>
      </x:c>
      <x:c r="F189" s="25" t="n">
        <x:v>6</x:v>
      </x:c>
      <x:c r="G189" s="17" t="n">
        <x:v>3.2573999999999996</x:v>
      </x:c>
      <x:c r="H189" s="17" t="n">
        <x:f>G189*F189</x:f>
        <x:v>19.544399999999996</x:v>
      </x:c>
      <x:c r="I189" s="26" t="str">
        <x:f>HYPERLINK("https://etp-aktiv.ru/catalog/materialy/rezino-tekhnicheskie-izdeliya/2000000365-W113/","Открыть позицию")</x:f>
        <x:v>Открыть позицию</x:v>
      </x:c>
    </x:row>
    <x:row r="190" ht="28" customHeight="1">
      <x:c r="A190" s="16" t="str">
        <x:v>Бийскэнерго</x:v>
      </x:c>
      <x:c r="B190" s="16" t="str">
        <x:v>2000074151-W113</x:v>
      </x:c>
      <x:c r="C190" s="16" t="str">
        <x:v>КОЛЬЦО УПЛОТНИТЕЛЬНОЕ 034-042-46-2-3</x:v>
      </x:c>
      <x:c r="D190" s="16" t="str">
        <x:v>Проч резино-тех изд</x:v>
      </x:c>
      <x:c r="E190" s="16" t="str">
        <x:v>ШТ</x:v>
      </x:c>
      <x:c r="F190" s="25" t="n">
        <x:v>42</x:v>
      </x:c>
      <x:c r="G190" s="17" t="n">
        <x:v>6.0512</x:v>
      </x:c>
      <x:c r="H190" s="17" t="n">
        <x:f>G190*F190</x:f>
        <x:v>254.1504</x:v>
      </x:c>
      <x:c r="I190" s="26" t="str">
        <x:f>HYPERLINK("https://etp-aktiv.ru/catalog/materialy/rezino-tekhnicheskie-izdeliya/2000074151-W113/","Открыть позицию")</x:f>
        <x:v>Открыть позицию</x:v>
      </x:c>
    </x:row>
    <x:row r="191" ht="28" customHeight="1">
      <x:c r="A191" s="16" t="str">
        <x:v>Бийскэнерго</x:v>
      </x:c>
      <x:c r="B191" s="16" t="str">
        <x:v>2000546721-W113</x:v>
      </x:c>
      <x:c r="C191" s="16" t="str">
        <x:v>МАНЖЕТА 1 50*40-6 ГОСТ14896-84</x:v>
      </x:c>
      <x:c r="D191" s="16" t="str">
        <x:v>Проч резино-тех изд</x:v>
      </x:c>
      <x:c r="E191" s="16" t="str">
        <x:v>ШТ</x:v>
      </x:c>
      <x:c r="F191" s="25" t="n">
        <x:v>20</x:v>
      </x:c>
      <x:c r="G191" s="17" t="n">
        <x:v>53.253</x:v>
      </x:c>
      <x:c r="H191" s="17" t="n">
        <x:f>G191*F191</x:f>
        <x:v>1065.06</x:v>
      </x:c>
      <x:c r="I191" s="26" t="str">
        <x:f>HYPERLINK("https://etp-aktiv.ru/catalog/materialy/rezino-tekhnicheskie-izdeliya/2000546721-W113/","Открыть позицию")</x:f>
        <x:v>Открыть позицию</x:v>
      </x:c>
    </x:row>
    <x:row r="192" ht="28" customHeight="1">
      <x:c r="A192" s="16" t="str">
        <x:v>Бийскэнерго</x:v>
      </x:c>
      <x:c r="B192" s="16" t="str">
        <x:v>2000546815-W113</x:v>
      </x:c>
      <x:c r="C192" s="16" t="str">
        <x:v>МАНЖЕТА 1,1-30*52-1 ГОСТ8752-79</x:v>
      </x:c>
      <x:c r="D192" s="16" t="str">
        <x:v>Проч резино-тех изд</x:v>
      </x:c>
      <x:c r="E192" s="16" t="str">
        <x:v>ШТ</x:v>
      </x:c>
      <x:c r="F192" s="25" t="n">
        <x:v>148</x:v>
      </x:c>
      <x:c r="G192" s="17" t="n">
        <x:v>3.355</x:v>
      </x:c>
      <x:c r="H192" s="17" t="n">
        <x:f>G192*F192</x:f>
        <x:v>496.54</x:v>
      </x:c>
      <x:c r="I192" s="26" t="str">
        <x:f>HYPERLINK("https://etp-aktiv.ru/catalog/materialy/rezino-tekhnicheskie-izdeliya/2000546815-W113/","Открыть позицию")</x:f>
        <x:v>Открыть позицию</x:v>
      </x:c>
    </x:row>
    <x:row r="193" ht="28" customHeight="1">
      <x:c r="A193" s="16" t="str">
        <x:v>Бийскэнерго</x:v>
      </x:c>
      <x:c r="B193" s="16" t="str">
        <x:v>2000546833-W113</x:v>
      </x:c>
      <x:c r="C193" s="16" t="str">
        <x:v>МАНЖЕТА 1,2-170*200-1 ГОСТ8752-79</x:v>
      </x:c>
      <x:c r="D193" s="16" t="str">
        <x:v>Проч резино-тех изд</x:v>
      </x:c>
      <x:c r="E193" s="16" t="str">
        <x:v>ШТ</x:v>
      </x:c>
      <x:c r="F193" s="25" t="n">
        <x:v>3</x:v>
      </x:c>
      <x:c r="G193" s="17" t="n">
        <x:v>21.374399999999998</x:v>
      </x:c>
      <x:c r="H193" s="17" t="n">
        <x:f>G193*F193</x:f>
        <x:v>64.1232</x:v>
      </x:c>
      <x:c r="I193" s="26" t="str">
        <x:f>HYPERLINK("https://etp-aktiv.ru/catalog/materialy/rezino-tekhnicheskie-izdeliya/2000546833-W113/","Открыть позицию")</x:f>
        <x:v>Открыть позицию</x:v>
      </x:c>
    </x:row>
    <x:row r="194" ht="28" customHeight="1">
      <x:c r="A194" s="16" t="str">
        <x:v>Бийскэнерго</x:v>
      </x:c>
      <x:c r="B194" s="16" t="str">
        <x:v>2000580072-W113</x:v>
      </x:c>
      <x:c r="C194" s="16" t="str">
        <x:v>МАНЖЕТА 1,2-25*42-10 ГОСТ8752-79</x:v>
      </x:c>
      <x:c r="D194" s="16" t="str">
        <x:v>Проч резино-тех изд</x:v>
      </x:c>
      <x:c r="E194" s="16" t="str">
        <x:v>ШТ</x:v>
      </x:c>
      <x:c r="F194" s="25" t="n">
        <x:v>3</x:v>
      </x:c>
      <x:c r="G194" s="17" t="n">
        <x:v>9.6502</x:v>
      </x:c>
      <x:c r="H194" s="17" t="n">
        <x:f>G194*F194</x:f>
        <x:v>28.9506</x:v>
      </x:c>
      <x:c r="I194" s="26" t="str">
        <x:f>HYPERLINK("https://etp-aktiv.ru/catalog/materialy/rezino-tekhnicheskie-izdeliya/2000580072-W113/","Открыть позицию")</x:f>
        <x:v>Открыть позицию</x:v>
      </x:c>
    </x:row>
    <x:row r="195" ht="28" customHeight="1">
      <x:c r="A195" s="16" t="str">
        <x:v>Бийскэнерго</x:v>
      </x:c>
      <x:c r="B195" s="16" t="str">
        <x:v>2000546801-W113</x:v>
      </x:c>
      <x:c r="C195" s="16" t="str">
        <x:v>МАНЖЕТА 1,2-270*310-18 ГОСТ8752-79</x:v>
      </x:c>
      <x:c r="D195" s="16" t="str">
        <x:v>Проч резино-тех изд</x:v>
      </x:c>
      <x:c r="E195" s="16" t="str">
        <x:v>ШТ</x:v>
      </x:c>
      <x:c r="F195" s="25" t="n">
        <x:v>2</x:v>
      </x:c>
      <x:c r="G195" s="17" t="n">
        <x:v>184.159</x:v>
      </x:c>
      <x:c r="H195" s="17" t="n">
        <x:f>G195*F195</x:f>
        <x:v>368.318</x:v>
      </x:c>
      <x:c r="I195" s="26" t="str">
        <x:f>HYPERLINK("https://etp-aktiv.ru/catalog/materialy/rezino-tekhnicheskie-izdeliya/2000546801-W113/","Открыть позицию")</x:f>
        <x:v>Открыть позицию</x:v>
      </x:c>
    </x:row>
    <x:row r="196" ht="28" customHeight="1">
      <x:c r="A196" s="16" t="str">
        <x:v>Бийскэнерго</x:v>
      </x:c>
      <x:c r="B196" s="16" t="str">
        <x:v>2000546802-W113</x:v>
      </x:c>
      <x:c r="C196" s="16" t="str">
        <x:v>МАНЖЕТА 1,2-30*48-1 ГОСТ8752-79</x:v>
      </x:c>
      <x:c r="D196" s="16" t="str">
        <x:v>Проч резино-тех изд</x:v>
      </x:c>
      <x:c r="E196" s="16" t="str">
        <x:v>ШТ</x:v>
      </x:c>
      <x:c r="F196" s="25" t="n">
        <x:v>1</x:v>
      </x:c>
      <x:c r="G196" s="17" t="n">
        <x:v>5.3557999999999995</x:v>
      </x:c>
      <x:c r="H196" s="17" t="n">
        <x:f>G196*F196</x:f>
        <x:v>5.3557999999999995</x:v>
      </x:c>
      <x:c r="I196" s="26" t="str">
        <x:f>HYPERLINK("https://etp-aktiv.ru/catalog/materialy/rezino-tekhnicheskie-izdeliya/2000546802-W113/","Открыть позицию")</x:f>
        <x:v>Открыть позицию</x:v>
      </x:c>
    </x:row>
    <x:row r="197" ht="28" customHeight="1">
      <x:c r="A197" s="16" t="str">
        <x:v>Бийскэнерго</x:v>
      </x:c>
      <x:c r="B197" s="16" t="str">
        <x:v>2000546849-W113</x:v>
      </x:c>
      <x:c r="C197" s="16" t="str">
        <x:v>МАНЖЕТА 1,2-38*58-10 ГОСТ8752-79</x:v>
      </x:c>
      <x:c r="D197" s="16" t="str">
        <x:v>Проч резино-тех изд</x:v>
      </x:c>
      <x:c r="E197" s="16" t="str">
        <x:v>ШТ</x:v>
      </x:c>
      <x:c r="F197" s="25" t="n">
        <x:v>2</x:v>
      </x:c>
      <x:c r="G197" s="17" t="n">
        <x:v>13.0174</x:v>
      </x:c>
      <x:c r="H197" s="17" t="n">
        <x:f>G197*F197</x:f>
        <x:v>26.0348</x:v>
      </x:c>
      <x:c r="I197" s="26" t="str">
        <x:f>HYPERLINK("https://etp-aktiv.ru/catalog/materialy/rezino-tekhnicheskie-izdeliya/2000546849-W113/","Открыть позицию")</x:f>
        <x:v>Открыть позицию</x:v>
      </x:c>
    </x:row>
    <x:row r="198" ht="28" customHeight="1">
      <x:c r="A198" s="16" t="str">
        <x:v>Бийскэнерго</x:v>
      </x:c>
      <x:c r="B198" s="16" t="str">
        <x:v>2000001002-W113</x:v>
      </x:c>
      <x:c r="C198" s="16" t="str">
        <x:v>МАНЖЕТА 1,2-50*70-3 ГОСТ8752-79</x:v>
      </x:c>
      <x:c r="D198" s="16" t="str">
        <x:v>Проч резино-тех изд</x:v>
      </x:c>
      <x:c r="E198" s="16" t="str">
        <x:v>ШТ</x:v>
      </x:c>
      <x:c r="F198" s="25" t="n">
        <x:v>41</x:v>
      </x:c>
      <x:c r="G198" s="17" t="n">
        <x:v>2.3302</x:v>
      </x:c>
      <x:c r="H198" s="17" t="n">
        <x:f>G198*F198</x:f>
        <x:v>95.5382</x:v>
      </x:c>
      <x:c r="I198" s="26" t="str">
        <x:f>HYPERLINK("https://etp-aktiv.ru/catalog/materialy/rezino-tekhnicheskie-izdeliya/2000001002-W113/","Открыть позицию")</x:f>
        <x:v>Открыть позицию</x:v>
      </x:c>
    </x:row>
    <x:row r="199" ht="28" customHeight="1">
      <x:c r="A199" s="16" t="str">
        <x:v>Бийскэнерго</x:v>
      </x:c>
      <x:c r="B199" s="16" t="str">
        <x:v>2000546855-W113</x:v>
      </x:c>
      <x:c r="C199" s="16" t="str">
        <x:v>МАНЖЕТА 1,2-60*85-1 ГОСТ8752-79</x:v>
      </x:c>
      <x:c r="D199" s="16" t="str">
        <x:v>Проч резино-тех изд</x:v>
      </x:c>
      <x:c r="E199" s="16" t="str">
        <x:v>ШТ</x:v>
      </x:c>
      <x:c r="F199" s="25" t="n">
        <x:v>30</x:v>
      </x:c>
      <x:c r="G199" s="17" t="n">
        <x:v>3.2329999999999997</x:v>
      </x:c>
      <x:c r="H199" s="17" t="n">
        <x:f>G199*F199</x:f>
        <x:v>96.99</x:v>
      </x:c>
      <x:c r="I199" s="26" t="str">
        <x:f>HYPERLINK("https://etp-aktiv.ru/catalog/materialy/rezino-tekhnicheskie-izdeliya/2000546855-W113/","Открыть позицию")</x:f>
        <x:v>Открыть позицию</x:v>
      </x:c>
    </x:row>
    <x:row r="200" ht="28" customHeight="1">
      <x:c r="A200" s="16" t="str">
        <x:v>Бийскэнерго</x:v>
      </x:c>
      <x:c r="B200" s="16" t="str">
        <x:v>2000546728-W113</x:v>
      </x:c>
      <x:c r="C200" s="16" t="str">
        <x:v>МАНЖЕТА 1,2-60*85-2 ГОСТ8752-79</x:v>
      </x:c>
      <x:c r="D200" s="16" t="str">
        <x:v>Проч резино-тех изд</x:v>
      </x:c>
      <x:c r="E200" s="16" t="str">
        <x:v>ШТ</x:v>
      </x:c>
      <x:c r="F200" s="25" t="n">
        <x:v>16</x:v>
      </x:c>
      <x:c r="G200" s="17" t="n">
        <x:v>7.588399999999999</x:v>
      </x:c>
      <x:c r="H200" s="17" t="n">
        <x:f>G200*F200</x:f>
        <x:v>121.41439999999999</x:v>
      </x:c>
      <x:c r="I200" s="26" t="str">
        <x:f>HYPERLINK("https://etp-aktiv.ru/catalog/materialy/rezino-tekhnicheskie-izdeliya/2000546728-W113/","Открыть позицию")</x:f>
        <x:v>Открыть позицию</x:v>
      </x:c>
    </x:row>
    <x:row r="201" ht="28" customHeight="1">
      <x:c r="A201" s="16" t="str">
        <x:v>Бийскэнерго</x:v>
      </x:c>
      <x:c r="B201" s="16" t="str">
        <x:v>2000001388-W113</x:v>
      </x:c>
      <x:c r="C201" s="16" t="str">
        <x:v>МАНЖЕТА 1,2-70*95-1 ГОСТ8752-79</x:v>
      </x:c>
      <x:c r="D201" s="16" t="str">
        <x:v>Проч резино-тех изд</x:v>
      </x:c>
      <x:c r="E201" s="16" t="str">
        <x:v>ШТ</x:v>
      </x:c>
      <x:c r="F201" s="25" t="n">
        <x:v>24</x:v>
      </x:c>
      <x:c r="G201" s="17" t="n">
        <x:v>27.9502</x:v>
      </x:c>
      <x:c r="H201" s="17" t="n">
        <x:f>G201*F201</x:f>
        <x:v>670.8048</x:v>
      </x:c>
      <x:c r="I201" s="26" t="str">
        <x:f>HYPERLINK("https://etp-aktiv.ru/catalog/materialy/rezino-tekhnicheskie-izdeliya/2000001388-W113/","Открыть позицию")</x:f>
        <x:v>Открыть позицию</x:v>
      </x:c>
    </x:row>
    <x:row r="202" ht="28" customHeight="1">
      <x:c r="A202" s="16" t="str">
        <x:v>Бийскэнерго</x:v>
      </x:c>
      <x:c r="B202" s="16" t="str">
        <x:v>2000125143-W113</x:v>
      </x:c>
      <x:c r="C202" s="16" t="str">
        <x:v>МАНЖЕТА 1-22*10-1 ГОСТ6969-54</x:v>
      </x:c>
      <x:c r="D202" s="16" t="str">
        <x:v>Проч резино-тех изд</x:v>
      </x:c>
      <x:c r="E202" s="16" t="str">
        <x:v>ШТ</x:v>
      </x:c>
      <x:c r="F202" s="25" t="n">
        <x:v>6</x:v>
      </x:c>
      <x:c r="G202" s="17" t="n">
        <x:v>26.901</x:v>
      </x:c>
      <x:c r="H202" s="17" t="n">
        <x:f>G202*F202</x:f>
        <x:v>161.406</x:v>
      </x:c>
      <x:c r="I202" s="26" t="str">
        <x:f>HYPERLINK("https://etp-aktiv.ru/catalog/materialy/rezino-tekhnicheskie-izdeliya/2000125143-W113/","Открыть позицию")</x:f>
        <x:v>Открыть позицию</x:v>
      </x:c>
    </x:row>
    <x:row r="203" ht="28" customHeight="1">
      <x:c r="A203" s="16" t="str">
        <x:v>Бийскэнерго</x:v>
      </x:c>
      <x:c r="B203" s="16" t="str">
        <x:v>2000546806-W113</x:v>
      </x:c>
      <x:c r="C203" s="16" t="str">
        <x:v>МАНЖЕТА 2,2-32*50-1 ГОСТ8752-79</x:v>
      </x:c>
      <x:c r="D203" s="16" t="str">
        <x:v>Проч резино-тех изд</x:v>
      </x:c>
      <x:c r="E203" s="16" t="str">
        <x:v>ШТ</x:v>
      </x:c>
      <x:c r="F203" s="25" t="n">
        <x:v>6</x:v>
      </x:c>
      <x:c r="G203" s="17" t="n">
        <x:v>8.918199999999999</x:v>
      </x:c>
      <x:c r="H203" s="17" t="n">
        <x:f>G203*F203</x:f>
        <x:v>53.50919999999999</x:v>
      </x:c>
      <x:c r="I203" s="26" t="str">
        <x:f>HYPERLINK("https://etp-aktiv.ru/catalog/materialy/rezino-tekhnicheskie-izdeliya/2000546806-W113/","Открыть позицию")</x:f>
        <x:v>Открыть позицию</x:v>
      </x:c>
    </x:row>
    <x:row r="204" ht="28" customHeight="1">
      <x:c r="A204" s="16" t="str">
        <x:v>Бийскэнерго</x:v>
      </x:c>
      <x:c r="B204" s="16" t="str">
        <x:v>2000546710-W113</x:v>
      </x:c>
      <x:c r="C204" s="16" t="str">
        <x:v>МАНЖЕТА 2,2-38*58-1 ГОСТ8752-79</x:v>
      </x:c>
      <x:c r="D204" s="16" t="str">
        <x:v>Проч резино-тех изд</x:v>
      </x:c>
      <x:c r="E204" s="16" t="str">
        <x:v>ШТ</x:v>
      </x:c>
      <x:c r="F204" s="25" t="n">
        <x:v>16</x:v>
      </x:c>
      <x:c r="G204" s="17" t="n">
        <x:v>10.504199999999999</x:v>
      </x:c>
      <x:c r="H204" s="17" t="n">
        <x:f>G204*F204</x:f>
        <x:v>168.06719999999999</x:v>
      </x:c>
      <x:c r="I204" s="26" t="str">
        <x:f>HYPERLINK("https://etp-aktiv.ru/catalog/materialy/rezino-tekhnicheskie-izdeliya/2000546710-W113/","Открыть позицию")</x:f>
        <x:v>Открыть позицию</x:v>
      </x:c>
    </x:row>
    <x:row r="205" ht="28" customHeight="1">
      <x:c r="A205" s="16" t="str">
        <x:v>Бийскэнерго</x:v>
      </x:c>
      <x:c r="B205" s="16" t="str">
        <x:v>2000358088-W113</x:v>
      </x:c>
      <x:c r="C205" s="16" t="str">
        <x:v>МАНЖЕТА 2,2-60*85-1 ГОСТ8752-79</x:v>
      </x:c>
      <x:c r="D205" s="16" t="str">
        <x:v>Проч резино-тех изд</x:v>
      </x:c>
      <x:c r="E205" s="16" t="str">
        <x:v>ШТ</x:v>
      </x:c>
      <x:c r="F205" s="25" t="n">
        <x:v>16</x:v>
      </x:c>
      <x:c r="G205" s="17" t="n">
        <x:v>6.478199999999999</x:v>
      </x:c>
      <x:c r="H205" s="17" t="n">
        <x:f>G205*F205</x:f>
        <x:v>103.65119999999999</x:v>
      </x:c>
      <x:c r="I205" s="26" t="str">
        <x:f>HYPERLINK("https://etp-aktiv.ru/catalog/materialy/rezino-tekhnicheskie-izdeliya/2000358088-W113/","Открыть позицию")</x:f>
        <x:v>Открыть позицию</x:v>
      </x:c>
    </x:row>
    <x:row r="206" ht="28" customHeight="1">
      <x:c r="A206" s="16" t="str">
        <x:v>Бийскэнерго</x:v>
      </x:c>
      <x:c r="B206" s="16" t="str">
        <x:v>2000002725-W113</x:v>
      </x:c>
      <x:c r="C206" s="16" t="str">
        <x:v>МАНЖЕТА 3-48*28-6 ГОСТ6969-54</x:v>
      </x:c>
      <x:c r="D206" s="16" t="str">
        <x:v>Проч резино-тех изд</x:v>
      </x:c>
      <x:c r="E206" s="16" t="str">
        <x:v>ШТ</x:v>
      </x:c>
      <x:c r="F206" s="25" t="n">
        <x:v>10</x:v>
      </x:c>
      <x:c r="G206" s="17" t="n">
        <x:v>13.176</x:v>
      </x:c>
      <x:c r="H206" s="17" t="n">
        <x:f>G206*F206</x:f>
        <x:v>131.76</x:v>
      </x:c>
      <x:c r="I206" s="26" t="str">
        <x:f>HYPERLINK("https://etp-aktiv.ru/catalog/materialy/rezino-tekhnicheskie-izdeliya/2000002725-W113/","Открыть позицию")</x:f>
        <x:v>Открыть позицию</x:v>
      </x:c>
    </x:row>
    <x:row r="207" ht="28" customHeight="1">
      <x:c r="A207" s="16" t="str">
        <x:v>Бийскэнерго</x:v>
      </x:c>
      <x:c r="B207" s="16" t="str">
        <x:v>2000546751-W113</x:v>
      </x:c>
      <x:c r="C207" s="16" t="str">
        <x:v>МАНЖЕТА 50*70-Ф-4 ГОСТ22704-77</x:v>
      </x:c>
      <x:c r="D207" s="16" t="str">
        <x:v>Проч резино-тех изд</x:v>
      </x:c>
      <x:c r="E207" s="16" t="str">
        <x:v>ШТ</x:v>
      </x:c>
      <x:c r="F207" s="25" t="n">
        <x:v>135</x:v>
      </x:c>
      <x:c r="G207" s="17" t="n">
        <x:v>366.8662</x:v>
      </x:c>
      <x:c r="H207" s="17" t="n">
        <x:f>G207*F207</x:f>
        <x:v>49526.937</x:v>
      </x:c>
      <x:c r="I207" s="26" t="str">
        <x:f>HYPERLINK("https://etp-aktiv.ru/catalog/materialy/rezino-tekhnicheskie-izdeliya/2000546751-W113/","Открыть позицию")</x:f>
        <x:v>Открыть позицию</x:v>
      </x:c>
    </x:row>
    <x:row r="208" ht="28" customHeight="1">
      <x:c r="A208" s="16" t="str">
        <x:v>Бийскэнерго</x:v>
      </x:c>
      <x:c r="B208" s="16" t="str">
        <x:v>2000001394-W113</x:v>
      </x:c>
      <x:c r="C208" s="16" t="str">
        <x:v>МАНЖЕТА 65*90 ГОСТ8752-79</x:v>
      </x:c>
      <x:c r="D208" s="16" t="str">
        <x:v>Проч резино-тех изд</x:v>
      </x:c>
      <x:c r="E208" s="16" t="str">
        <x:v>ШТ</x:v>
      </x:c>
      <x:c r="F208" s="25" t="n">
        <x:v>1</x:v>
      </x:c>
      <x:c r="G208" s="17" t="n">
        <x:v>37.088</x:v>
      </x:c>
      <x:c r="H208" s="17" t="n">
        <x:f>G208*F208</x:f>
        <x:v>37.088</x:v>
      </x:c>
      <x:c r="I208" s="26" t="str">
        <x:f>HYPERLINK("https://etp-aktiv.ru/catalog/materialy/rezino-tekhnicheskie-izdeliya/2000001394-W113/","Открыть позицию")</x:f>
        <x:v>Открыть позицию</x:v>
      </x:c>
    </x:row>
    <x:row r="209" ht="28" customHeight="1">
      <x:c r="A209" s="16" t="str">
        <x:v>Бийскэнерго</x:v>
      </x:c>
      <x:c r="B209" s="16" t="str">
        <x:v>2000546745-W113</x:v>
      </x:c>
      <x:c r="C209" s="16" t="str">
        <x:v>МАНЖЕТА М 32*52-1 ГОСТ22704-77</x:v>
      </x:c>
      <x:c r="D209" s="16" t="str">
        <x:v>Проч резино-тех изд</x:v>
      </x:c>
      <x:c r="E209" s="16" t="str">
        <x:v>ШТ</x:v>
      </x:c>
      <x:c r="F209" s="25" t="n">
        <x:v>20</x:v>
      </x:c>
      <x:c r="G209" s="17" t="n">
        <x:v>23.8998</x:v>
      </x:c>
      <x:c r="H209" s="17" t="n">
        <x:f>G209*F209</x:f>
        <x:v>477.996</x:v>
      </x:c>
      <x:c r="I209" s="26" t="str">
        <x:f>HYPERLINK("https://etp-aktiv.ru/catalog/materialy/rezino-tekhnicheskie-izdeliya/2000546745-W113/","Открыть позицию")</x:f>
        <x:v>Открыть позицию</x:v>
      </x:c>
    </x:row>
    <x:row r="210" ht="28" customHeight="1">
      <x:c r="A210" s="16" t="str">
        <x:v>Бийскэнерго</x:v>
      </x:c>
      <x:c r="B210" s="16" t="str">
        <x:v>2000548865-W113</x:v>
      </x:c>
      <x:c r="C210" s="16" t="str">
        <x:v>МАТ МБПЭ 1-50 2000*1000*50</x:v>
      </x:c>
      <x:c r="D210" s="16" t="str">
        <x:v>Теплоизоляция</x:v>
      </x:c>
      <x:c r="E210" s="16" t="str">
        <x:v>М3</x:v>
      </x:c>
      <x:c r="F210" s="30" t="n">
        <x:v>0.08</x:v>
      </x:c>
      <x:c r="G210" s="17" t="n">
        <x:v>3274.6142</x:v>
      </x:c>
      <x:c r="H210" s="17" t="n">
        <x:f>G210*F210</x:f>
        <x:v>261.969136</x:v>
      </x:c>
      <x:c r="I210" s="26" t="str">
        <x:f>HYPERLINK("https://etp-aktiv.ru/catalog/materialy/teploizolyaciya/2000548865-W113/","Открыть позицию")</x:f>
        <x:v>Открыть позицию</x:v>
      </x:c>
    </x:row>
    <x:row r="211" ht="28" customHeight="1">
      <x:c r="A211" s="16" t="str">
        <x:v>Бийскэнерго</x:v>
      </x:c>
      <x:c r="B211" s="16" t="str">
        <x:v>2000548896-W113</x:v>
      </x:c>
      <x:c r="C211" s="16" t="str">
        <x:v>МАТ МП 75 2000*1000*80</x:v>
      </x:c>
      <x:c r="D211" s="16" t="str">
        <x:v>Теплоизоляция</x:v>
      </x:c>
      <x:c r="E211" s="16" t="str">
        <x:v>М3</x:v>
      </x:c>
      <x:c r="F211" s="24" t="n">
        <x:v>1.572</x:v>
      </x:c>
      <x:c r="G211" s="17" t="n">
        <x:v>601.0574</x:v>
      </x:c>
      <x:c r="H211" s="17" t="n">
        <x:f>G211*F211</x:f>
        <x:v>944.8622328000001</x:v>
      </x:c>
      <x:c r="I211" s="26" t="str">
        <x:f>HYPERLINK("https://etp-aktiv.ru/catalog/materialy/teploizolyaciya/2000548896-W113/","Открыть позицию")</x:f>
        <x:v>Открыть позицию</x:v>
      </x:c>
    </x:row>
    <x:row r="212" ht="28" customHeight="1">
      <x:c r="A212" s="16" t="str">
        <x:v>Бийскэнерго</x:v>
      </x:c>
      <x:c r="B212" s="16" t="str">
        <x:v>2000570622-W113</x:v>
      </x:c>
      <x:c r="C212" s="16" t="str">
        <x:v>МАТ МП-100 2000*1000*80</x:v>
      </x:c>
      <x:c r="D212" s="16" t="str">
        <x:v>Теплоизоляция</x:v>
      </x:c>
      <x:c r="E212" s="16" t="str">
        <x:v>М3</x:v>
      </x:c>
      <x:c r="F212" s="24" t="n">
        <x:v>1.92</x:v>
      </x:c>
      <x:c r="G212" s="17" t="n">
        <x:v>4050.3268</x:v>
      </x:c>
      <x:c r="H212" s="17" t="n">
        <x:f>G212*F212</x:f>
        <x:v>7776.627455999999</x:v>
      </x:c>
      <x:c r="I212" s="26" t="str">
        <x:f>HYPERLINK("https://etp-aktiv.ru/catalog/materialy/teploizolyaciya/2000570622-W113/","Открыть позицию")</x:f>
        <x:v>Открыть позицию</x:v>
      </x:c>
    </x:row>
    <x:row r="213" ht="28" customHeight="1">
      <x:c r="A213" s="16" t="str">
        <x:v>Бийскэнерго</x:v>
      </x:c>
      <x:c r="B213" s="16" t="str">
        <x:v>2000585642-W113</x:v>
      </x:c>
      <x:c r="C213" s="16" t="str">
        <x:v>МАТЕРИАЛ МКРР-130 20*600*5000 ГОСТ23619</x:v>
      </x:c>
      <x:c r="D213" s="16" t="str">
        <x:v>Теплоизоляция</x:v>
      </x:c>
      <x:c r="E213" s="16" t="str">
        <x:v>М3</x:v>
      </x:c>
      <x:c r="F213" s="24" t="n">
        <x:v>6.88</x:v>
      </x:c>
      <x:c r="G213" s="17" t="n">
        <x:v>21960</x:v>
      </x:c>
      <x:c r="H213" s="17" t="n">
        <x:f>G213*F213</x:f>
        <x:v>151084.8</x:v>
      </x:c>
      <x:c r="I213" s="26" t="str">
        <x:f>HYPERLINK("https://etp-aktiv.ru/catalog/materialy/teploizolyaciya/2000585642-W113/","Открыть позицию")</x:f>
        <x:v>Открыть позицию</x:v>
      </x:c>
    </x:row>
    <x:row r="214" ht="28" customHeight="1">
      <x:c r="A214" s="16" t="str">
        <x:v>Бийскэнерго</x:v>
      </x:c>
      <x:c r="B214" s="16" t="str">
        <x:v>2000532739-W113</x:v>
      </x:c>
      <x:c r="C214" s="16" t="str">
        <x:v>МЕТАЛЛОРУКАВ В ПВХ ИЗОЛЯЦИИ РЗ-ЦПНГ 50</x:v>
      </x:c>
      <x:c r="D214" s="16" t="str">
        <x:v>Монтажн изд д/кабел</x:v>
      </x:c>
      <x:c r="E214" s="16" t="str">
        <x:v>М</x:v>
      </x:c>
      <x:c r="F214" s="25" t="n">
        <x:v>10</x:v>
      </x:c>
      <x:c r="G214" s="17" t="n">
        <x:v>133.21179999999998</x:v>
      </x:c>
      <x:c r="H214" s="17" t="n">
        <x:f>G214*F214</x:f>
        <x:v>1332.118</x:v>
      </x:c>
      <x:c r="I214" s="26" t="str">
        <x:f>HYPERLINK("https://etp-aktiv.ru/catalog/materialy/ehlektrotekhnicheskie-materialy/2000532739-W113/","Открыть позицию")</x:f>
        <x:v>Открыть позицию</x:v>
      </x:c>
    </x:row>
    <x:row r="215" ht="28" customHeight="1">
      <x:c r="A215" s="16" t="str">
        <x:v>Бийскэнерго</x:v>
      </x:c>
      <x:c r="B215" s="16" t="str">
        <x:v>2000570265-W113</x:v>
      </x:c>
      <x:c r="C215" s="16" t="str">
        <x:v>НАБИВКА URTEX H 1300 18*18</x:v>
      </x:c>
      <x:c r="D215" s="16" t="str">
        <x:v>Асбо-технические изд</x:v>
      </x:c>
      <x:c r="E215" s="16" t="str">
        <x:v>КГ</x:v>
      </x:c>
      <x:c r="F215" s="24" t="n">
        <x:v>2.9</x:v>
      </x:c>
      <x:c r="G215" s="17" t="n">
        <x:v>643.977</x:v>
      </x:c>
      <x:c r="H215" s="17" t="n">
        <x:f>G215*F215</x:f>
        <x:v>1867.5332999999998</x:v>
      </x:c>
      <x:c r="I215" s="26" t="str">
        <x:f>HYPERLINK("https://etp-aktiv.ru/catalog/materialy/asbo-tekhnicheskie-izdeliya/2000570265-W113/","Открыть позицию")</x:f>
        <x:v>Открыть позицию</x:v>
      </x:c>
    </x:row>
    <x:row r="216" ht="28" customHeight="1">
      <x:c r="A216" s="16" t="str">
        <x:v>Бийскэнерго</x:v>
      </x:c>
      <x:c r="B216" s="16" t="str">
        <x:v>2000157558-W113</x:v>
      </x:c>
      <x:c r="C216" s="16" t="str">
        <x:v>НАБИВКА АГИ 14*14ММ</x:v>
      </x:c>
      <x:c r="D216" s="16" t="str">
        <x:v>Асбо-технические изд</x:v>
      </x:c>
      <x:c r="E216" s="16" t="str">
        <x:v>КГ</x:v>
      </x:c>
      <x:c r="F216" s="25" t="n">
        <x:v>1</x:v>
      </x:c>
      <x:c r="G216" s="17" t="n">
        <x:v>392.5228</x:v>
      </x:c>
      <x:c r="H216" s="17" t="n">
        <x:f>G216*F216</x:f>
        <x:v>392.5228</x:v>
      </x:c>
      <x:c r="I216" s="26" t="str">
        <x:f>HYPERLINK("https://etp-aktiv.ru/catalog/materialy/asbo-tekhnicheskie-izdeliya/2000157558-W113/","Открыть позицию")</x:f>
        <x:v>Открыть позицию</x:v>
      </x:c>
    </x:row>
    <x:row r="217" ht="28" customHeight="1">
      <x:c r="A217" s="16" t="str">
        <x:v>Бийскэнерго</x:v>
      </x:c>
      <x:c r="B217" s="16" t="str">
        <x:v>2000140999-W113</x:v>
      </x:c>
      <x:c r="C217" s="16" t="str">
        <x:v>НАБИВКА АГИ 16ММ</x:v>
      </x:c>
      <x:c r="D217" s="16" t="str">
        <x:v>Асбо-технические изд</x:v>
      </x:c>
      <x:c r="E217" s="16" t="str">
        <x:v>КГ</x:v>
      </x:c>
      <x:c r="F217" s="24" t="n">
        <x:v>19.394</x:v>
      </x:c>
      <x:c r="G217" s="17" t="n">
        <x:v>375.6868</x:v>
      </x:c>
      <x:c r="H217" s="17" t="n">
        <x:f>G217*F217</x:f>
        <x:v>7286.0697992</x:v>
      </x:c>
      <x:c r="I217" s="26" t="str">
        <x:f>HYPERLINK("https://etp-aktiv.ru/catalog/materialy/asbo-tekhnicheskie-izdeliya/2000140999-W113/","Открыть позицию")</x:f>
        <x:v>Открыть позицию</x:v>
      </x:c>
    </x:row>
    <x:row r="218" ht="28" customHeight="1">
      <x:c r="A218" s="16" t="str">
        <x:v>Бийскэнерго</x:v>
      </x:c>
      <x:c r="B218" s="16" t="str">
        <x:v>2000539163-W113</x:v>
      </x:c>
      <x:c r="C218" s="16" t="str">
        <x:v>НАБИВКА АГИ 25*25</x:v>
      </x:c>
      <x:c r="D218" s="16" t="str">
        <x:v>Асбо-технические изд</x:v>
      </x:c>
      <x:c r="E218" s="16" t="str">
        <x:v>КГ</x:v>
      </x:c>
      <x:c r="F218" s="24" t="n">
        <x:v>13.8</x:v>
      </x:c>
      <x:c r="G218" s="17" t="n">
        <x:v>340.2946</x:v>
      </x:c>
      <x:c r="H218" s="17" t="n">
        <x:f>G218*F218</x:f>
        <x:v>4696.06548</x:v>
      </x:c>
      <x:c r="I218" s="26" t="str">
        <x:f>HYPERLINK("https://etp-aktiv.ru/catalog/materialy/asbo-tekhnicheskie-izdeliya/2000539163-W113/","Открыть позицию")</x:f>
        <x:v>Открыть позицию</x:v>
      </x:c>
    </x:row>
    <x:row r="219" ht="28" customHeight="1">
      <x:c r="A219" s="16" t="str">
        <x:v>Бийскэнерго</x:v>
      </x:c>
      <x:c r="B219" s="16" t="str">
        <x:v>2000085271-W113</x:v>
      </x:c>
      <x:c r="C219" s="16" t="str">
        <x:v>НАБИВКА АГИ 6ММ</x:v>
      </x:c>
      <x:c r="D219" s="16" t="str">
        <x:v>Асбо-технические изд</x:v>
      </x:c>
      <x:c r="E219" s="16" t="str">
        <x:v>КГ</x:v>
      </x:c>
      <x:c r="F219" s="25" t="n">
        <x:v>1</x:v>
      </x:c>
      <x:c r="G219" s="17" t="n">
        <x:v>382.2992</x:v>
      </x:c>
      <x:c r="H219" s="17" t="n">
        <x:f>G219*F219</x:f>
        <x:v>382.2992</x:v>
      </x:c>
      <x:c r="I219" s="26" t="str">
        <x:f>HYPERLINK("https://etp-aktiv.ru/catalog/materialy/asbo-tekhnicheskie-izdeliya/2000085271-W113/","Открыть позицию")</x:f>
        <x:v>Открыть позицию</x:v>
      </x:c>
    </x:row>
    <x:row r="220" ht="28" customHeight="1">
      <x:c r="A220" s="16" t="str">
        <x:v>Бийскэнерго</x:v>
      </x:c>
      <x:c r="B220" s="16" t="str">
        <x:v>2000190182-W113</x:v>
      </x:c>
      <x:c r="C220" s="16" t="str">
        <x:v>НАБИВКА АП-31 13ММ</x:v>
      </x:c>
      <x:c r="D220" s="16" t="str">
        <x:v>Асбо-технические изд</x:v>
      </x:c>
      <x:c r="E220" s="16" t="str">
        <x:v>КГ</x:v>
      </x:c>
      <x:c r="F220" s="24" t="n">
        <x:v>22.9</x:v>
      </x:c>
      <x:c r="G220" s="17" t="n">
        <x:v>303.9996</x:v>
      </x:c>
      <x:c r="H220" s="17" t="n">
        <x:f>G220*F220</x:f>
        <x:v>6961.590839999999</x:v>
      </x:c>
      <x:c r="I220" s="26" t="str">
        <x:f>HYPERLINK("https://etp-aktiv.ru/catalog/materialy/asbo-tekhnicheskie-izdeliya/2000190182-W113/","Открыть позицию")</x:f>
        <x:v>Открыть позицию</x:v>
      </x:c>
    </x:row>
    <x:row r="221" ht="28" customHeight="1">
      <x:c r="A221" s="16" t="str">
        <x:v>Бийскэнерго</x:v>
      </x:c>
      <x:c r="B221" s="16" t="str">
        <x:v>2000539171-W113</x:v>
      </x:c>
      <x:c r="C221" s="16" t="str">
        <x:v>НАБИВКА АП-31 8*8</x:v>
      </x:c>
      <x:c r="D221" s="16" t="str">
        <x:v>Асбо-технические изд</x:v>
      </x:c>
      <x:c r="E221" s="16" t="str">
        <x:v>КГ</x:v>
      </x:c>
      <x:c r="F221" s="24" t="n">
        <x:v>3.088</x:v>
      </x:c>
      <x:c r="G221" s="17" t="n">
        <x:v>322.3118</x:v>
      </x:c>
      <x:c r="H221" s="17" t="n">
        <x:f>G221*F221</x:f>
        <x:v>995.2988384</x:v>
      </x:c>
      <x:c r="I221" s="26" t="str">
        <x:f>HYPERLINK("https://etp-aktiv.ru/catalog/materialy/asbo-tekhnicheskie-izdeliya/2000539171-W113/","Открыть позицию")</x:f>
        <x:v>Открыть позицию</x:v>
      </x:c>
    </x:row>
    <x:row r="222" ht="28" customHeight="1">
      <x:c r="A222" s="16" t="str">
        <x:v>Бийскэнерго</x:v>
      </x:c>
      <x:c r="B222" s="16" t="str">
        <x:v>2000220110-W113</x:v>
      </x:c>
      <x:c r="C222" s="16" t="str">
        <x:v>НАБИВКА АПР-31 14*14 СК/ПЛЕТ ГОСТ5152-84</x:v>
      </x:c>
      <x:c r="D222" s="16" t="str">
        <x:v>Асбо-технические изд</x:v>
      </x:c>
      <x:c r="E222" s="16" t="str">
        <x:v>КГ</x:v>
      </x:c>
      <x:c r="F222" s="24" t="n">
        <x:v>40.8</x:v>
      </x:c>
      <x:c r="G222" s="17" t="n">
        <x:v>271.084</x:v>
      </x:c>
      <x:c r="H222" s="17" t="n">
        <x:f>G222*F222</x:f>
        <x:v>11060.2272</x:v>
      </x:c>
      <x:c r="I222" s="26" t="str">
        <x:f>HYPERLINK("https://etp-aktiv.ru/catalog/materialy/asbo-tekhnicheskie-izdeliya/2000220110-W113/","Открыть позицию")</x:f>
        <x:v>Открыть позицию</x:v>
      </x:c>
    </x:row>
    <x:row r="223" ht="28" customHeight="1">
      <x:c r="A223" s="16" t="str">
        <x:v>Бийскэнерго</x:v>
      </x:c>
      <x:c r="B223" s="16" t="str">
        <x:v>2000031544-W113</x:v>
      </x:c>
      <x:c r="C223" s="16" t="str">
        <x:v>НАБИВКА ЛП 12ММ</x:v>
      </x:c>
      <x:c r="D223" s="16" t="str">
        <x:v>Асбо-технические изд</x:v>
      </x:c>
      <x:c r="E223" s="16" t="str">
        <x:v>КГ</x:v>
      </x:c>
      <x:c r="F223" s="25" t="n">
        <x:v>13</x:v>
      </x:c>
      <x:c r="G223" s="17" t="n">
        <x:v>236.4604</x:v>
      </x:c>
      <x:c r="H223" s="17" t="n">
        <x:f>G223*F223</x:f>
        <x:v>3073.9852</x:v>
      </x:c>
      <x:c r="I223" s="26" t="str">
        <x:f>HYPERLINK("https://etp-aktiv.ru/catalog/materialy/asbo-tekhnicheskie-izdeliya/2000031544-W113/","Открыть позицию")</x:f>
        <x:v>Открыть позицию</x:v>
      </x:c>
    </x:row>
    <x:row r="224" ht="28" customHeight="1">
      <x:c r="A224" s="16" t="str">
        <x:v>Бийскэнерго</x:v>
      </x:c>
      <x:c r="B224" s="16" t="str">
        <x:v>2000031545-W113</x:v>
      </x:c>
      <x:c r="C224" s="16" t="str">
        <x:v>НАБИВКА ЛП 14ММ</x:v>
      </x:c>
      <x:c r="D224" s="16" t="str">
        <x:v>Асбо-технические изд</x:v>
      </x:c>
      <x:c r="E224" s="16" t="str">
        <x:v>КГ</x:v>
      </x:c>
      <x:c r="F224" s="24" t="n">
        <x:v>4.7</x:v>
      </x:c>
      <x:c r="G224" s="17" t="n">
        <x:v>300.24199999999996</x:v>
      </x:c>
      <x:c r="H224" s="17" t="n">
        <x:f>G224*F224</x:f>
        <x:v>1411.1373999999998</x:v>
      </x:c>
      <x:c r="I224" s="26" t="str">
        <x:f>HYPERLINK("https://etp-aktiv.ru/catalog/materialy/asbo-tekhnicheskie-izdeliya/2000031545-W113/","Открыть позицию")</x:f>
        <x:v>Открыть позицию</x:v>
      </x:c>
    </x:row>
    <x:row r="225" ht="28" customHeight="1">
      <x:c r="A225" s="16" t="str">
        <x:v>Бийскэнерго</x:v>
      </x:c>
      <x:c r="B225" s="16" t="str">
        <x:v>2000539174-W113</x:v>
      </x:c>
      <x:c r="C225" s="16" t="str">
        <x:v>НАБИВКА МНОГОСЛ АП-31 24*24 38.314-39-21</x:v>
      </x:c>
      <x:c r="D225" s="16" t="str">
        <x:v>Асбо-технические изд</x:v>
      </x:c>
      <x:c r="E225" s="16" t="str">
        <x:v>КГ</x:v>
      </x:c>
      <x:c r="F225" s="24" t="n">
        <x:v>17.8</x:v>
      </x:c>
      <x:c r="G225" s="17" t="n">
        <x:v>175.9972</x:v>
      </x:c>
      <x:c r="H225" s="17" t="n">
        <x:f>G225*F225</x:f>
        <x:v>3132.75016</x:v>
      </x:c>
      <x:c r="I225" s="26" t="str">
        <x:f>HYPERLINK("https://etp-aktiv.ru/catalog/materialy/asbo-tekhnicheskie-izdeliya/2000539174-W113/","Открыть позицию")</x:f>
        <x:v>Открыть позицию</x:v>
      </x:c>
    </x:row>
    <x:row r="226" ht="28" customHeight="1">
      <x:c r="A226" s="16" t="str">
        <x:v>Бийскэнерго</x:v>
      </x:c>
      <x:c r="B226" s="16" t="str">
        <x:v>2000539176-W113</x:v>
      </x:c>
      <x:c r="C226" s="16" t="str">
        <x:v>НАБИВКА ОДНОСЛОЙНОЕ ПЛЕТЕНИЕ АП-31 12*12</x:v>
      </x:c>
      <x:c r="D226" s="16" t="str">
        <x:v>Асбо-технические изд</x:v>
      </x:c>
      <x:c r="E226" s="16" t="str">
        <x:v>КГ</x:v>
      </x:c>
      <x:c r="F226" s="24" t="n">
        <x:v>31.8</x:v>
      </x:c>
      <x:c r="G226" s="17" t="n">
        <x:v>151.9876</x:v>
      </x:c>
      <x:c r="H226" s="17" t="n">
        <x:f>G226*F226</x:f>
        <x:v>4833.20568</x:v>
      </x:c>
      <x:c r="I226" s="26" t="str">
        <x:f>HYPERLINK("https://etp-aktiv.ru/catalog/materialy/asbo-tekhnicheskie-izdeliya/2000539176-W113/","Открыть позицию")</x:f>
        <x:v>Открыть позицию</x:v>
      </x:c>
    </x:row>
    <x:row r="227" ht="28" customHeight="1">
      <x:c r="A227" s="16" t="str">
        <x:v>Бийскэнерго</x:v>
      </x:c>
      <x:c r="B227" s="16" t="str">
        <x:v>2000539177-W113</x:v>
      </x:c>
      <x:c r="C227" s="16" t="str">
        <x:v>НАБИВКА ОДНОСЛОЙНОЕ ПЛЕТЕНИЕ АП-31 13*13</x:v>
      </x:c>
      <x:c r="D227" s="16" t="str">
        <x:v>Асбо-технические изд</x:v>
      </x:c>
      <x:c r="E227" s="16" t="str">
        <x:v>КГ</x:v>
      </x:c>
      <x:c r="F227" s="25" t="n">
        <x:v>1</x:v>
      </x:c>
      <x:c r="G227" s="17" t="n">
        <x:v>402.6732</x:v>
      </x:c>
      <x:c r="H227" s="17" t="n">
        <x:f>G227*F227</x:f>
        <x:v>402.6732</x:v>
      </x:c>
      <x:c r="I227" s="26" t="str">
        <x:f>HYPERLINK("https://etp-aktiv.ru/catalog/materialy/asbo-tekhnicheskie-izdeliya/2000539177-W113/","Открыть позицию")</x:f>
        <x:v>Открыть позицию</x:v>
      </x:c>
    </x:row>
    <x:row r="228" ht="28" customHeight="1">
      <x:c r="A228" s="16" t="str">
        <x:v>Бийскэнерго</x:v>
      </x:c>
      <x:c r="B228" s="16" t="str">
        <x:v>2000539184-W113</x:v>
      </x:c>
      <x:c r="C228" s="16" t="str">
        <x:v>НАБИВКА СКВОЗНОЕ ПЛЕТЕНИЕ АП-31 6*6</x:v>
      </x:c>
      <x:c r="D228" s="16" t="str">
        <x:v>Асбо-технические изд</x:v>
      </x:c>
      <x:c r="E228" s="16" t="str">
        <x:v>КГ</x:v>
      </x:c>
      <x:c r="F228" s="24" t="n">
        <x:v>5.6</x:v>
      </x:c>
      <x:c r="G228" s="17" t="n">
        <x:v>245.01260000000002</x:v>
      </x:c>
      <x:c r="H228" s="17" t="n">
        <x:f>G228*F228</x:f>
        <x:v>1372.0705600000001</x:v>
      </x:c>
      <x:c r="I228" s="26" t="str">
        <x:f>HYPERLINK("https://etp-aktiv.ru/catalog/materialy/asbo-tekhnicheskie-izdeliya/2000539184-W113/","Открыть позицию")</x:f>
        <x:v>Открыть позицию</x:v>
      </x:c>
    </x:row>
    <x:row r="229" ht="28" customHeight="1">
      <x:c r="A229" s="16" t="str">
        <x:v>Бийскэнерго</x:v>
      </x:c>
      <x:c r="B229" s="16" t="str">
        <x:v>2000475059-W113</x:v>
      </x:c>
      <x:c r="C229" s="16" t="str">
        <x:v>ПАРОНИТ ЛИСТ ПМБ 1ММ 1,0*1,5</x:v>
      </x:c>
      <x:c r="D229" s="16" t="str">
        <x:v>Асбо-технические изд</x:v>
      </x:c>
      <x:c r="E229" s="16" t="str">
        <x:v>ШТ</x:v>
      </x:c>
      <x:c r="F229" s="24" t="n">
        <x:v>1.68</x:v>
      </x:c>
      <x:c r="G229" s="17" t="n">
        <x:v>429.39119999999997</x:v>
      </x:c>
      <x:c r="H229" s="17" t="n">
        <x:f>G229*F229</x:f>
        <x:v>721.377216</x:v>
      </x:c>
      <x:c r="I229" s="26" t="str">
        <x:f>HYPERLINK("https://etp-aktiv.ru/catalog/materialy/asbo-tekhnicheskie-izdeliya/2000475059-W113/","Открыть позицию")</x:f>
        <x:v>Открыть позицию</x:v>
      </x:c>
    </x:row>
    <x:row r="230" ht="28" customHeight="1">
      <x:c r="A230" s="16" t="str">
        <x:v>Бийскэнерго</x:v>
      </x:c>
      <x:c r="B230" s="16" t="str">
        <x:v>2000033084-W113</x:v>
      </x:c>
      <x:c r="C230" s="16" t="str">
        <x:v>ПАРОНИТ ПА 1ММ</x:v>
      </x:c>
      <x:c r="D230" s="16" t="str">
        <x:v>Асбо-технические изд</x:v>
      </x:c>
      <x:c r="E230" s="16" t="str">
        <x:v>КГ</x:v>
      </x:c>
      <x:c r="F230" s="30" t="n">
        <x:v>0.5</x:v>
      </x:c>
      <x:c r="G230" s="17" t="n">
        <x:v>378.77340000000004</x:v>
      </x:c>
      <x:c r="H230" s="17" t="n">
        <x:f>G230*F230</x:f>
        <x:v>189.38670000000002</x:v>
      </x:c>
      <x:c r="I230" s="26" t="str">
        <x:f>HYPERLINK("https://etp-aktiv.ru/catalog/materialy/asbo-tekhnicheskie-izdeliya/2000033084-W113/","Открыть позицию")</x:f>
        <x:v>Открыть позицию</x:v>
      </x:c>
    </x:row>
    <x:row r="231" ht="28" customHeight="1">
      <x:c r="A231" s="16" t="str">
        <x:v>Бийскэнерго</x:v>
      </x:c>
      <x:c r="B231" s="16" t="str">
        <x:v>2000132211-W113</x:v>
      </x:c>
      <x:c r="C231" s="16" t="str">
        <x:v>ПАРОНИТ ПМБ 3ММ 1,0*1,5</x:v>
      </x:c>
      <x:c r="D231" s="16" t="str">
        <x:v>Асбо-технические изд</x:v>
      </x:c>
      <x:c r="E231" s="16" t="str">
        <x:v>КГ</x:v>
      </x:c>
      <x:c r="F231" s="24" t="n">
        <x:v>2.7</x:v>
      </x:c>
      <x:c r="G231" s="17" t="n">
        <x:v>66.2582</x:v>
      </x:c>
      <x:c r="H231" s="17" t="n">
        <x:f>G231*F231</x:f>
        <x:v>178.89714</x:v>
      </x:c>
      <x:c r="I231" s="26" t="str">
        <x:f>HYPERLINK("https://etp-aktiv.ru/catalog/materialy/asbo-tekhnicheskie-izdeliya/2000132211-W113/","Открыть позицию")</x:f>
        <x:v>Открыть позицию</x:v>
      </x:c>
    </x:row>
    <x:row r="232" ht="28" customHeight="1">
      <x:c r="A232" s="16" t="str">
        <x:v>Бийскэнерго</x:v>
      </x:c>
      <x:c r="B232" s="16" t="str">
        <x:v>2000033104-W113</x:v>
      </x:c>
      <x:c r="C232" s="16" t="str">
        <x:v>ПАРОНИТ ПОН-А 1ММ</x:v>
      </x:c>
      <x:c r="D232" s="16" t="str">
        <x:v>Асбо-технические изд</x:v>
      </x:c>
      <x:c r="E232" s="16" t="str">
        <x:v>КГ</x:v>
      </x:c>
      <x:c r="F232" s="25" t="n">
        <x:v>63</x:v>
      </x:c>
      <x:c r="G232" s="17" t="n">
        <x:v>72.102</x:v>
      </x:c>
      <x:c r="H232" s="17" t="n">
        <x:f>G232*F232</x:f>
        <x:v>4542.426</x:v>
      </x:c>
      <x:c r="I232" s="26" t="str">
        <x:f>HYPERLINK("https://etp-aktiv.ru/catalog/materialy/asbo-tekhnicheskie-izdeliya/2000033104-W113/","Открыть позицию")</x:f>
        <x:v>Открыть позицию</x:v>
      </x:c>
    </x:row>
    <x:row r="233" ht="28" customHeight="1">
      <x:c r="A233" s="16" t="str">
        <x:v>Бийскэнерго</x:v>
      </x:c>
      <x:c r="B233" s="16" t="str">
        <x:v>2000033103-W113</x:v>
      </x:c>
      <x:c r="C233" s="16" t="str">
        <x:v>ПАРОНИТ ПОН-Б 0,8ММ</x:v>
      </x:c>
      <x:c r="D233" s="16" t="str">
        <x:v>Асбо-технические изд</x:v>
      </x:c>
      <x:c r="E233" s="16" t="str">
        <x:v>КГ</x:v>
      </x:c>
      <x:c r="F233" s="25" t="n">
        <x:v>9</x:v>
      </x:c>
      <x:c r="G233" s="17" t="n">
        <x:v>84.17999999999999</x:v>
      </x:c>
      <x:c r="H233" s="17" t="n">
        <x:f>G233*F233</x:f>
        <x:v>757.6199999999999</x:v>
      </x:c>
      <x:c r="I233" s="26" t="str">
        <x:f>HYPERLINK("https://etp-aktiv.ru/catalog/materialy/asbo-tekhnicheskie-izdeliya/2000033103-W113/","Открыть позицию")</x:f>
        <x:v>Открыть позицию</x:v>
      </x:c>
    </x:row>
    <x:row r="234" ht="28" customHeight="1">
      <x:c r="A234" s="16" t="str">
        <x:v>Бийскэнерго</x:v>
      </x:c>
      <x:c r="B234" s="16" t="str">
        <x:v>2000539286-W113</x:v>
      </x:c>
      <x:c r="C234" s="16" t="str">
        <x:v>ПАРОНИТ ПОН-Б 2,0*1000*1700</x:v>
      </x:c>
      <x:c r="D234" s="16" t="str">
        <x:v>Асбо-технические изд</x:v>
      </x:c>
      <x:c r="E234" s="16" t="str">
        <x:v>КГ</x:v>
      </x:c>
      <x:c r="F234" s="30" t="n">
        <x:v>0.66</x:v>
      </x:c>
      <x:c r="G234" s="17" t="n">
        <x:v>67.771</x:v>
      </x:c>
      <x:c r="H234" s="17" t="n">
        <x:f>G234*F234</x:f>
        <x:v>44.728860000000005</x:v>
      </x:c>
      <x:c r="I234" s="26" t="str">
        <x:f>HYPERLINK("https://etp-aktiv.ru/catalog/materialy/asbo-tekhnicheskie-izdeliya/2000539286-W113/","Открыть позицию")</x:f>
        <x:v>Открыть позицию</x:v>
      </x:c>
    </x:row>
    <x:row r="235" ht="28" customHeight="1">
      <x:c r="A235" s="16" t="str">
        <x:v>Бийскэнерго</x:v>
      </x:c>
      <x:c r="B235" s="16" t="str">
        <x:v>2000539289-W113</x:v>
      </x:c>
      <x:c r="C235" s="16" t="str">
        <x:v>ПАРОНИТ ПОН-Б 3,0*1000*1700</x:v>
      </x:c>
      <x:c r="D235" s="16" t="str">
        <x:v>Асбо-технические изд</x:v>
      </x:c>
      <x:c r="E235" s="16" t="str">
        <x:v>КГ</x:v>
      </x:c>
      <x:c r="F235" s="25" t="n">
        <x:v>58</x:v>
      </x:c>
      <x:c r="G235" s="17" t="n">
        <x:v>53.8508</x:v>
      </x:c>
      <x:c r="H235" s="17" t="n">
        <x:f>G235*F235</x:f>
        <x:v>3123.3464</x:v>
      </x:c>
      <x:c r="I235" s="26" t="str">
        <x:f>HYPERLINK("https://etp-aktiv.ru/catalog/materialy/asbo-tekhnicheskie-izdeliya/2000539289-W113/","Открыть позицию")</x:f>
        <x:v>Открыть позицию</x:v>
      </x:c>
    </x:row>
    <x:row r="236" ht="28" customHeight="1">
      <x:c r="A236" s="16" t="str">
        <x:v>Бийскэнерго</x:v>
      </x:c>
      <x:c r="B236" s="16" t="str">
        <x:v>2000033112-W113</x:v>
      </x:c>
      <x:c r="C236" s="16" t="str">
        <x:v>ПАРОНИТ ПОН-Б 4ММ</x:v>
      </x:c>
      <x:c r="D236" s="16" t="str">
        <x:v>Асбо-технические изд</x:v>
      </x:c>
      <x:c r="E236" s="16" t="str">
        <x:v>КГ</x:v>
      </x:c>
      <x:c r="F236" s="24" t="n">
        <x:v>4.3</x:v>
      </x:c>
      <x:c r="G236" s="17" t="n">
        <x:v>95.16</x:v>
      </x:c>
      <x:c r="H236" s="17" t="n">
        <x:f>G236*F236</x:f>
        <x:v>409.188</x:v>
      </x:c>
      <x:c r="I236" s="26" t="str">
        <x:f>HYPERLINK("https://etp-aktiv.ru/catalog/materialy/asbo-tekhnicheskie-izdeliya/2000033112-W113/","Открыть позицию")</x:f>
        <x:v>Открыть позицию</x:v>
      </x:c>
    </x:row>
    <x:row r="237" ht="28" customHeight="1">
      <x:c r="A237" s="16" t="str">
        <x:v>Бийскэнерго</x:v>
      </x:c>
      <x:c r="B237" s="16" t="str">
        <x:v>2000692947-W113</x:v>
      </x:c>
      <x:c r="C237" s="16" t="str">
        <x:v>ПАРОНИТ ПЭ 3*1500*900</x:v>
      </x:c>
      <x:c r="D237" s="16" t="str">
        <x:v>Асбо-технические изд</x:v>
      </x:c>
      <x:c r="E237" s="16" t="str">
        <x:v>КГ</x:v>
      </x:c>
      <x:c r="F237" s="25" t="n">
        <x:v>30</x:v>
      </x:c>
      <x:c r="G237" s="17" t="n">
        <x:v>147.7054</x:v>
      </x:c>
      <x:c r="H237" s="17" t="n">
        <x:f>G237*F237</x:f>
        <x:v>4431.162</x:v>
      </x:c>
      <x:c r="I237" s="26" t="str">
        <x:f>HYPERLINK("https://etp-aktiv.ru/catalog/materialy/asbo-tekhnicheskie-izdeliya/2000692947-W113/","Открыть позицию")</x:f>
        <x:v>Открыть позицию</x:v>
      </x:c>
    </x:row>
    <x:row r="238" ht="28" customHeight="1">
      <x:c r="A238" s="16" t="str">
        <x:v>Бийскэнерго</x:v>
      </x:c>
      <x:c r="B238" s="16" t="str">
        <x:v>2000628380-W113</x:v>
      </x:c>
      <x:c r="C238" s="16" t="str">
        <x:v>ПЛАСТИНА 5*800*3000 1Н-I ТМКЩ-С ГОСТ7338</x:v>
      </x:c>
      <x:c r="D238" s="16" t="str">
        <x:v>Проч резино-тех изд</x:v>
      </x:c>
      <x:c r="E238" s="16" t="str">
        <x:v>КГ</x:v>
      </x:c>
      <x:c r="F238" s="24" t="n">
        <x:v>98.7</x:v>
      </x:c>
      <x:c r="G238" s="17" t="n">
        <x:v>10.065</x:v>
      </x:c>
      <x:c r="H238" s="17" t="n">
        <x:f>G238*F238</x:f>
        <x:v>993.4155</x:v>
      </x:c>
      <x:c r="I238" s="26" t="str">
        <x:f>HYPERLINK("https://etp-aktiv.ru/catalog/materialy/rezino-tekhnicheskie-izdeliya/2000628380-W113/","Открыть позицию")</x:f>
        <x:v>Открыть позицию</x:v>
      </x:c>
    </x:row>
    <x:row r="239" ht="28" customHeight="1">
      <x:c r="A239" s="16" t="str">
        <x:v>Бийскэнерго</x:v>
      </x:c>
      <x:c r="B239" s="16" t="str">
        <x:v>2000153488-W113</x:v>
      </x:c>
      <x:c r="C239" s="16" t="str">
        <x:v>ПЛАСТИНА Ф4 К20 20*300*300ММ</x:v>
      </x:c>
      <x:c r="D239" s="16" t="str">
        <x:v>Э/изоляцион мат-лы</x:v>
      </x:c>
      <x:c r="E239" s="16" t="str">
        <x:v>КГ</x:v>
      </x:c>
      <x:c r="F239" s="24" t="n">
        <x:v>7.5</x:v>
      </x:c>
      <x:c r="G239" s="17" t="n">
        <x:v>1029.375</x:v>
      </x:c>
      <x:c r="H239" s="17" t="n">
        <x:f>G239*F239</x:f>
        <x:v>7720.3125</x:v>
      </x:c>
      <x:c r="I239" s="26" t="str">
        <x:f>HYPERLINK("https://etp-aktiv.ru/catalog/materialy/ehlektroizolyacionnye-materialy/2000153488-W113/","Открыть позицию")</x:f>
        <x:v>Открыть позицию</x:v>
      </x:c>
    </x:row>
    <x:row r="240" ht="28" customHeight="1">
      <x:c r="A240" s="16" t="str">
        <x:v>Бийскэнерго</x:v>
      </x:c>
      <x:c r="B240" s="16" t="str">
        <x:v>2000154071-W113</x:v>
      </x:c>
      <x:c r="C240" s="16" t="str">
        <x:v>ПЛИТА ТЕПЛОИЗОЛ ПТЭ-75 1000*500*50</x:v>
      </x:c>
      <x:c r="D240" s="16" t="str">
        <x:v>Теплоизоляция</x:v>
      </x:c>
      <x:c r="E240" s="16" t="str">
        <x:v>М3</x:v>
      </x:c>
      <x:c r="F240" s="24" t="n">
        <x:v>25.748</x:v>
      </x:c>
      <x:c r="G240" s="17" t="n">
        <x:v>4312.3096</x:v>
      </x:c>
      <x:c r="H240" s="17" t="n">
        <x:f>G240*F240</x:f>
        <x:v>111033.3475808</x:v>
      </x:c>
      <x:c r="I240" s="26" t="str">
        <x:f>HYPERLINK("https://etp-aktiv.ru/catalog/materialy/teploizolyaciya/2000154071-W113/","Открыть позицию")</x:f>
        <x:v>Открыть позицию</x:v>
      </x:c>
    </x:row>
    <x:row r="241" ht="28" customHeight="1">
      <x:c r="A241" s="16" t="str">
        <x:v>Бийскэнерго</x:v>
      </x:c>
      <x:c r="B241" s="16" t="str">
        <x:v>2000553818-W113</x:v>
      </x:c>
      <x:c r="C241" s="16" t="str">
        <x:v>ПОРОШОК КИСЛОТОУПОРНЫЙ МУКА ДИАБАЗОВАЯ</x:v>
      </x:c>
      <x:c r="D241" s="16" t="str">
        <x:v>Кислотоупорн мат-лы</x:v>
      </x:c>
      <x:c r="E241" s="16" t="str">
        <x:v>Т</x:v>
      </x:c>
      <x:c r="F241" s="30" t="n">
        <x:v>0.776</x:v>
      </x:c>
      <x:c r="G241" s="17" t="n">
        <x:v>22430.3222</x:v>
      </x:c>
      <x:c r="H241" s="17" t="n">
        <x:f>G241*F241</x:f>
        <x:v>17405.9300272</x:v>
      </x:c>
      <x:c r="I241" s="26" t="str">
        <x:f>HYPERLINK("https://etp-aktiv.ru/catalog/materialy/stroitelnye-materialy/2000553818-W113/","Открыть позицию")</x:f>
        <x:v>Открыть позицию</x:v>
      </x:c>
    </x:row>
    <x:row r="242" ht="28" customHeight="1">
      <x:c r="A242" s="16" t="str">
        <x:v>Бийскэнерго</x:v>
      </x:c>
      <x:c r="B242" s="16" t="str">
        <x:v>2000553808-W113</x:v>
      </x:c>
      <x:c r="C242" s="16" t="str">
        <x:v>ПОРОШОК МОЛОТ ПГБ ТУ1522-009-00190495</x:v>
      </x:c>
      <x:c r="D242" s="16" t="str">
        <x:v>Огнеупорные мат-лы</x:v>
      </x:c>
      <x:c r="E242" s="16" t="str">
        <x:v>Т</x:v>
      </x:c>
      <x:c r="F242" s="24" t="n">
        <x:v>2.013</x:v>
      </x:c>
      <x:c r="G242" s="17" t="n">
        <x:v>10155.475199999999</x:v>
      </x:c>
      <x:c r="H242" s="17" t="n">
        <x:f>G242*F242</x:f>
        <x:v>20442.971577599998</x:v>
      </x:c>
      <x:c r="I242" s="26" t="str">
        <x:f>HYPERLINK("https://etp-aktiv.ru/catalog/materialy/ogneupornye-materialy/2000553808-W113/","Открыть позицию")</x:f>
        <x:v>Открыть позицию</x:v>
      </x:c>
    </x:row>
    <x:row r="243" ht="28" customHeight="1">
      <x:c r="A243" s="16" t="str">
        <x:v>Бийскэнерго</x:v>
      </x:c>
      <x:c r="B243" s="16" t="str">
        <x:v>2000646337-W113</x:v>
      </x:c>
      <x:c r="C243" s="16" t="str">
        <x:v>ПРОКЛАДКА ПОГФ-Г-3,4-У-16-185*155*3,5</x:v>
      </x:c>
      <x:c r="D243" s="16" t="str">
        <x:v>Асбо-технические изд</x:v>
      </x:c>
      <x:c r="E243" s="16" t="str">
        <x:v>ШТ</x:v>
      </x:c>
      <x:c r="F243" s="25" t="n">
        <x:v>4</x:v>
      </x:c>
      <x:c r="G243" s="17" t="n">
        <x:v>371.6974</x:v>
      </x:c>
      <x:c r="H243" s="17" t="n">
        <x:f>G243*F243</x:f>
        <x:v>1486.7896</x:v>
      </x:c>
      <x:c r="I243" s="26" t="str">
        <x:f>HYPERLINK("https://etp-aktiv.ru/catalog/materialy/asbo-tekhnicheskie-izdeliya/2000646337-W113/","Открыть позицию")</x:f>
        <x:v>Открыть позицию</x:v>
      </x:c>
    </x:row>
    <x:row r="244" ht="28" customHeight="1">
      <x:c r="A244" s="16" t="str">
        <x:v>Бийскэнерго</x:v>
      </x:c>
      <x:c r="B244" s="16" t="str">
        <x:v>2000591001-W113</x:v>
      </x:c>
      <x:c r="C244" s="16" t="str">
        <x:v>РЕЗИНА ВАК 51-2062 3 РУЛ0,8М ТУ38-105116</x:v>
      </x:c>
      <x:c r="D244" s="16" t="str">
        <x:v>Проч резино-тех изд</x:v>
      </x:c>
      <x:c r="E244" s="16" t="str">
        <x:v>КГ</x:v>
      </x:c>
      <x:c r="F244" s="24" t="n">
        <x:v>27.1</x:v>
      </x:c>
      <x:c r="G244" s="17" t="n">
        <x:v>201.7514</x:v>
      </x:c>
      <x:c r="H244" s="17" t="n">
        <x:f>G244*F244</x:f>
        <x:v>5467.46294</x:v>
      </x:c>
      <x:c r="I244" s="26" t="str">
        <x:f>HYPERLINK("https://etp-aktiv.ru/catalog/materialy/rezino-tekhnicheskie-izdeliya/2000591001-W113/","Открыть позицию")</x:f>
        <x:v>Открыть позицию</x:v>
      </x:c>
    </x:row>
    <x:row r="245" ht="28" customHeight="1">
      <x:c r="A245" s="16" t="str">
        <x:v>Бийскэнерго</x:v>
      </x:c>
      <x:c r="B245" s="16" t="str">
        <x:v>2000652974-W113</x:v>
      </x:c>
      <x:c r="C245" s="16" t="str">
        <x:v>РЕЗИНА ЛИСТОВАЯ 7ММ 1000*1000 ТМКЩС</x:v>
      </x:c>
      <x:c r="D245" s="16" t="str">
        <x:v>Проч резино-тех изд</x:v>
      </x:c>
      <x:c r="E245" s="16" t="str">
        <x:v>КГ</x:v>
      </x:c>
      <x:c r="F245" s="24" t="n">
        <x:v>1.03</x:v>
      </x:c>
      <x:c r="G245" s="17" t="n">
        <x:v>78.263</x:v>
      </x:c>
      <x:c r="H245" s="17" t="n">
        <x:f>G245*F245</x:f>
        <x:v>80.61089000000001</x:v>
      </x:c>
      <x:c r="I245" s="26" t="str">
        <x:f>HYPERLINK("https://etp-aktiv.ru/catalog/materialy/rezino-tekhnicheskie-izdeliya/2000652974-W113/","Открыть позицию")</x:f>
        <x:v>Открыть позицию</x:v>
      </x:c>
    </x:row>
    <x:row r="246" ht="28" customHeight="1">
      <x:c r="A246" s="16" t="str">
        <x:v>Бийскэнерго</x:v>
      </x:c>
      <x:c r="B246" s="16" t="str">
        <x:v>2000002127-W113</x:v>
      </x:c>
      <x:c r="C246" s="16" t="str">
        <x:v>РУКАВ НАП С ТЕКС Б D16 P10 ГОСТ18698-79</x:v>
      </x:c>
      <x:c r="D246" s="16" t="str">
        <x:v>РТИ и прч спец.заказ</x:v>
      </x:c>
      <x:c r="E246" s="16" t="str">
        <x:v>ПМ</x:v>
      </x:c>
      <x:c r="F246" s="24" t="n">
        <x:v>20.2</x:v>
      </x:c>
      <x:c r="G246" s="17" t="n">
        <x:v>67.95400000000001</x:v>
      </x:c>
      <x:c r="H246" s="17" t="n">
        <x:f>G246*F246</x:f>
        <x:v>1372.6708</x:v>
      </x:c>
      <x:c r="I246" s="26" t="str">
        <x:f>HYPERLINK("https://etp-aktiv.ru/catalog/materialy/rezino-tekhnicheskie-izdeliya/2000002127-W113/","Открыть позицию")</x:f>
        <x:v>Открыть позицию</x:v>
      </x:c>
    </x:row>
    <x:row r="247" ht="28" customHeight="1">
      <x:c r="A247" s="16" t="str">
        <x:v>Бийскэнерго</x:v>
      </x:c>
      <x:c r="B247" s="16" t="str">
        <x:v>2000548644-W113</x:v>
      </x:c>
      <x:c r="C247" s="16" t="str">
        <x:v>ТЕКСТОЛИТ А 1С 4ММ ГОСТ2910-74</x:v>
      </x:c>
      <x:c r="D247" s="16" t="str">
        <x:v>Э/изоляцион мат-лы</x:v>
      </x:c>
      <x:c r="E247" s="16" t="str">
        <x:v>КГ</x:v>
      </x:c>
      <x:c r="F247" s="24" t="n">
        <x:v>13.54</x:v>
      </x:c>
      <x:c r="G247" s="17" t="n">
        <x:v>270.8888</x:v>
      </x:c>
      <x:c r="H247" s="17" t="n">
        <x:f>G247*F247</x:f>
        <x:v>3667.834352</x:v>
      </x:c>
      <x:c r="I247" s="26" t="str">
        <x:f>HYPERLINK("https://etp-aktiv.ru/catalog/materialy/ehlektroizolyacionnye-materialy/2000548644-W113/","Открыть позицию")</x:f>
        <x:v>Открыть позицию</x:v>
      </x:c>
    </x:row>
    <x:row r="248" ht="28" customHeight="1">
      <x:c r="A248" s="16" t="str">
        <x:v>Бийскэнерго</x:v>
      </x:c>
      <x:c r="B248" s="16" t="str">
        <x:v>2000284160-W113</x:v>
      </x:c>
      <x:c r="C248" s="16" t="str">
        <x:v>ТЕКСТОЛИТ Б 20ММ</x:v>
      </x:c>
      <x:c r="D248" s="16" t="str">
        <x:v>Э/изоляцион мат-лы</x:v>
      </x:c>
      <x:c r="E248" s="16" t="str">
        <x:v>КГ</x:v>
      </x:c>
      <x:c r="F248" s="24" t="n">
        <x:v>24.04</x:v>
      </x:c>
      <x:c r="G248" s="17" t="n">
        <x:v>175.68</x:v>
      </x:c>
      <x:c r="H248" s="17" t="n">
        <x:f>G248*F248</x:f>
        <x:v>4223.3472</x:v>
      </x:c>
      <x:c r="I248" s="26" t="str">
        <x:f>HYPERLINK("https://etp-aktiv.ru/catalog/materialy/ehlektroizolyacionnye-materialy/2000284160-W113/","Открыть позицию")</x:f>
        <x:v>Открыть позицию</x:v>
      </x:c>
    </x:row>
    <x:row r="249" ht="28" customHeight="1">
      <x:c r="A249" s="16" t="str">
        <x:v>Бийскэнерго</x:v>
      </x:c>
      <x:c r="B249" s="16" t="str">
        <x:v>2000548654-W113</x:v>
      </x:c>
      <x:c r="C249" s="16" t="str">
        <x:v>ТЕКСТОЛИТ ПТ СОРТ ВЫСШИЙ 60ММ ГОСТ5-78</x:v>
      </x:c>
      <x:c r="D249" s="16" t="str">
        <x:v>Э/изоляцион мат-лы</x:v>
      </x:c>
      <x:c r="E249" s="16" t="str">
        <x:v>КГ</x:v>
      </x:c>
      <x:c r="F249" s="24" t="n">
        <x:v>197.3</x:v>
      </x:c>
      <x:c r="G249" s="17" t="n">
        <x:v>291.7264</x:v>
      </x:c>
      <x:c r="H249" s="17" t="n">
        <x:f>G249*F249</x:f>
        <x:v>57557.618720000006</x:v>
      </x:c>
      <x:c r="I249" s="26" t="str">
        <x:f>HYPERLINK("https://etp-aktiv.ru/catalog/materialy/ehlektroizolyacionnye-materialy/2000548654-W113/","Открыть позицию")</x:f>
        <x:v>Открыть позицию</x:v>
      </x:c>
    </x:row>
    <x:row r="250" ht="28" customHeight="1">
      <x:c r="A250" s="16" t="str">
        <x:v>Бийскэнерго</x:v>
      </x:c>
      <x:c r="B250" s="16" t="str">
        <x:v>2000068916-W113</x:v>
      </x:c>
      <x:c r="C250" s="16" t="str">
        <x:v>ТЕКСТОЛИТ ПТ Т-40ММ ГОСТ5-78</x:v>
      </x:c>
      <x:c r="D250" s="16" t="str">
        <x:v>Э/изоляцион мат-лы</x:v>
      </x:c>
      <x:c r="E250" s="16" t="str">
        <x:v>КГ</x:v>
      </x:c>
      <x:c r="F250" s="24" t="n">
        <x:v>211.7</x:v>
      </x:c>
      <x:c r="G250" s="17" t="n">
        <x:v>309.0748</x:v>
      </x:c>
      <x:c r="H250" s="17" t="n">
        <x:f>G250*F250</x:f>
        <x:v>65431.13515999999</x:v>
      </x:c>
      <x:c r="I250" s="26" t="str">
        <x:f>HYPERLINK("https://etp-aktiv.ru/catalog/materialy/ehlektroizolyacionnye-materialy/2000068916-W113/","Открыть позицию")</x:f>
        <x:v>Открыть позицию</x:v>
      </x:c>
    </x:row>
    <x:row r="251" ht="28" customHeight="1">
      <x:c r="A251" s="16" t="str">
        <x:v>Бийскэнерго</x:v>
      </x:c>
      <x:c r="B251" s="16" t="str">
        <x:v>2000547037-W113</x:v>
      </x:c>
      <x:c r="C251" s="16" t="str">
        <x:v>ТЕХПЛАСТИНА 10 1Н-I-МБС-С ГОСТ7338-90</x:v>
      </x:c>
      <x:c r="D251" s="16" t="str">
        <x:v>Проч резино-тех изд</x:v>
      </x:c>
      <x:c r="E251" s="16" t="str">
        <x:v>КГ</x:v>
      </x:c>
      <x:c r="F251" s="24" t="n">
        <x:v>19.3</x:v>
      </x:c>
      <x:c r="G251" s="17" t="n">
        <x:v>75.7132</x:v>
      </x:c>
      <x:c r="H251" s="17" t="n">
        <x:f>G251*F251</x:f>
        <x:v>1461.26476</x:v>
      </x:c>
      <x:c r="I251" s="26" t="str">
        <x:f>HYPERLINK("https://etp-aktiv.ru/catalog/materialy/rezino-tekhnicheskie-izdeliya/2000547037-W113/","Открыть позицию")</x:f>
        <x:v>Открыть позицию</x:v>
      </x:c>
    </x:row>
    <x:row r="252" ht="28" customHeight="1">
      <x:c r="A252" s="16" t="str">
        <x:v>Бийскэнерго</x:v>
      </x:c>
      <x:c r="B252" s="16" t="str">
        <x:v>2000147850-W113</x:v>
      </x:c>
      <x:c r="C252" s="16" t="str">
        <x:v>ТЕХПЛАСТИНА 2*1000*1000 МБС-С ГОСТ7338</x:v>
      </x:c>
      <x:c r="D252" s="16" t="str">
        <x:v>Проч резино-тех изд</x:v>
      </x:c>
      <x:c r="E252" s="16" t="str">
        <x:v>КГ</x:v>
      </x:c>
      <x:c r="F252" s="30" t="n">
        <x:v>0.66</x:v>
      </x:c>
      <x:c r="G252" s="17" t="n">
        <x:v>159.0026</x:v>
      </x:c>
      <x:c r="H252" s="17" t="n">
        <x:f>G252*F252</x:f>
        <x:v>104.941716</x:v>
      </x:c>
      <x:c r="I252" s="26" t="str">
        <x:f>HYPERLINK("https://etp-aktiv.ru/catalog/materialy/rezino-tekhnicheskie-izdeliya/2000147850-W113/","Открыть позицию")</x:f>
        <x:v>Открыть позицию</x:v>
      </x:c>
    </x:row>
    <x:row r="253" ht="28" customHeight="1">
      <x:c r="A253" s="16" t="str">
        <x:v>Бийскэнерго</x:v>
      </x:c>
      <x:c r="B253" s="16" t="str">
        <x:v>2000547047-W113</x:v>
      </x:c>
      <x:c r="C253" s="16" t="str">
        <x:v>ТЕХПЛАСТИНА 3 1Н-I-ТМКЩ-С ГОСТ7338-90</x:v>
      </x:c>
      <x:c r="D253" s="16" t="str">
        <x:v>Проч резино-тех изд</x:v>
      </x:c>
      <x:c r="E253" s="16" t="str">
        <x:v>КГ</x:v>
      </x:c>
      <x:c r="F253" s="24" t="n">
        <x:v>18.65</x:v>
      </x:c>
      <x:c r="G253" s="17" t="n">
        <x:v>13.981200000000001</x:v>
      </x:c>
      <x:c r="H253" s="17" t="n">
        <x:f>G253*F253</x:f>
        <x:v>260.74938000000003</x:v>
      </x:c>
      <x:c r="I253" s="26" t="str">
        <x:f>HYPERLINK("https://etp-aktiv.ru/catalog/materialy/rezino-tekhnicheskie-izdeliya/2000547047-W113/","Открыть позицию")</x:f>
        <x:v>Открыть позицию</x:v>
      </x:c>
    </x:row>
    <x:row r="254" ht="28" customHeight="1">
      <x:c r="A254" s="16" t="str">
        <x:v>Бийскэнерго</x:v>
      </x:c>
      <x:c r="B254" s="16" t="str">
        <x:v>2000546970-W113</x:v>
      </x:c>
      <x:c r="C254" s="16" t="str">
        <x:v>ТЕХПЛАСТИНА 3 1Ф-1 ТМКЩ-М ГОСТ7338-90</x:v>
      </x:c>
      <x:c r="D254" s="16" t="str">
        <x:v>Проч резино-тех изд</x:v>
      </x:c>
      <x:c r="E254" s="16" t="str">
        <x:v>КГ</x:v>
      </x:c>
      <x:c r="F254" s="24" t="n">
        <x:v>86.4</x:v>
      </x:c>
      <x:c r="G254" s="17" t="n">
        <x:v>107.48199999999999</x:v>
      </x:c>
      <x:c r="H254" s="17" t="n">
        <x:f>G254*F254</x:f>
        <x:v>9286.4448</x:v>
      </x:c>
      <x:c r="I254" s="26" t="str">
        <x:f>HYPERLINK("https://etp-aktiv.ru/catalog/materialy/rezino-tekhnicheskie-izdeliya/2000546970-W113/","Открыть позицию")</x:f>
        <x:v>Открыть позицию</x:v>
      </x:c>
    </x:row>
    <x:row r="255" ht="28" customHeight="1">
      <x:c r="A255" s="16" t="str">
        <x:v>Бийскэнерго</x:v>
      </x:c>
      <x:c r="B255" s="16" t="str">
        <x:v>2000003010-W113</x:v>
      </x:c>
      <x:c r="C255" s="16" t="str">
        <x:v>ТЕХПЛАСТИНА 6*1000*1000 МБС-С ГОСТ7338</x:v>
      </x:c>
      <x:c r="D255" s="16" t="str">
        <x:v>Проч резино-тех изд</x:v>
      </x:c>
      <x:c r="E255" s="16" t="str">
        <x:v>КГ</x:v>
      </x:c>
      <x:c r="F255" s="24" t="n">
        <x:v>96.4</x:v>
      </x:c>
      <x:c r="G255" s="17" t="n">
        <x:v>80.22720000000001</x:v>
      </x:c>
      <x:c r="H255" s="17" t="n">
        <x:f>G255*F255</x:f>
        <x:v>7733.902080000002</x:v>
      </x:c>
      <x:c r="I255" s="26" t="str">
        <x:f>HYPERLINK("https://etp-aktiv.ru/catalog/materialy/rezino-tekhnicheskie-izdeliya/2000003010-W113/","Открыть позицию")</x:f>
        <x:v>Открыть позицию</x:v>
      </x:c>
    </x:row>
    <x:row r="256" ht="28" customHeight="1">
      <x:c r="A256" s="16" t="str">
        <x:v>Бийскэнерго</x:v>
      </x:c>
      <x:c r="B256" s="16" t="str">
        <x:v>2000004039-W113</x:v>
      </x:c>
      <x:c r="C256" s="16" t="str">
        <x:v>ТЕХПЛАСТИНА 8*1000*1000 МБС-С ГОСТ7338</x:v>
      </x:c>
      <x:c r="D256" s="16" t="str">
        <x:v>Проч резино-тех изд</x:v>
      </x:c>
      <x:c r="E256" s="16" t="str">
        <x:v>КГ</x:v>
      </x:c>
      <x:c r="F256" s="25" t="n">
        <x:v>12</x:v>
      </x:c>
      <x:c r="G256" s="17" t="n">
        <x:v>127.36800000000001</x:v>
      </x:c>
      <x:c r="H256" s="17" t="n">
        <x:f>G256*F256</x:f>
        <x:v>1528.4160000000002</x:v>
      </x:c>
      <x:c r="I256" s="26" t="str">
        <x:f>HYPERLINK("https://etp-aktiv.ru/catalog/materialy/rezino-tekhnicheskie-izdeliya/2000004039-W113/","Открыть позицию")</x:f>
        <x:v>Открыть позицию</x:v>
      </x:c>
    </x:row>
    <x:row r="257" ht="28" customHeight="1">
      <x:c r="A257" s="16" t="str">
        <x:v>Бийскэнерго</x:v>
      </x:c>
      <x:c r="B257" s="16" t="str">
        <x:v>2000547026-W113</x:v>
      </x:c>
      <x:c r="C257" s="16" t="str">
        <x:v>ТЕХПЛАСТИНА 8*1000*3000 УМ ГОСТ12855-77</x:v>
      </x:c>
      <x:c r="D257" s="16" t="str">
        <x:v>Проч резино-тех изд</x:v>
      </x:c>
      <x:c r="E257" s="16" t="str">
        <x:v>КГ</x:v>
      </x:c>
      <x:c r="F257" s="24" t="n">
        <x:v>73.78</x:v>
      </x:c>
      <x:c r="G257" s="17" t="n">
        <x:v>242.26760000000002</x:v>
      </x:c>
      <x:c r="H257" s="17" t="n">
        <x:f>G257*F257</x:f>
        <x:v>17874.503528</x:v>
      </x:c>
      <x:c r="I257" s="26" t="str">
        <x:f>HYPERLINK("https://etp-aktiv.ru/catalog/materialy/rezino-tekhnicheskie-izdeliya/2000547026-W113/","Открыть позицию")</x:f>
        <x:v>Открыть позицию</x:v>
      </x:c>
    </x:row>
    <x:row r="258" ht="28" customHeight="1">
      <x:c r="A258" s="16" t="str">
        <x:v>Бийскэнерго</x:v>
      </x:c>
      <x:c r="B258" s="16" t="str">
        <x:v>2000141961-W113</x:v>
      </x:c>
      <x:c r="C258" s="16" t="str">
        <x:v>ТЕХПЛАСТИНА 8ММ ТКМЩ С ГОСТ7338-90</x:v>
      </x:c>
      <x:c r="D258" s="16" t="str">
        <x:v>Проч резино-тех изд</x:v>
      </x:c>
      <x:c r="E258" s="16" t="str">
        <x:v>КГ</x:v>
      </x:c>
      <x:c r="F258" s="24" t="n">
        <x:v>26.616</x:v>
      </x:c>
      <x:c r="G258" s="17" t="n">
        <x:v>67.5392</x:v>
      </x:c>
      <x:c r="H258" s="17" t="n">
        <x:f>G258*F258</x:f>
        <x:v>1797.6233472</x:v>
      </x:c>
      <x:c r="I258" s="26" t="str">
        <x:f>HYPERLINK("https://etp-aktiv.ru/catalog/materialy/rezino-tekhnicheskie-izdeliya/2000141961-W113/","Открыть позицию")</x:f>
        <x:v>Открыть позицию</x:v>
      </x:c>
    </x:row>
    <x:row r="259" ht="28" customHeight="1">
      <x:c r="A259" s="16" t="str">
        <x:v>Бийскэнерго</x:v>
      </x:c>
      <x:c r="B259" s="16" t="str">
        <x:v>2000044942-W113</x:v>
      </x:c>
      <x:c r="C259" s="16" t="str">
        <x:v>ЦЕМЕНТ ГЛИНОЗЕМИСТЫЙ ГЦ-40 ГОСТ969-2019</x:v>
      </x:c>
      <x:c r="D259" s="16" t="str">
        <x:v>Огнеупорные мат-лы</x:v>
      </x:c>
      <x:c r="E259" s="16" t="str">
        <x:v>Т</x:v>
      </x:c>
      <x:c r="F259" s="24" t="n">
        <x:v>1.253</x:v>
      </x:c>
      <x:c r="G259" s="17" t="n">
        <x:v>36828.8598</x:v>
      </x:c>
      <x:c r="H259" s="17" t="n">
        <x:f>G259*F259</x:f>
        <x:v>46146.56132939999</x:v>
      </x:c>
      <x:c r="I259" s="26" t="str">
        <x:f>HYPERLINK("https://etp-aktiv.ru/catalog/materialy/ogneupornye-materialy/2000044942-W113/","Открыть позицию")</x:f>
        <x:v>Открыть позицию</x:v>
      </x:c>
    </x:row>
    <x:row r="260" ht="28" customHeight="1">
      <x:c r="A260" s="16" t="str">
        <x:v>Бийскэнерго</x:v>
      </x:c>
      <x:c r="B260" s="16" t="str">
        <x:v>2000546896-W113</x:v>
      </x:c>
      <x:c r="C260" s="16" t="str">
        <x:v>ШНУР 10*20 1,1С ГОСТ6467-79</x:v>
      </x:c>
      <x:c r="D260" s="16" t="str">
        <x:v>Проч резино-тех изд</x:v>
      </x:c>
      <x:c r="E260" s="16" t="str">
        <x:v>КГ</x:v>
      </x:c>
      <x:c r="F260" s="24" t="n">
        <x:v>133.18</x:v>
      </x:c>
      <x:c r="G260" s="17" t="n">
        <x:v>90.0848</x:v>
      </x:c>
      <x:c r="H260" s="17" t="n">
        <x:f>G260*F260</x:f>
        <x:v>11997.493664000001</x:v>
      </x:c>
      <x:c r="I260" s="26" t="str">
        <x:f>HYPERLINK("https://etp-aktiv.ru/catalog/materialy/rezino-tekhnicheskie-izdeliya/2000546896-W113/","Открыть позицию")</x:f>
        <x:v>Открыть позицию</x:v>
      </x:c>
    </x:row>
    <x:row r="261" ht="28" customHeight="1">
      <x:c r="A261" s="16" t="str">
        <x:v>Бийскэнерго</x:v>
      </x:c>
      <x:c r="B261" s="16" t="str">
        <x:v>2000590457-W113</x:v>
      </x:c>
      <x:c r="C261" s="16" t="str">
        <x:v>ШНУР 12*12ММ 5Р-129 ТУ38.105.1165</x:v>
      </x:c>
      <x:c r="D261" s="16" t="str">
        <x:v>Проч резино-тех изд</x:v>
      </x:c>
      <x:c r="E261" s="16" t="str">
        <x:v>КГ</x:v>
      </x:c>
      <x:c r="F261" s="24" t="n">
        <x:v>17.89</x:v>
      </x:c>
      <x:c r="G261" s="17" t="n">
        <x:v>1226.6734</x:v>
      </x:c>
      <x:c r="H261" s="17" t="n">
        <x:f>G261*F261</x:f>
        <x:v>21945.187126</x:v>
      </x:c>
      <x:c r="I261" s="26" t="str">
        <x:f>HYPERLINK("https://etp-aktiv.ru/catalog/materialy/rezino-tekhnicheskie-izdeliya/2000590457-W113/","Открыть позицию")</x:f>
        <x:v>Открыть позицию</x:v>
      </x:c>
    </x:row>
    <x:row r="262" ht="28" customHeight="1">
      <x:c r="A262" s="16" t="str">
        <x:v>Бийскэнерго</x:v>
      </x:c>
      <x:c r="B262" s="16" t="str">
        <x:v>2000163458-W113</x:v>
      </x:c>
      <x:c r="C262" s="16" t="str">
        <x:v>ШНУР 2C D4ММ ГОСТ6467-79</x:v>
      </x:c>
      <x:c r="D262" s="16" t="str">
        <x:v>Проч резино-тех изд</x:v>
      </x:c>
      <x:c r="E262" s="16" t="str">
        <x:v>КГ</x:v>
      </x:c>
      <x:c r="F262" s="25" t="n">
        <x:v>13</x:v>
      </x:c>
      <x:c r="G262" s="17" t="n">
        <x:v>273.57280000000003</x:v>
      </x:c>
      <x:c r="H262" s="17" t="n">
        <x:f>G262*F262</x:f>
        <x:v>3556.4464000000003</x:v>
      </x:c>
      <x:c r="I262" s="26" t="str">
        <x:f>HYPERLINK("https://etp-aktiv.ru/catalog/materialy/rezino-tekhnicheskie-izdeliya/2000163458-W113/","Открыть позицию")</x:f>
        <x:v>Открыть позицию</x:v>
      </x:c>
    </x:row>
    <x:row r="263" ht="28" customHeight="1">
      <x:c r="A263" s="16" t="str">
        <x:v>Бийскэнерго</x:v>
      </x:c>
      <x:c r="B263" s="16" t="str">
        <x:v>2000549124-W113</x:v>
      </x:c>
      <x:c r="C263" s="16" t="str">
        <x:v>ШНУР 30ММ ШБЭ 150-ПС</x:v>
      </x:c>
      <x:c r="D263" s="16" t="str">
        <x:v>Теплоизоляция</x:v>
      </x:c>
      <x:c r="E263" s="16" t="str">
        <x:v>М3</x:v>
      </x:c>
      <x:c r="F263" s="25" t="n">
        <x:v>1</x:v>
      </x:c>
      <x:c r="G263" s="17" t="n">
        <x:v>5412.908200000001</x:v>
      </x:c>
      <x:c r="H263" s="17" t="n">
        <x:f>G263*F263</x:f>
        <x:v>5412.908200000001</x:v>
      </x:c>
      <x:c r="I263" s="26" t="str">
        <x:f>HYPERLINK("https://etp-aktiv.ru/catalog/materialy/teploizolyaciya/2000549124-W113/","Открыть позицию")</x:f>
        <x:v>Открыть позицию</x:v>
      </x:c>
    </x:row>
    <x:row r="264" ht="28" customHeight="1">
      <x:c r="A264" s="16" t="str">
        <x:v>Бийскэнерго</x:v>
      </x:c>
      <x:c r="B264" s="16" t="str">
        <x:v>2000149686-W113</x:v>
      </x:c>
      <x:c r="C264" s="16" t="str">
        <x:v>ШНУР 5С D6ММ ГОСТ6467-79</x:v>
      </x:c>
      <x:c r="D264" s="16" t="str">
        <x:v>Проч резино-тех изд</x:v>
      </x:c>
      <x:c r="E264" s="16" t="str">
        <x:v>КГ</x:v>
      </x:c>
      <x:c r="F264" s="30" t="n">
        <x:v>0.8</x:v>
      </x:c>
      <x:c r="G264" s="17" t="n">
        <x:v>297.7288</x:v>
      </x:c>
      <x:c r="H264" s="17" t="n">
        <x:f>G264*F264</x:f>
        <x:v>238.18304</x:v>
      </x:c>
      <x:c r="I264" s="26" t="str">
        <x:f>HYPERLINK("https://etp-aktiv.ru/catalog/materialy/rezino-tekhnicheskie-izdeliya/2000149686-W113/","Открыть позицию")</x:f>
        <x:v>Открыть позицию</x:v>
      </x:c>
    </x:row>
    <x:row r="265" ht="28" customHeight="1">
      <x:c r="A265" s="16" t="str">
        <x:v>Бийскэнерго</x:v>
      </x:c>
      <x:c r="B265" s="16" t="str">
        <x:v>2000046189-W113</x:v>
      </x:c>
      <x:c r="C265" s="16" t="str">
        <x:v>ШНУР АСБЕСТ ШАОН 25ММ</x:v>
      </x:c>
      <x:c r="D265" s="16" t="str">
        <x:v>Асбо-технические изд</x:v>
      </x:c>
      <x:c r="E265" s="16" t="str">
        <x:v>КГ</x:v>
      </x:c>
      <x:c r="F265" s="24" t="n">
        <x:v>2.2</x:v>
      </x:c>
      <x:c r="G265" s="17" t="n">
        <x:v>284.6992</x:v>
      </x:c>
      <x:c r="H265" s="17" t="n">
        <x:f>G265*F265</x:f>
        <x:v>626.33824</x:v>
      </x:c>
      <x:c r="I265" s="26" t="str">
        <x:f>HYPERLINK("https://etp-aktiv.ru/catalog/materialy/asbo-tekhnicheskie-izdeliya/2000046189-W113/","Открыть позицию")</x:f>
        <x:v>Открыть позицию</x:v>
      </x:c>
    </x:row>
    <x:row r="266" ht="28" customHeight="1">
      <x:c r="A266" s="16" t="str">
        <x:v>Бийскэнерго</x:v>
      </x:c>
      <x:c r="B266" s="16" t="str">
        <x:v>2000146458-W113</x:v>
      </x:c>
      <x:c r="C266" s="16" t="str">
        <x:v>ШНУР МБС 5ММ ГОСТ6467-79</x:v>
      </x:c>
      <x:c r="D266" s="16" t="str">
        <x:v>Проч резино-тех изд</x:v>
      </x:c>
      <x:c r="E266" s="16" t="str">
        <x:v>КГ</x:v>
      </x:c>
      <x:c r="F266" s="30" t="n">
        <x:v>0.2</x:v>
      </x:c>
      <x:c r="G266" s="17" t="n">
        <x:v>271.9868</x:v>
      </x:c>
      <x:c r="H266" s="17" t="n">
        <x:f>G266*F266</x:f>
        <x:v>54.397360000000006</x:v>
      </x:c>
      <x:c r="I266" s="26" t="str">
        <x:f>HYPERLINK("https://etp-aktiv.ru/catalog/materialy/rezino-tekhnicheskie-izdeliya/2000146458-W113/","Открыть позицию")</x:f>
        <x:v>Открыть позицию</x:v>
      </x:c>
    </x:row>
    <x:row r="267" ht="28" customHeight="1">
      <x:c r="A267" s="16" t="str">
        <x:v>Бийскэнерго</x:v>
      </x:c>
      <x:c r="B267" s="16" t="str">
        <x:v>2000003866-W113</x:v>
      </x:c>
      <x:c r="C267" s="16" t="str">
        <x:v>ШНУР МБС-С D6ММ ГОСТ6467-79</x:v>
      </x:c>
      <x:c r="D267" s="16" t="str">
        <x:v>Проч резино-тех изд</x:v>
      </x:c>
      <x:c r="E267" s="16" t="str">
        <x:v>КГ</x:v>
      </x:c>
      <x:c r="F267" s="30" t="n">
        <x:v>0.1</x:v>
      </x:c>
      <x:c r="G267" s="17" t="n">
        <x:v>251.808</x:v>
      </x:c>
      <x:c r="H267" s="17" t="n">
        <x:f>G267*F267</x:f>
        <x:v>25.1808</x:v>
      </x:c>
      <x:c r="I267" s="26" t="str">
        <x:f>HYPERLINK("https://etp-aktiv.ru/catalog/materialy/rezino-tekhnicheskie-izdeliya/2000003866-W113/","Открыть позицию")</x:f>
        <x:v>Открыть позицию</x:v>
      </x:c>
    </x:row>
    <x:row r="268" ht="28" customHeight="1">
      <x:c r="A268" s="16" t="str">
        <x:v>БийскэнергоТеплоТранзит</x:v>
      </x:c>
      <x:c r="B268" s="16" t="str">
        <x:v>2000548759-W123</x:v>
      </x:c>
      <x:c r="C268" s="16" t="str">
        <x:v>БАНДАЖ ИЗОЛИРОВОЧНЫЙ БИЗ 38/40</x:v>
      </x:c>
      <x:c r="D268" s="16" t="str">
        <x:v>Теплоизоляция</x:v>
      </x:c>
      <x:c r="E268" s="16" t="str">
        <x:v>ШТ</x:v>
      </x:c>
      <x:c r="F268" s="25" t="n">
        <x:v>72</x:v>
      </x:c>
      <x:c r="G268" s="17" t="n">
        <x:v>5.9048</x:v>
      </x:c>
      <x:c r="H268" s="17" t="n">
        <x:f>G268*F268</x:f>
        <x:v>425.1456</x:v>
      </x:c>
      <x:c r="I268" s="26" t="str">
        <x:f>HYPERLINK("https://etp-aktiv.ru/catalog/materialy/teploizolyaciya/2000548759-W123/","Открыть позицию")</x:f>
        <x:v>Открыть позицию</x:v>
      </x:c>
    </x:row>
    <x:row r="269" ht="28" customHeight="1">
      <x:c r="A269" s="16" t="str">
        <x:v>БийскэнергоТеплоТранзит</x:v>
      </x:c>
      <x:c r="B269" s="16" t="str">
        <x:v>2000548754-W123</x:v>
      </x:c>
      <x:c r="C269" s="16" t="str">
        <x:v>БАНДАЖ ТИП I-А 20ММ</x:v>
      </x:c>
      <x:c r="D269" s="16" t="str">
        <x:v>Теплоизоляция</x:v>
      </x:c>
      <x:c r="E269" s="16" t="str">
        <x:v>ШТ</x:v>
      </x:c>
      <x:c r="F269" s="25" t="n">
        <x:v>234</x:v>
      </x:c>
      <x:c r="G269" s="17" t="n">
        <x:v>1.9886</x:v>
      </x:c>
      <x:c r="H269" s="17" t="n">
        <x:f>G269*F269</x:f>
        <x:v>465.3324</x:v>
      </x:c>
      <x:c r="I269" s="26" t="str">
        <x:f>HYPERLINK("https://etp-aktiv.ru/catalog/materialy/teploizolyaciya/2000548754-W123/","Открыть позицию")</x:f>
        <x:v>Открыть позицию</x:v>
      </x:c>
    </x:row>
    <x:row r="270" ht="28" customHeight="1">
      <x:c r="A270" s="16" t="str">
        <x:v>БийскэнергоТеплоТранзит</x:v>
      </x:c>
      <x:c r="B270" s="16" t="str">
        <x:v>2000586526-W123</x:v>
      </x:c>
      <x:c r="C270" s="16" t="str">
        <x:v>ЛЕНТА МЕТАЛЛОФТОРОПЛАСТОВ 1000*130*1ММ</x:v>
      </x:c>
      <x:c r="D270" s="16" t="str">
        <x:v>Э/изоляцион мат-лы</x:v>
      </x:c>
      <x:c r="E270" s="16" t="str">
        <x:v>ШТ</x:v>
      </x:c>
      <x:c r="F270" s="25" t="n">
        <x:v>15</x:v>
      </x:c>
      <x:c r="G270" s="17" t="n">
        <x:v>64.2452</x:v>
      </x:c>
      <x:c r="H270" s="17" t="n">
        <x:f>G270*F270</x:f>
        <x:v>963.678</x:v>
      </x:c>
      <x:c r="I270" s="26" t="str">
        <x:f>HYPERLINK("https://etp-aktiv.ru/catalog/materialy/ehlektroizolyacionnye-materialy/2000586526-W123/","Открыть позицию")</x:f>
        <x:v>Открыть позицию</x:v>
      </x:c>
    </x:row>
    <x:row r="271" ht="28" customHeight="1">
      <x:c r="A271" s="16" t="str">
        <x:v>БийскэнергоТеплоТранзит</x:v>
      </x:c>
      <x:c r="B271" s="16" t="str">
        <x:v>2000296868-W123</x:v>
      </x:c>
      <x:c r="C271" s="16" t="str">
        <x:v>ПЕНОПЛАСТ ПСБ-С-25 1000*2000*50</x:v>
      </x:c>
      <x:c r="D271" s="16" t="str">
        <x:v>Теплоизоляция</x:v>
      </x:c>
      <x:c r="E271" s="16" t="str">
        <x:v>ШТ</x:v>
      </x:c>
      <x:c r="F271" s="25" t="n">
        <x:v>2</x:v>
      </x:c>
      <x:c r="G271" s="17" t="n">
        <x:v>65.9166</x:v>
      </x:c>
      <x:c r="H271" s="17" t="n">
        <x:f>G271*F271</x:f>
        <x:v>131.8332</x:v>
      </x:c>
      <x:c r="I271" s="26" t="str">
        <x:f>HYPERLINK("https://etp-aktiv.ru/catalog/materialy/teploizolyaciya/2000296868-W123/","Открыть позицию")</x:f>
        <x:v>Открыть позицию</x:v>
      </x:c>
    </x:row>
    <x:row r="272" ht="28" customHeight="1">
      <x:c r="A272" s="16" t="str">
        <x:v>Рубцовский ТЭК</x:v>
      </x:c>
      <x:c r="B272" s="16" t="str">
        <x:v>2000548859-W122</x:v>
      </x:c>
      <x:c r="C272" s="16" t="str">
        <x:v>АТ КОМПЕНС ВСП ПОЛИЭТИЛЕН 2000*1000*80</x:v>
      </x:c>
      <x:c r="D272" s="16" t="str">
        <x:v>Теплоизоляция</x:v>
      </x:c>
      <x:c r="E272" s="16" t="str">
        <x:v>М2</x:v>
      </x:c>
      <x:c r="F272" s="25" t="n">
        <x:v>170</x:v>
      </x:c>
      <x:c r="G272" s="17" t="n">
        <x:v>138.6042</x:v>
      </x:c>
      <x:c r="H272" s="17" t="n">
        <x:f>G272*F272</x:f>
        <x:v>23562.714</x:v>
      </x:c>
      <x:c r="I272" s="26" t="str">
        <x:f>HYPERLINK("https://etp-aktiv.ru/catalog/materialy/teploizolyaciya/2000548859-W122/","Открыть позицию")</x:f>
        <x:v>Открыть позицию</x:v>
      </x:c>
    </x:row>
    <x:row r="273" ht="28" customHeight="1">
      <x:c r="A273" s="16" t="str">
        <x:v>Рубцовский ТЭК</x:v>
      </x:c>
      <x:c r="B273" s="16" t="str">
        <x:v>2000558501-W122</x:v>
      </x:c>
      <x:c r="C273" s="16" t="str">
        <x:v>ВОЙЛОК ТЕХНИЧЕСКИЙ ГПРА 20ММ</x:v>
      </x:c>
      <x:c r="D273" s="16" t="str">
        <x:v>Теплоизоляция</x:v>
      </x:c>
      <x:c r="E273" s="16" t="str">
        <x:v>КГ</x:v>
      </x:c>
      <x:c r="F273" s="25" t="n">
        <x:v>16</x:v>
      </x:c>
      <x:c r="G273" s="17" t="n">
        <x:v>276.2812</x:v>
      </x:c>
      <x:c r="H273" s="17" t="n">
        <x:f>G273*F273</x:f>
        <x:v>4420.4992</x:v>
      </x:c>
      <x:c r="I273" s="26" t="str">
        <x:f>HYPERLINK("https://etp-aktiv.ru/catalog/materialy/teploizolyaciya/2000558501-W122/","Открыть позицию")</x:f>
        <x:v>Открыть позицию</x:v>
      </x:c>
    </x:row>
    <x:row r="274" ht="28" customHeight="1">
      <x:c r="A274" s="16" t="str">
        <x:v>Рубцовский ТЭК</x:v>
      </x:c>
      <x:c r="B274" s="16" t="str">
        <x:v>2000558502-W122</x:v>
      </x:c>
      <x:c r="C274" s="16" t="str">
        <x:v>ВОЙЛОК ТЕХНИЧЕСКИЙ ГРУБОШЕРСТ ГС 10</x:v>
      </x:c>
      <x:c r="D274" s="16" t="str">
        <x:v>Теплоизоляция</x:v>
      </x:c>
      <x:c r="E274" s="16" t="str">
        <x:v>КГ</x:v>
      </x:c>
      <x:c r="F274" s="24" t="n">
        <x:v>31.2</x:v>
      </x:c>
      <x:c r="G274" s="17" t="n">
        <x:v>497.52819999999997</x:v>
      </x:c>
      <x:c r="H274" s="17" t="n">
        <x:f>G274*F274</x:f>
        <x:v>15522.87984</x:v>
      </x:c>
      <x:c r="I274" s="26" t="str">
        <x:f>HYPERLINK("https://etp-aktiv.ru/catalog/materialy/teploizolyaciya/2000558502-W122/","Открыть позицию")</x:f>
        <x:v>Открыть позицию</x:v>
      </x:c>
    </x:row>
    <x:row r="275" ht="28" customHeight="1">
      <x:c r="A275" s="16" t="str">
        <x:v>Рубцовский ТЭК</x:v>
      </x:c>
      <x:c r="B275" s="16" t="str">
        <x:v>2000165421-W122</x:v>
      </x:c>
      <x:c r="C275" s="16" t="str">
        <x:v>ИЗОФЛЕКС 191 0,13ММ</x:v>
      </x:c>
      <x:c r="D275" s="16" t="str">
        <x:v>Э/изоляцион мат-лы</x:v>
      </x:c>
      <x:c r="E275" s="16" t="str">
        <x:v>КГ</x:v>
      </x:c>
      <x:c r="F275" s="24" t="n">
        <x:v>3.02</x:v>
      </x:c>
      <x:c r="G275" s="17" t="n">
        <x:v>1194.9534</x:v>
      </x:c>
      <x:c r="H275" s="17" t="n">
        <x:f>G275*F275</x:f>
        <x:v>3608.7592680000002</x:v>
      </x:c>
      <x:c r="I275" s="26" t="str">
        <x:f>HYPERLINK("https://etp-aktiv.ru/catalog/materialy/ehlektroizolyacionnye-materialy/2000165421-W122/","Открыть позицию")</x:f>
        <x:v>Открыть позицию</x:v>
      </x:c>
    </x:row>
    <x:row r="276" ht="28" customHeight="1">
      <x:c r="A276" s="16" t="str">
        <x:v>Рубцовский ТЭК</x:v>
      </x:c>
      <x:c r="B276" s="16" t="str">
        <x:v>2000548522-W122</x:v>
      </x:c>
      <x:c r="C276" s="16" t="str">
        <x:v>КЛИН ПАЗОВЫЙ СОСНА КЕДРОВАЯ 3*4*185</x:v>
      </x:c>
      <x:c r="D276" s="16" t="str">
        <x:v>Э/изоляцион мат-лы</x:v>
      </x:c>
      <x:c r="E276" s="16" t="str">
        <x:v>ШТ</x:v>
      </x:c>
      <x:c r="F276" s="25" t="n">
        <x:v>1060</x:v>
      </x:c>
      <x:c r="G276" s="17" t="n">
        <x:v>18.7148</x:v>
      </x:c>
      <x:c r="H276" s="17" t="n">
        <x:f>G276*F276</x:f>
        <x:v>19837.688000000002</x:v>
      </x:c>
      <x:c r="I276" s="26" t="str">
        <x:f>HYPERLINK("https://etp-aktiv.ru/catalog/materialy/ehlektroizolyacionnye-materialy/2000548522-W122/","Открыть позицию")</x:f>
        <x:v>Открыть позицию</x:v>
      </x:c>
    </x:row>
    <x:row r="277" ht="28" customHeight="1">
      <x:c r="A277" s="16" t="str">
        <x:v>Рубцовский ТЭК</x:v>
      </x:c>
      <x:c r="B277" s="16" t="str">
        <x:v>2000548538-W122</x:v>
      </x:c>
      <x:c r="C277" s="16" t="str">
        <x:v>ЛЕНТА ЛЭ-10-2-Х/Б 10ММ ГОСТ4514-78</x:v>
      </x:c>
      <x:c r="D277" s="16" t="str">
        <x:v>Э/изоляцион мат-лы</x:v>
      </x:c>
      <x:c r="E277" s="16" t="str">
        <x:v>М</x:v>
      </x:c>
      <x:c r="F277" s="25" t="n">
        <x:v>100</x:v>
      </x:c>
      <x:c r="G277" s="17" t="n">
        <x:v>1.4518</x:v>
      </x:c>
      <x:c r="H277" s="17" t="n">
        <x:f>G277*F277</x:f>
        <x:v>145.18</x:v>
      </x:c>
      <x:c r="I277" s="26" t="str">
        <x:f>HYPERLINK("https://etp-aktiv.ru/catalog/materialy/ehlektroizolyacionnye-materialy/2000548538-W122/","Открыть позицию")</x:f>
        <x:v>Открыть позицию</x:v>
      </x:c>
    </x:row>
    <x:row r="278" ht="28" customHeight="1">
      <x:c r="A278" s="16" t="str">
        <x:v>Рубцовский ТЭК</x:v>
      </x:c>
      <x:c r="B278" s="16" t="str">
        <x:v>2000548948-W122</x:v>
      </x:c>
      <x:c r="C278" s="16" t="str">
        <x:v>МАТ МП-50 2000*1000*80</x:v>
      </x:c>
      <x:c r="D278" s="16" t="str">
        <x:v>Теплоизоляция</x:v>
      </x:c>
      <x:c r="E278" s="16" t="str">
        <x:v>М3</x:v>
      </x:c>
      <x:c r="F278" s="24" t="n">
        <x:v>6.52</x:v>
      </x:c>
      <x:c r="G278" s="17" t="n">
        <x:v>1918.0718</x:v>
      </x:c>
      <x:c r="H278" s="17" t="n">
        <x:f>G278*F278</x:f>
        <x:v>12505.828135999998</x:v>
      </x:c>
      <x:c r="I278" s="26" t="str">
        <x:f>HYPERLINK("https://etp-aktiv.ru/catalog/materialy/teploizolyaciya/2000548948-W122/","Открыть позицию")</x:f>
        <x:v>Открыть позицию</x:v>
      </x:c>
    </x:row>
    <x:row r="279" ht="28" customHeight="1">
      <x:c r="A279" s="16" t="str">
        <x:v>Рубцовский ТЭК</x:v>
      </x:c>
      <x:c r="B279" s="16" t="str">
        <x:v>2000548899-W122</x:v>
      </x:c>
      <x:c r="C279" s="16" t="str">
        <x:v>МАТ МТБ3 55 2000*1000*80</x:v>
      </x:c>
      <x:c r="D279" s="16" t="str">
        <x:v>Теплоизоляция</x:v>
      </x:c>
      <x:c r="E279" s="16" t="str">
        <x:v>М3</x:v>
      </x:c>
      <x:c r="F279" s="24" t="n">
        <x:v>3.738</x:v>
      </x:c>
      <x:c r="G279" s="17" t="n">
        <x:v>1971.825</x:v>
      </x:c>
      <x:c r="H279" s="17" t="n">
        <x:f>G279*F279</x:f>
        <x:v>7370.68185</x:v>
      </x:c>
      <x:c r="I279" s="26" t="str">
        <x:f>HYPERLINK("https://etp-aktiv.ru/catalog/materialy/teploizolyaciya/2000548899-W122/","Открыть позицию")</x:f>
        <x:v>Открыть позицию</x:v>
      </x:c>
    </x:row>
    <x:row r="280" ht="28" customHeight="1">
      <x:c r="A280" s="16" t="str">
        <x:v>Рубцовский ТЭК</x:v>
      </x:c>
      <x:c r="B280" s="16" t="str">
        <x:v>2000539162-W122</x:v>
      </x:c>
      <x:c r="C280" s="16" t="str">
        <x:v>НАБИВКА АГИ 24*24</x:v>
      </x:c>
      <x:c r="D280" s="16" t="str">
        <x:v>Асбо-технические изд</x:v>
      </x:c>
      <x:c r="E280" s="16" t="str">
        <x:v>КГ</x:v>
      </x:c>
      <x:c r="F280" s="24" t="n">
        <x:v>101.5</x:v>
      </x:c>
      <x:c r="G280" s="17" t="n">
        <x:v>929.3471999999999</x:v>
      </x:c>
      <x:c r="H280" s="17" t="n">
        <x:f>G280*F280</x:f>
        <x:v>94328.7408</x:v>
      </x:c>
      <x:c r="I280" s="26" t="str">
        <x:f>HYPERLINK("https://etp-aktiv.ru/catalog/materialy/asbo-tekhnicheskie-izdeliya/2000539162-W122/","Открыть позицию")</x:f>
        <x:v>Открыть позицию</x:v>
      </x:c>
    </x:row>
    <x:row r="281" ht="28" customHeight="1">
      <x:c r="A281" s="16" t="str">
        <x:v>Рубцовский ТЭК</x:v>
      </x:c>
      <x:c r="B281" s="16" t="str">
        <x:v>2000157676-W122</x:v>
      </x:c>
      <x:c r="C281" s="16" t="str">
        <x:v>НАБИВКА АП-31 16*16ММ</x:v>
      </x:c>
      <x:c r="D281" s="16" t="str">
        <x:v>Асбо-технические изд</x:v>
      </x:c>
      <x:c r="E281" s="16" t="str">
        <x:v>КГ</x:v>
      </x:c>
      <x:c r="F281" s="24" t="n">
        <x:v>12.65</x:v>
      </x:c>
      <x:c r="G281" s="17" t="n">
        <x:v>246.0984</x:v>
      </x:c>
      <x:c r="H281" s="17" t="n">
        <x:f>G281*F281</x:f>
        <x:v>3113.14476</x:v>
      </x:c>
      <x:c r="I281" s="26" t="str">
        <x:f>HYPERLINK("https://etp-aktiv.ru/catalog/materialy/asbo-tekhnicheskie-izdeliya/2000157676-W122/","Открыть позицию")</x:f>
        <x:v>Открыть позицию</x:v>
      </x:c>
    </x:row>
    <x:row r="282" ht="28" customHeight="1">
      <x:c r="A282" s="16" t="str">
        <x:v>Рубцовский ТЭК</x:v>
      </x:c>
      <x:c r="B282" s="16" t="str">
        <x:v>2000163577-W122</x:v>
      </x:c>
      <x:c r="C282" s="16" t="str">
        <x:v>НАБИВКА АП-31 38*38</x:v>
      </x:c>
      <x:c r="D282" s="16" t="str">
        <x:v>Асбо-технические изд</x:v>
      </x:c>
      <x:c r="E282" s="16" t="str">
        <x:v>КГ</x:v>
      </x:c>
      <x:c r="F282" s="24" t="n">
        <x:v>1.65</x:v>
      </x:c>
      <x:c r="G282" s="17" t="n">
        <x:v>225.3584</x:v>
      </x:c>
      <x:c r="H282" s="17" t="n">
        <x:f>G282*F282</x:f>
        <x:v>371.84135999999995</x:v>
      </x:c>
      <x:c r="I282" s="26" t="str">
        <x:f>HYPERLINK("https://etp-aktiv.ru/catalog/materialy/asbo-tekhnicheskie-izdeliya/2000163577-W122/","Открыть позицию")</x:f>
        <x:v>Открыть позицию</x:v>
      </x:c>
    </x:row>
    <x:row r="283" ht="28" customHeight="1">
      <x:c r="A283" s="16" t="str">
        <x:v>Рубцовский ТЭК</x:v>
      </x:c>
      <x:c r="B283" s="16" t="str">
        <x:v>2000031502-W122</x:v>
      </x:c>
      <x:c r="C283" s="16" t="str">
        <x:v>НАБИВКА АП-31 8ММ</x:v>
      </x:c>
      <x:c r="D283" s="16" t="str">
        <x:v>Асбо-технические изд</x:v>
      </x:c>
      <x:c r="E283" s="16" t="str">
        <x:v>КГ</x:v>
      </x:c>
      <x:c r="F283" s="24" t="n">
        <x:v>7.5</x:v>
      </x:c>
      <x:c r="G283" s="17" t="n">
        <x:v>419.07</x:v>
      </x:c>
      <x:c r="H283" s="17" t="n">
        <x:f>G283*F283</x:f>
        <x:v>3143.025</x:v>
      </x:c>
      <x:c r="I283" s="26" t="str">
        <x:f>HYPERLINK("https://etp-aktiv.ru/catalog/materialy/asbo-tekhnicheskie-izdeliya/2000031502-W122/","Открыть позицию")</x:f>
        <x:v>Открыть позицию</x:v>
      </x:c>
    </x:row>
    <x:row r="284" ht="28" customHeight="1">
      <x:c r="A284" s="16" t="str">
        <x:v>Рубцовский ТЭК</x:v>
      </x:c>
      <x:c r="B284" s="16" t="str">
        <x:v>2000165147-W122</x:v>
      </x:c>
      <x:c r="C284" s="16" t="str">
        <x:v>НАБИВКА АПР-31 10*10ММ</x:v>
      </x:c>
      <x:c r="D284" s="16" t="str">
        <x:v>Асбо-технические изд</x:v>
      </x:c>
      <x:c r="E284" s="16" t="str">
        <x:v>КГ</x:v>
      </x:c>
      <x:c r="F284" s="24" t="n">
        <x:v>1.05</x:v>
      </x:c>
      <x:c r="G284" s="17" t="n">
        <x:v>379.98119999999994</x:v>
      </x:c>
      <x:c r="H284" s="17" t="n">
        <x:f>G284*F284</x:f>
        <x:v>398.98025999999993</x:v>
      </x:c>
      <x:c r="I284" s="26" t="str">
        <x:f>HYPERLINK("https://etp-aktiv.ru/catalog/materialy/asbo-tekhnicheskie-izdeliya/2000165147-W122/","Открыть позицию")</x:f>
        <x:v>Открыть позицию</x:v>
      </x:c>
    </x:row>
    <x:row r="285" ht="28" customHeight="1">
      <x:c r="A285" s="16" t="str">
        <x:v>Рубцовский ТЭК</x:v>
      </x:c>
      <x:c r="B285" s="16" t="str">
        <x:v>2000220091-W122</x:v>
      </x:c>
      <x:c r="C285" s="16" t="str">
        <x:v>НАБИВКА АПР-31 18*18ММ СКВ/ПЛ</x:v>
      </x:c>
      <x:c r="D285" s="16" t="str">
        <x:v>Асбо-технические изд</x:v>
      </x:c>
      <x:c r="E285" s="16" t="str">
        <x:v>КГ</x:v>
      </x:c>
      <x:c r="F285" s="25" t="n">
        <x:v>5</x:v>
      </x:c>
      <x:c r="G285" s="17" t="n">
        <x:v>306.6836</x:v>
      </x:c>
      <x:c r="H285" s="17" t="n">
        <x:f>G285*F285</x:f>
        <x:v>1533.4180000000001</x:v>
      </x:c>
      <x:c r="I285" s="26" t="str">
        <x:f>HYPERLINK("https://etp-aktiv.ru/catalog/materialy/asbo-tekhnicheskie-izdeliya/2000220091-W122/","Открыть позицию")</x:f>
        <x:v>Открыть позицию</x:v>
      </x:c>
    </x:row>
    <x:row r="286" ht="28" customHeight="1">
      <x:c r="A286" s="16" t="str">
        <x:v>Рубцовский ТЭК</x:v>
      </x:c>
      <x:c r="B286" s="16" t="str">
        <x:v>2000165130-W122</x:v>
      </x:c>
      <x:c r="C286" s="16" t="str">
        <x:v>НАБИВКА АПР-31 20*20ММ</x:v>
      </x:c>
      <x:c r="D286" s="16" t="str">
        <x:v>Асбо-технические изд</x:v>
      </x:c>
      <x:c r="E286" s="16" t="str">
        <x:v>КГ</x:v>
      </x:c>
      <x:c r="F286" s="25" t="n">
        <x:v>3</x:v>
      </x:c>
      <x:c r="G286" s="17" t="n">
        <x:v>626.775</x:v>
      </x:c>
      <x:c r="H286" s="17" t="n">
        <x:f>G286*F286</x:f>
        <x:v>1880.3249999999998</x:v>
      </x:c>
      <x:c r="I286" s="26" t="str">
        <x:f>HYPERLINK("https://etp-aktiv.ru/catalog/materialy/asbo-tekhnicheskie-izdeliya/2000165130-W122/","Открыть позицию")</x:f>
        <x:v>Открыть позицию</x:v>
      </x:c>
    </x:row>
    <x:row r="287" ht="28" customHeight="1">
      <x:c r="A287" s="16" t="str">
        <x:v>Рубцовский ТЭК</x:v>
      </x:c>
      <x:c r="B287" s="16" t="str">
        <x:v>2000185474-W122</x:v>
      </x:c>
      <x:c r="C287" s="16" t="str">
        <x:v>НАБИВКА АПР-31 22*22</x:v>
      </x:c>
      <x:c r="D287" s="16" t="str">
        <x:v>Асбо-технические изд</x:v>
      </x:c>
      <x:c r="E287" s="16" t="str">
        <x:v>КГ</x:v>
      </x:c>
      <x:c r="F287" s="30" t="n">
        <x:v>0.8</x:v>
      </x:c>
      <x:c r="G287" s="17" t="n">
        <x:v>603.961</x:v>
      </x:c>
      <x:c r="H287" s="17" t="n">
        <x:f>G287*F287</x:f>
        <x:v>483.16880000000003</x:v>
      </x:c>
      <x:c r="I287" s="26" t="str">
        <x:f>HYPERLINK("https://etp-aktiv.ru/catalog/materialy/asbo-tekhnicheskie-izdeliya/2000185474-W122/","Открыть позицию")</x:f>
        <x:v>Открыть позицию</x:v>
      </x:c>
    </x:row>
    <x:row r="288" ht="28" customHeight="1">
      <x:c r="A288" s="16" t="str">
        <x:v>Рубцовский ТЭК</x:v>
      </x:c>
      <x:c r="B288" s="16" t="str">
        <x:v>2000165095-W122</x:v>
      </x:c>
      <x:c r="C288" s="16" t="str">
        <x:v>НАБИВКА АПР-31 6*6ММ</x:v>
      </x:c>
      <x:c r="D288" s="16" t="str">
        <x:v>Асбо-технические изд</x:v>
      </x:c>
      <x:c r="E288" s="16" t="str">
        <x:v>КГ</x:v>
      </x:c>
      <x:c r="F288" s="24" t="n">
        <x:v>2.2</x:v>
      </x:c>
      <x:c r="G288" s="17" t="n">
        <x:v>390.6928</x:v>
      </x:c>
      <x:c r="H288" s="17" t="n">
        <x:f>G288*F288</x:f>
        <x:v>859.52416</x:v>
      </x:c>
      <x:c r="I288" s="26" t="str">
        <x:f>HYPERLINK("https://etp-aktiv.ru/catalog/materialy/asbo-tekhnicheskie-izdeliya/2000165095-W122/","Открыть позицию")</x:f>
        <x:v>Открыть позицию</x:v>
      </x:c>
    </x:row>
    <x:row r="289" ht="28" customHeight="1">
      <x:c r="A289" s="16" t="str">
        <x:v>Рубцовский ТЭК</x:v>
      </x:c>
      <x:c r="B289" s="16" t="str">
        <x:v>2000165148-W122</x:v>
      </x:c>
      <x:c r="C289" s="16" t="str">
        <x:v>НАБИВКА АПР-31 8*8ММ</x:v>
      </x:c>
      <x:c r="D289" s="16" t="str">
        <x:v>Асбо-технические изд</x:v>
      </x:c>
      <x:c r="E289" s="16" t="str">
        <x:v>КГ</x:v>
      </x:c>
      <x:c r="F289" s="30" t="n">
        <x:v>0.5</x:v>
      </x:c>
      <x:c r="G289" s="17" t="n">
        <x:v>395.7924</x:v>
      </x:c>
      <x:c r="H289" s="17" t="n">
        <x:f>G289*F289</x:f>
        <x:v>197.8962</x:v>
      </x:c>
      <x:c r="I289" s="26" t="str">
        <x:f>HYPERLINK("https://etp-aktiv.ru/catalog/materialy/asbo-tekhnicheskie-izdeliya/2000165148-W122/","Открыть позицию")</x:f>
        <x:v>Открыть позицию</x:v>
      </x:c>
    </x:row>
    <x:row r="290" ht="28" customHeight="1">
      <x:c r="A290" s="16" t="str">
        <x:v>Рубцовский ТЭК</x:v>
      </x:c>
      <x:c r="B290" s="16" t="str">
        <x:v>2000253234-W122</x:v>
      </x:c>
      <x:c r="C290" s="16" t="str">
        <x:v>НАБИВКА АПРПП 12ММ</x:v>
      </x:c>
      <x:c r="D290" s="16" t="str">
        <x:v>Асбо-технические изд</x:v>
      </x:c>
      <x:c r="E290" s="16" t="str">
        <x:v>КГ</x:v>
      </x:c>
      <x:c r="F290" s="24" t="n">
        <x:v>4.7</x:v>
      </x:c>
      <x:c r="G290" s="17" t="n">
        <x:v>994.178</x:v>
      </x:c>
      <x:c r="H290" s="17" t="n">
        <x:f>G290*F290</x:f>
        <x:v>4672.6366</x:v>
      </x:c>
      <x:c r="I290" s="26" t="str">
        <x:f>HYPERLINK("https://etp-aktiv.ru/catalog/materialy/asbo-tekhnicheskie-izdeliya/2000253234-W122/","Открыть позицию")</x:f>
        <x:v>Открыть позицию</x:v>
      </x:c>
    </x:row>
    <x:row r="291" ht="28" customHeight="1">
      <x:c r="A291" s="16" t="str">
        <x:v>Рубцовский ТЭК</x:v>
      </x:c>
      <x:c r="B291" s="16" t="str">
        <x:v>2000165250-W122</x:v>
      </x:c>
      <x:c r="C291" s="16" t="str">
        <x:v>НАБИВКА АС 16*16ММ</x:v>
      </x:c>
      <x:c r="D291" s="16" t="str">
        <x:v>Асбо-технические изд</x:v>
      </x:c>
      <x:c r="E291" s="16" t="str">
        <x:v>КГ</x:v>
      </x:c>
      <x:c r="F291" s="24" t="n">
        <x:v>1.8</x:v>
      </x:c>
      <x:c r="G291" s="17" t="n">
        <x:v>278.099</x:v>
      </x:c>
      <x:c r="H291" s="17" t="n">
        <x:f>G291*F291</x:f>
        <x:v>500.5782</x:v>
      </x:c>
      <x:c r="I291" s="26" t="str">
        <x:f>HYPERLINK("https://etp-aktiv.ru/catalog/materialy/asbo-tekhnicheskie-izdeliya/2000165250-W122/","Открыть позицию")</x:f>
        <x:v>Открыть позицию</x:v>
      </x:c>
    </x:row>
    <x:row r="292" ht="28" customHeight="1">
      <x:c r="A292" s="16" t="str">
        <x:v>Рубцовский ТЭК</x:v>
      </x:c>
      <x:c r="B292" s="16" t="str">
        <x:v>2000711674-W122</x:v>
      </x:c>
      <x:c r="C292" s="16" t="str">
        <x:v>НАБИВКА АСП-31 38*38</x:v>
      </x:c>
      <x:c r="D292" s="16" t="str">
        <x:v>Асбо-технические изд</x:v>
      </x:c>
      <x:c r="E292" s="16" t="str">
        <x:v>КГ</x:v>
      </x:c>
      <x:c r="F292" s="25" t="n">
        <x:v>100</x:v>
      </x:c>
      <x:c r="G292" s="17" t="n">
        <x:v>663.375</x:v>
      </x:c>
      <x:c r="H292" s="17" t="n">
        <x:f>G292*F292</x:f>
        <x:v>66337.5</x:v>
      </x:c>
      <x:c r="I292" s="26" t="str">
        <x:f>HYPERLINK("https://etp-aktiv.ru/catalog/materialy/asbo-tekhnicheskie-izdeliya/2000711674-W122/","Открыть позицию")</x:f>
        <x:v>Открыть позицию</x:v>
      </x:c>
    </x:row>
    <x:row r="293" ht="28" customHeight="1">
      <x:c r="A293" s="16" t="str">
        <x:v>Рубцовский ТЭК</x:v>
      </x:c>
      <x:c r="B293" s="16" t="str">
        <x:v>2000141024-W122</x:v>
      </x:c>
      <x:c r="C293" s="16" t="str">
        <x:v>НАБИВКА АФТ 10ММ</x:v>
      </x:c>
      <x:c r="D293" s="16" t="str">
        <x:v>Асбо-технические изд</x:v>
      </x:c>
      <x:c r="E293" s="16" t="str">
        <x:v>КГ</x:v>
      </x:c>
      <x:c r="F293" s="24" t="n">
        <x:v>11.8</x:v>
      </x:c>
      <x:c r="G293" s="17" t="n">
        <x:v>503.6282</x:v>
      </x:c>
      <x:c r="H293" s="17" t="n">
        <x:f>G293*F293</x:f>
        <x:v>5942.812760000001</x:v>
      </x:c>
      <x:c r="I293" s="26" t="str">
        <x:f>HYPERLINK("https://etp-aktiv.ru/catalog/materialy/asbo-tekhnicheskie-izdeliya/2000141024-W122/","Открыть позицию")</x:f>
        <x:v>Открыть позицию</x:v>
      </x:c>
    </x:row>
    <x:row r="294" ht="28" customHeight="1">
      <x:c r="A294" s="16" t="str">
        <x:v>Рубцовский ТЭК</x:v>
      </x:c>
      <x:c r="B294" s="16" t="str">
        <x:v>2000146198-W122</x:v>
      </x:c>
      <x:c r="C294" s="16" t="str">
        <x:v>НАБИВКА АФТ 12ММ</x:v>
      </x:c>
      <x:c r="D294" s="16" t="str">
        <x:v>Асбо-технические изд</x:v>
      </x:c>
      <x:c r="E294" s="16" t="str">
        <x:v>КГ</x:v>
      </x:c>
      <x:c r="F294" s="24" t="n">
        <x:v>35.97</x:v>
      </x:c>
      <x:c r="G294" s="17" t="n">
        <x:v>462.1604</x:v>
      </x:c>
      <x:c r="H294" s="17" t="n">
        <x:f>G294*F294</x:f>
        <x:v>16623.909588</x:v>
      </x:c>
      <x:c r="I294" s="26" t="str">
        <x:f>HYPERLINK("https://etp-aktiv.ru/catalog/materialy/asbo-tekhnicheskie-izdeliya/2000146198-W122/","Открыть позицию")</x:f>
        <x:v>Открыть позицию</x:v>
      </x:c>
    </x:row>
    <x:row r="295" ht="28" customHeight="1">
      <x:c r="A295" s="16" t="str">
        <x:v>Рубцовский ТЭК</x:v>
      </x:c>
      <x:c r="B295" s="16" t="str">
        <x:v>2000031476-W122</x:v>
      </x:c>
      <x:c r="C295" s="16" t="str">
        <x:v>НАБИВКА АФТ 16ММ</x:v>
      </x:c>
      <x:c r="D295" s="16" t="str">
        <x:v>Асбо-технические изд</x:v>
      </x:c>
      <x:c r="E295" s="16" t="str">
        <x:v>КГ</x:v>
      </x:c>
      <x:c r="F295" s="25" t="n">
        <x:v>4</x:v>
      </x:c>
      <x:c r="G295" s="17" t="n">
        <x:v>405.65</x:v>
      </x:c>
      <x:c r="H295" s="17" t="n">
        <x:f>G295*F295</x:f>
        <x:v>1622.6</x:v>
      </x:c>
      <x:c r="I295" s="26" t="str">
        <x:f>HYPERLINK("https://etp-aktiv.ru/catalog/materialy/asbo-tekhnicheskie-izdeliya/2000031476-W122/","Открыть позицию")</x:f>
        <x:v>Открыть позицию</x:v>
      </x:c>
    </x:row>
    <x:row r="296" ht="28" customHeight="1">
      <x:c r="A296" s="16" t="str">
        <x:v>Рубцовский ТЭК</x:v>
      </x:c>
      <x:c r="B296" s="16" t="str">
        <x:v>2000252826-W122</x:v>
      </x:c>
      <x:c r="C296" s="16" t="str">
        <x:v>НАБИВКА АФТ 20*20ММ</x:v>
      </x:c>
      <x:c r="D296" s="16" t="str">
        <x:v>Асбо-технические изд</x:v>
      </x:c>
      <x:c r="E296" s="16" t="str">
        <x:v>КГ</x:v>
      </x:c>
      <x:c r="F296" s="30" t="n">
        <x:v>0.3</x:v>
      </x:c>
      <x:c r="G296" s="17" t="n">
        <x:v>65.0016</x:v>
      </x:c>
      <x:c r="H296" s="17" t="n">
        <x:f>G296*F296</x:f>
        <x:v>19.50048</x:v>
      </x:c>
      <x:c r="I296" s="26" t="str">
        <x:f>HYPERLINK("https://etp-aktiv.ru/catalog/materialy/asbo-tekhnicheskie-izdeliya/2000252826-W122/","Открыть позицию")</x:f>
        <x:v>Открыть позицию</x:v>
      </x:c>
    </x:row>
    <x:row r="297" ht="28" customHeight="1">
      <x:c r="A297" s="16" t="str">
        <x:v>Рубцовский ТЭК</x:v>
      </x:c>
      <x:c r="B297" s="16" t="str">
        <x:v>2000165722-W122</x:v>
      </x:c>
      <x:c r="C297" s="16" t="str">
        <x:v>НАБИВКА АФТ 6*6ММ</x:v>
      </x:c>
      <x:c r="D297" s="16" t="str">
        <x:v>Асбо-технические изд</x:v>
      </x:c>
      <x:c r="E297" s="16" t="str">
        <x:v>КГ</x:v>
      </x:c>
      <x:c r="F297" s="24" t="n">
        <x:v>11.5</x:v>
      </x:c>
      <x:c r="G297" s="17" t="n">
        <x:v>972.645</x:v>
      </x:c>
      <x:c r="H297" s="17" t="n">
        <x:f>G297*F297</x:f>
        <x:v>11185.4175</x:v>
      </x:c>
      <x:c r="I297" s="26" t="str">
        <x:f>HYPERLINK("https://etp-aktiv.ru/catalog/materialy/asbo-tekhnicheskie-izdeliya/2000165722-W122/","Открыть позицию")</x:f>
        <x:v>Открыть позицию</x:v>
      </x:c>
    </x:row>
    <x:row r="298" ht="28" customHeight="1">
      <x:c r="A298" s="16" t="str">
        <x:v>Рубцовский ТЭК</x:v>
      </x:c>
      <x:c r="B298" s="16" t="str">
        <x:v>2000146471-W122</x:v>
      </x:c>
      <x:c r="C298" s="16" t="str">
        <x:v>НАБИВКА АФТ 6ММ</x:v>
      </x:c>
      <x:c r="D298" s="16" t="str">
        <x:v>Асбо-технические изд</x:v>
      </x:c>
      <x:c r="E298" s="16" t="str">
        <x:v>КГ</x:v>
      </x:c>
      <x:c r="F298" s="24" t="n">
        <x:v>124.9</x:v>
      </x:c>
      <x:c r="G298" s="17" t="n">
        <x:v>560.6388000000001</x:v>
      </x:c>
      <x:c r="H298" s="17" t="n">
        <x:f>G298*F298</x:f>
        <x:v>70023.78612</x:v>
      </x:c>
      <x:c r="I298" s="26" t="str">
        <x:f>HYPERLINK("https://etp-aktiv.ru/catalog/materialy/asbo-tekhnicheskie-izdeliya/2000146471-W122/","Открыть позицию")</x:f>
        <x:v>Открыть позицию</x:v>
      </x:c>
    </x:row>
    <x:row r="299" ht="28" customHeight="1">
      <x:c r="A299" s="16" t="str">
        <x:v>Рубцовский ТЭК</x:v>
      </x:c>
      <x:c r="B299" s="16" t="str">
        <x:v>2000031543-W122</x:v>
      </x:c>
      <x:c r="C299" s="16" t="str">
        <x:v>НАБИВКА ЛП 10ММ</x:v>
      </x:c>
      <x:c r="D299" s="16" t="str">
        <x:v>Асбо-технические изд</x:v>
      </x:c>
      <x:c r="E299" s="16" t="str">
        <x:v>КГ</x:v>
      </x:c>
      <x:c r="F299" s="24" t="n">
        <x:v>5.9</x:v>
      </x:c>
      <x:c r="G299" s="17" t="n">
        <x:v>591.09</x:v>
      </x:c>
      <x:c r="H299" s="17" t="n">
        <x:f>G299*F299</x:f>
        <x:v>3487.4310000000005</x:v>
      </x:c>
      <x:c r="I299" s="26" t="str">
        <x:f>HYPERLINK("https://etp-aktiv.ru/catalog/materialy/asbo-tekhnicheskie-izdeliya/2000031543-W122/","Открыть позицию")</x:f>
        <x:v>Открыть позицию</x:v>
      </x:c>
    </x:row>
    <x:row r="300" ht="28" customHeight="1">
      <x:c r="A300" s="16" t="str">
        <x:v>Рубцовский ТЭК</x:v>
      </x:c>
      <x:c r="B300" s="16" t="str">
        <x:v>2000031546-W122</x:v>
      </x:c>
      <x:c r="C300" s="16" t="str">
        <x:v>НАБИВКА ЛП 18ММ</x:v>
      </x:c>
      <x:c r="D300" s="16" t="str">
        <x:v>Асбо-технические изд</x:v>
      </x:c>
      <x:c r="E300" s="16" t="str">
        <x:v>КГ</x:v>
      </x:c>
      <x:c r="F300" s="24" t="n">
        <x:v>4.2</x:v>
      </x:c>
      <x:c r="G300" s="17" t="n">
        <x:v>569.13</x:v>
      </x:c>
      <x:c r="H300" s="17" t="n">
        <x:f>G300*F300</x:f>
        <x:v>2390.346</x:v>
      </x:c>
      <x:c r="I300" s="26" t="str">
        <x:f>HYPERLINK("https://etp-aktiv.ru/catalog/materialy/asbo-tekhnicheskie-izdeliya/2000031546-W122/","Открыть позицию")</x:f>
        <x:v>Открыть позицию</x:v>
      </x:c>
    </x:row>
    <x:row r="301" ht="28" customHeight="1">
      <x:c r="A301" s="16" t="str">
        <x:v>Рубцовский ТЭК</x:v>
      </x:c>
      <x:c r="B301" s="16" t="str">
        <x:v>2000157672-W122</x:v>
      </x:c>
      <x:c r="C301" s="16" t="str">
        <x:v>НАБИВКА ЛП-31 12*12ММ</x:v>
      </x:c>
      <x:c r="D301" s="16" t="str">
        <x:v>Асбо-технические изд</x:v>
      </x:c>
      <x:c r="E301" s="16" t="str">
        <x:v>КГ</x:v>
      </x:c>
      <x:c r="F301" s="24" t="n">
        <x:v>2.7</x:v>
      </x:c>
      <x:c r="G301" s="17" t="n">
        <x:v>591.09</x:v>
      </x:c>
      <x:c r="H301" s="17" t="n">
        <x:f>G301*F301</x:f>
        <x:v>1595.9430000000002</x:v>
      </x:c>
      <x:c r="I301" s="26" t="str">
        <x:f>HYPERLINK("https://etp-aktiv.ru/catalog/materialy/asbo-tekhnicheskie-izdeliya/2000157672-W122/","Открыть позицию")</x:f>
        <x:v>Открыть позицию</x:v>
      </x:c>
    </x:row>
    <x:row r="302" ht="28" customHeight="1">
      <x:c r="A302" s="16" t="str">
        <x:v>Рубцовский ТЭК</x:v>
      </x:c>
      <x:c r="B302" s="16" t="str">
        <x:v>2000539233-W122</x:v>
      </x:c>
      <x:c r="C302" s="16" t="str">
        <x:v>НАБИВКА ЛП-31 18*18</x:v>
      </x:c>
      <x:c r="D302" s="16" t="str">
        <x:v>Асбо-технические изд</x:v>
      </x:c>
      <x:c r="E302" s="16" t="str">
        <x:v>КГ</x:v>
      </x:c>
      <x:c r="F302" s="24" t="n">
        <x:v>15.6</x:v>
      </x:c>
      <x:c r="G302" s="17" t="n">
        <x:v>288.5666</x:v>
      </x:c>
      <x:c r="H302" s="17" t="n">
        <x:f>G302*F302</x:f>
        <x:v>4501.63896</x:v>
      </x:c>
      <x:c r="I302" s="26" t="str">
        <x:f>HYPERLINK("https://etp-aktiv.ru/catalog/materialy/asbo-tekhnicheskie-izdeliya/2000539233-W122/","Открыть позицию")</x:f>
        <x:v>Открыть позицию</x:v>
      </x:c>
    </x:row>
    <x:row r="303" ht="28" customHeight="1">
      <x:c r="A303" s="16" t="str">
        <x:v>Рубцовский ТЭК</x:v>
      </x:c>
      <x:c r="B303" s="16" t="str">
        <x:v>2000645076-W122</x:v>
      </x:c>
      <x:c r="C303" s="16" t="str">
        <x:v>НАБИВКА НГ-100 12*12 ТУ2573-002-93978201</x:v>
      </x:c>
      <x:c r="D303" s="16" t="str">
        <x:v>Асбо-технические изд</x:v>
      </x:c>
      <x:c r="E303" s="16" t="str">
        <x:v>КГ</x:v>
      </x:c>
      <x:c r="F303" s="24" t="n">
        <x:v>4.8</x:v>
      </x:c>
      <x:c r="G303" s="17" t="n">
        <x:v>905.85</x:v>
      </x:c>
      <x:c r="H303" s="17" t="n">
        <x:f>G303*F303</x:f>
        <x:v>4348.08</x:v>
      </x:c>
      <x:c r="I303" s="26" t="str">
        <x:f>HYPERLINK("https://etp-aktiv.ru/catalog/materialy/asbo-tekhnicheskie-izdeliya/2000645076-W122/","Открыть позицию")</x:f>
        <x:v>Открыть позицию</x:v>
      </x:c>
    </x:row>
    <x:row r="304" ht="28" customHeight="1">
      <x:c r="A304" s="16" t="str">
        <x:v>Рубцовский ТЭК</x:v>
      </x:c>
      <x:c r="B304" s="16" t="str">
        <x:v>2000141920-W122</x:v>
      </x:c>
      <x:c r="C304" s="16" t="str">
        <x:v>НАБИВКА НГ-100 16*16</x:v>
      </x:c>
      <x:c r="D304" s="16" t="str">
        <x:v>Проч резино-тех изд</x:v>
      </x:c>
      <x:c r="E304" s="16" t="str">
        <x:v>КГ</x:v>
      </x:c>
      <x:c r="F304" s="25" t="n">
        <x:v>21</x:v>
      </x:c>
      <x:c r="G304" s="17" t="n">
        <x:v>1410.32</x:v>
      </x:c>
      <x:c r="H304" s="17" t="n">
        <x:f>G304*F304</x:f>
        <x:v>29616.719999999998</x:v>
      </x:c>
      <x:c r="I304" s="26" t="str">
        <x:f>HYPERLINK("https://etp-aktiv.ru/catalog/materialy/rezino-tekhnicheskie-izdeliya/2000141920-W122/","Открыть позицию")</x:f>
        <x:v>Открыть позицию</x:v>
      </x:c>
    </x:row>
    <x:row r="305" ht="28" customHeight="1">
      <x:c r="A305" s="16" t="str">
        <x:v>Рубцовский ТЭК</x:v>
      </x:c>
      <x:c r="B305" s="16" t="str">
        <x:v>2000140374-W122</x:v>
      </x:c>
      <x:c r="C305" s="16" t="str">
        <x:v>НАБИВКА НГФ-С 6*6ММ</x:v>
      </x:c>
      <x:c r="D305" s="16" t="str">
        <x:v>Асбо-технические изд</x:v>
      </x:c>
      <x:c r="E305" s="16" t="str">
        <x:v>КГ</x:v>
      </x:c>
      <x:c r="F305" s="30" t="n">
        <x:v>0.5</x:v>
      </x:c>
      <x:c r="G305" s="17" t="n">
        <x:v>631.35</x:v>
      </x:c>
      <x:c r="H305" s="17" t="n">
        <x:f>G305*F305</x:f>
        <x:v>315.675</x:v>
      </x:c>
      <x:c r="I305" s="26" t="str">
        <x:f>HYPERLINK("https://etp-aktiv.ru/catalog/materialy/asbo-tekhnicheskie-izdeliya/2000140374-W122/","Открыть позицию")</x:f>
        <x:v>Открыть позицию</x:v>
      </x:c>
    </x:row>
    <x:row r="306" ht="28" customHeight="1">
      <x:c r="A306" s="16" t="str">
        <x:v>Рубцовский ТЭК</x:v>
      </x:c>
      <x:c r="B306" s="16" t="str">
        <x:v>2000470364-W122</x:v>
      </x:c>
      <x:c r="C306" s="16" t="str">
        <x:v>НАБИВКА САЛЬНИКОВАЯ ЛП-31 6*6ММ</x:v>
      </x:c>
      <x:c r="D306" s="16" t="str">
        <x:v>Асбо-технические изд</x:v>
      </x:c>
      <x:c r="E306" s="16" t="str">
        <x:v>КГ</x:v>
      </x:c>
      <x:c r="F306" s="24" t="n">
        <x:v>8.3</x:v>
      </x:c>
      <x:c r="G306" s="17" t="n">
        <x:v>591.09</x:v>
      </x:c>
      <x:c r="H306" s="17" t="n">
        <x:f>G306*F306</x:f>
        <x:v>4906.0470000000005</x:v>
      </x:c>
      <x:c r="I306" s="26" t="str">
        <x:f>HYPERLINK("https://etp-aktiv.ru/catalog/materialy/asbo-tekhnicheskie-izdeliya/2000470364-W122/","Открыть позицию")</x:f>
        <x:v>Открыть позицию</x:v>
      </x:c>
    </x:row>
    <x:row r="307" ht="28" customHeight="1">
      <x:c r="A307" s="16" t="str">
        <x:v>Рубцовский ТЭК</x:v>
      </x:c>
      <x:c r="B307" s="16" t="str">
        <x:v>2000539187-W122</x:v>
      </x:c>
      <x:c r="C307" s="16" t="str">
        <x:v>НАБИВКА СКВОЗНОЕ ПЛЕТЕНИЕ АПР-31 12*12</x:v>
      </x:c>
      <x:c r="D307" s="16" t="str">
        <x:v>Асбо-технические изд</x:v>
      </x:c>
      <x:c r="E307" s="16" t="str">
        <x:v>КГ</x:v>
      </x:c>
      <x:c r="F307" s="24" t="n">
        <x:v>2.8</x:v>
      </x:c>
      <x:c r="G307" s="17" t="n">
        <x:v>378.1024</x:v>
      </x:c>
      <x:c r="H307" s="17" t="n">
        <x:f>G307*F307</x:f>
        <x:v>1058.68672</x:v>
      </x:c>
      <x:c r="I307" s="26" t="str">
        <x:f>HYPERLINK("https://etp-aktiv.ru/catalog/materialy/asbo-tekhnicheskie-izdeliya/2000539187-W122/","Открыть позицию")</x:f>
        <x:v>Открыть позицию</x:v>
      </x:c>
    </x:row>
    <x:row r="308" ht="28" customHeight="1">
      <x:c r="A308" s="16" t="str">
        <x:v>Рубцовский ТЭК</x:v>
      </x:c>
      <x:c r="B308" s="16" t="str">
        <x:v>2000803519-W122</x:v>
      </x:c>
      <x:c r="C308" s="16" t="str">
        <x:v>ПАРОНИТ ПОН 4*1700*3000 ГОСТ481-80</x:v>
      </x:c>
      <x:c r="D308" s="16" t="str">
        <x:v>Асбо-технические изд</x:v>
      </x:c>
      <x:c r="E308" s="16" t="str">
        <x:v>КГ</x:v>
      </x:c>
      <x:c r="F308" s="25" t="n">
        <x:v>127</x:v>
      </x:c>
      <x:c r="G308" s="17" t="n">
        <x:v>97.9782</x:v>
      </x:c>
      <x:c r="H308" s="17" t="n">
        <x:f>G308*F308</x:f>
        <x:v>12443.2314</x:v>
      </x:c>
      <x:c r="I308" s="26" t="str">
        <x:f>HYPERLINK("https://etp-aktiv.ru/catalog/materialy/asbo-tekhnicheskie-izdeliya/2000803519-W122/","Открыть позицию")</x:f>
        <x:v>Открыть позицию</x:v>
      </x:c>
    </x:row>
    <x:row r="309" ht="28" customHeight="1">
      <x:c r="A309" s="16" t="str">
        <x:v>Рубцовский ТЭК</x:v>
      </x:c>
      <x:c r="B309" s="16" t="str">
        <x:v>2000033105-W122</x:v>
      </x:c>
      <x:c r="C309" s="16" t="str">
        <x:v>ПАРОНИТ ПОН-Б 1ММ</x:v>
      </x:c>
      <x:c r="D309" s="16" t="str">
        <x:v>Асбо-технические изд</x:v>
      </x:c>
      <x:c r="E309" s="16" t="str">
        <x:v>КГ</x:v>
      </x:c>
      <x:c r="F309" s="24" t="n">
        <x:v>9.9</x:v>
      </x:c>
      <x:c r="G309" s="17" t="n">
        <x:v>69.9426</x:v>
      </x:c>
      <x:c r="H309" s="17" t="n">
        <x:f>G309*F309</x:f>
        <x:v>692.43174</x:v>
      </x:c>
      <x:c r="I309" s="26" t="str">
        <x:f>HYPERLINK("https://etp-aktiv.ru/catalog/materialy/asbo-tekhnicheskie-izdeliya/2000033105-W122/","Открыть позицию")</x:f>
        <x:v>Открыть позицию</x:v>
      </x:c>
    </x:row>
    <x:row r="310" ht="28" customHeight="1">
      <x:c r="A310" s="16" t="str">
        <x:v>Рубцовский ТЭК</x:v>
      </x:c>
      <x:c r="B310" s="16" t="str">
        <x:v>2000033109-W122</x:v>
      </x:c>
      <x:c r="C310" s="16" t="str">
        <x:v>ПАРОНИТ ПОН-Б 2ММ</x:v>
      </x:c>
      <x:c r="D310" s="16" t="str">
        <x:v>Асбо-технические изд</x:v>
      </x:c>
      <x:c r="E310" s="16" t="str">
        <x:v>КГ</x:v>
      </x:c>
      <x:c r="F310" s="24" t="n">
        <x:v>25.72</x:v>
      </x:c>
      <x:c r="G310" s="17" t="n">
        <x:v>93.48859999999999</x:v>
      </x:c>
      <x:c r="H310" s="17" t="n">
        <x:f>G310*F310</x:f>
        <x:v>2404.5267919999997</x:v>
      </x:c>
      <x:c r="I310" s="26" t="str">
        <x:f>HYPERLINK("https://etp-aktiv.ru/catalog/materialy/asbo-tekhnicheskie-izdeliya/2000033109-W122/","Открыть позицию")</x:f>
        <x:v>Открыть позицию</x:v>
      </x:c>
    </x:row>
    <x:row r="311" ht="28" customHeight="1">
      <x:c r="A311" s="16" t="str">
        <x:v>Рубцовский ТЭК</x:v>
      </x:c>
      <x:c r="B311" s="16" t="str">
        <x:v>2000141041-W122</x:v>
      </x:c>
      <x:c r="C311" s="16" t="str">
        <x:v>ПАРОНИТ ПОН-Б 2ММ 1,5*1М</x:v>
      </x:c>
      <x:c r="D311" s="16" t="str">
        <x:v>Асбо-технические изд</x:v>
      </x:c>
      <x:c r="E311" s="16" t="str">
        <x:v>КГ</x:v>
      </x:c>
      <x:c r="F311" s="24" t="n">
        <x:v>26.7</x:v>
      </x:c>
      <x:c r="G311" s="17" t="n">
        <x:v>78.8608</x:v>
      </x:c>
      <x:c r="H311" s="17" t="n">
        <x:f>G311*F311</x:f>
        <x:v>2105.58336</x:v>
      </x:c>
      <x:c r="I311" s="26" t="str">
        <x:f>HYPERLINK("https://etp-aktiv.ru/catalog/materialy/asbo-tekhnicheskie-izdeliya/2000141041-W122/","Открыть позицию")</x:f>
        <x:v>Открыть позицию</x:v>
      </x:c>
    </x:row>
    <x:row r="312" ht="28" customHeight="1">
      <x:c r="A312" s="16" t="str">
        <x:v>Рубцовский ТЭК</x:v>
      </x:c>
      <x:c r="B312" s="16" t="str">
        <x:v>2000539290-W122</x:v>
      </x:c>
      <x:c r="C312" s="16" t="str">
        <x:v>ПАРОНИТ ПОН-Б 3,0*1500*1500</x:v>
      </x:c>
      <x:c r="D312" s="16" t="str">
        <x:v>Асбо-технические изд</x:v>
      </x:c>
      <x:c r="E312" s="16" t="str">
        <x:v>КГ</x:v>
      </x:c>
      <x:c r="F312" s="24" t="n">
        <x:v>18.25</x:v>
      </x:c>
      <x:c r="G312" s="17" t="n">
        <x:v>94.26939999999999</x:v>
      </x:c>
      <x:c r="H312" s="17" t="n">
        <x:f>G312*F312</x:f>
        <x:v>1720.41655</x:v>
      </x:c>
      <x:c r="I312" s="26" t="str">
        <x:f>HYPERLINK("https://etp-aktiv.ru/catalog/materialy/asbo-tekhnicheskie-izdeliya/2000539290-W122/","Открыть позицию")</x:f>
        <x:v>Открыть позицию</x:v>
      </x:c>
    </x:row>
    <x:row r="313" ht="28" customHeight="1">
      <x:c r="A313" s="16" t="str">
        <x:v>Рубцовский ТЭК</x:v>
      </x:c>
      <x:c r="B313" s="16" t="str">
        <x:v>2000539292-W122</x:v>
      </x:c>
      <x:c r="C313" s="16" t="str">
        <x:v>ПАРОНИТ ПОН-Б 4,0*1500*1500</x:v>
      </x:c>
      <x:c r="D313" s="16" t="str">
        <x:v>Асбо-технические изд</x:v>
      </x:c>
      <x:c r="E313" s="16" t="str">
        <x:v>КГ</x:v>
      </x:c>
      <x:c r="F313" s="24" t="n">
        <x:v>261.71</x:v>
      </x:c>
      <x:c r="G313" s="17" t="n">
        <x:v>111.25179999999999</x:v>
      </x:c>
      <x:c r="H313" s="17" t="n">
        <x:f>G313*F313</x:f>
        <x:v>29115.708577999994</x:v>
      </x:c>
      <x:c r="I313" s="26" t="str">
        <x:f>HYPERLINK("https://etp-aktiv.ru/catalog/materialy/asbo-tekhnicheskie-izdeliya/2000539292-W122/","Открыть позицию")</x:f>
        <x:v>Открыть позицию</x:v>
      </x:c>
    </x:row>
    <x:row r="314" ht="28" customHeight="1">
      <x:c r="A314" s="16" t="str">
        <x:v>Рубцовский ТЭК</x:v>
      </x:c>
      <x:c r="B314" s="16" t="str">
        <x:v>2000146481-W122</x:v>
      </x:c>
      <x:c r="C314" s="16" t="str">
        <x:v>ПАРОНИТ ПОН-Б 4ММ 1*1,5М</x:v>
      </x:c>
      <x:c r="D314" s="16" t="str">
        <x:v>Асбо-технические изд</x:v>
      </x:c>
      <x:c r="E314" s="16" t="str">
        <x:v>КГ</x:v>
      </x:c>
      <x:c r="F314" s="24" t="n">
        <x:v>17.5</x:v>
      </x:c>
      <x:c r="G314" s="17" t="n">
        <x:v>66.38019999999999</x:v>
      </x:c>
      <x:c r="H314" s="17" t="n">
        <x:f>G314*F314</x:f>
        <x:v>1161.6535</x:v>
      </x:c>
      <x:c r="I314" s="26" t="str">
        <x:f>HYPERLINK("https://etp-aktiv.ru/catalog/materialy/asbo-tekhnicheskie-izdeliya/2000146481-W122/","Открыть позицию")</x:f>
        <x:v>Открыть позицию</x:v>
      </x:c>
    </x:row>
    <x:row r="315" ht="28" customHeight="1">
      <x:c r="A315" s="16" t="str">
        <x:v>Рубцовский ТЭК</x:v>
      </x:c>
      <x:c r="B315" s="16" t="str">
        <x:v>2000549009-W122</x:v>
      </x:c>
      <x:c r="C315" s="16" t="str">
        <x:v>ПЕНОПОЛИСТИРОЛ XPS 1180*580*80</x:v>
      </x:c>
      <x:c r="D315" s="16" t="str">
        <x:v>Теплоизоляция</x:v>
      </x:c>
      <x:c r="E315" s="16" t="str">
        <x:v>М2</x:v>
      </x:c>
      <x:c r="F315" s="24" t="n">
        <x:v>18.24</x:v>
      </x:c>
      <x:c r="G315" s="17" t="n">
        <x:v>229.87239999999997</x:v>
      </x:c>
      <x:c r="H315" s="17" t="n">
        <x:f>G315*F315</x:f>
        <x:v>4192.872575999999</x:v>
      </x:c>
      <x:c r="I315" s="26" t="str">
        <x:f>HYPERLINK("https://etp-aktiv.ru/catalog/materialy/teploizolyaciya/2000549009-W122/","Открыть позицию")</x:f>
        <x:v>Открыть позицию</x:v>
      </x:c>
    </x:row>
    <x:row r="316" ht="28" customHeight="1">
      <x:c r="A316" s="16" t="str">
        <x:v>Рубцовский ТЭК</x:v>
      </x:c>
      <x:c r="B316" s="16" t="str">
        <x:v>2000548993-W122</x:v>
      </x:c>
      <x:c r="C316" s="16" t="str">
        <x:v>ПЛИТА ПТЭ 400 1000*500*50</x:v>
      </x:c>
      <x:c r="D316" s="16" t="str">
        <x:v>Теплоизоляция</x:v>
      </x:c>
      <x:c r="E316" s="16" t="str">
        <x:v>М3</x:v>
      </x:c>
      <x:c r="F316" s="24" t="n">
        <x:v>12.15</x:v>
      </x:c>
      <x:c r="G316" s="17" t="n">
        <x:v>1587.9642</x:v>
      </x:c>
      <x:c r="H316" s="17" t="n">
        <x:f>G316*F316</x:f>
        <x:v>19293.76503</x:v>
      </x:c>
      <x:c r="I316" s="26" t="str">
        <x:f>HYPERLINK("https://etp-aktiv.ru/catalog/materialy/teploizolyaciya/2000548993-W122/","Открыть позицию")</x:f>
        <x:v>Открыть позицию</x:v>
      </x:c>
    </x:row>
    <x:row r="317" ht="28" customHeight="1">
      <x:c r="A317" s="16" t="str">
        <x:v>Рубцовский ТЭК</x:v>
      </x:c>
      <x:c r="B317" s="16" t="str">
        <x:v>2000892017-W122</x:v>
      </x:c>
      <x:c r="C317" s="16" t="str">
        <x:v>РЕМЕНЬ КЛИНОВОЙ 12,7*10 SKF PHG XPA1060</x:v>
      </x:c>
      <x:c r="D317" s="16" t="str">
        <x:v>Проч резино-тех изд</x:v>
      </x:c>
      <x:c r="E317" s="16" t="str">
        <x:v>ШТ</x:v>
      </x:c>
      <x:c r="F317" s="25" t="n">
        <x:v>4</x:v>
      </x:c>
      <x:c r="G317" s="17" t="n">
        <x:v>27.547599999999996</x:v>
      </x:c>
      <x:c r="H317" s="17" t="n">
        <x:f>G317*F317</x:f>
        <x:v>110.19039999999998</x:v>
      </x:c>
      <x:c r="I317" s="26" t="str">
        <x:f>HYPERLINK("https://etp-aktiv.ru/catalog/materialy/rezino-tekhnicheskie-izdeliya/2000892017-W122/","Открыть позицию")</x:f>
        <x:v>Открыть позицию</x:v>
      </x:c>
    </x:row>
    <x:row r="318" ht="28" customHeight="1">
      <x:c r="A318" s="16" t="str">
        <x:v>Рубцовский ТЭК</x:v>
      </x:c>
      <x:c r="B318" s="16" t="str">
        <x:v>2000003661-W122</x:v>
      </x:c>
      <x:c r="C318" s="16" t="str">
        <x:v>РЕМЕНЬ КЛИНОВОЙ В(Б)-2650</x:v>
      </x:c>
      <x:c r="D318" s="16" t="str">
        <x:v>Проч резино-тех изд</x:v>
      </x:c>
      <x:c r="E318" s="16" t="str">
        <x:v>ШТ</x:v>
      </x:c>
      <x:c r="F318" s="25" t="n">
        <x:v>4</x:v>
      </x:c>
      <x:c r="G318" s="17" t="n">
        <x:v>153.7078</x:v>
      </x:c>
      <x:c r="H318" s="17" t="n">
        <x:f>G318*F318</x:f>
        <x:v>614.8312</x:v>
      </x:c>
      <x:c r="I318" s="26" t="str">
        <x:f>HYPERLINK("https://etp-aktiv.ru/catalog/materialy/rezino-tekhnicheskie-izdeliya/2000003661-W122/","Открыть позицию")</x:f>
        <x:v>Открыть позицию</x:v>
      </x:c>
    </x:row>
    <x:row r="319" ht="28" customHeight="1">
      <x:c r="A319" s="16" t="str">
        <x:v>Рубцовский ТЭК</x:v>
      </x:c>
      <x:c r="B319" s="16" t="str">
        <x:v>2000622137-W122</x:v>
      </x:c>
      <x:c r="C319" s="16" t="str">
        <x:v>РЕМЕНЬ КЛИНОВОЙ ХРВ 2000 LW/LD CONTITECH</x:v>
      </x:c>
      <x:c r="D319" s="16" t="str">
        <x:v>Проч резино-тех изд</x:v>
      </x:c>
      <x:c r="E319" s="16" t="str">
        <x:v>ШТ</x:v>
      </x:c>
      <x:c r="F319" s="25" t="n">
        <x:v>20</x:v>
      </x:c>
      <x:c r="G319" s="17" t="n">
        <x:v>1582.828</x:v>
      </x:c>
      <x:c r="H319" s="17" t="n">
        <x:f>G319*F319</x:f>
        <x:v>31656.559999999998</x:v>
      </x:c>
      <x:c r="I319" s="26" t="str">
        <x:f>HYPERLINK("https://etp-aktiv.ru/catalog/materialy/rezino-tekhnicheskie-izdeliya/2000622137-W122/","Открыть позицию")</x:f>
        <x:v>Открыть позицию</x:v>
      </x:c>
    </x:row>
    <x:row r="320" ht="28" customHeight="1">
      <x:c r="A320" s="16" t="str">
        <x:v>Рубцовский ТЭК</x:v>
      </x:c>
      <x:c r="B320" s="16" t="str">
        <x:v>2000548586-W122</x:v>
      </x:c>
      <x:c r="C320" s="16" t="str">
        <x:v>СИНТОФЛЕКС(ПЛЕН/СИНТ/КАРТ) 515П 0,25*900</x:v>
      </x:c>
      <x:c r="D320" s="16" t="str">
        <x:v>Э/изоляцион мат-лы</x:v>
      </x:c>
      <x:c r="E320" s="16" t="str">
        <x:v>ПМ</x:v>
      </x:c>
      <x:c r="F320" s="25" t="n">
        <x:v>33</x:v>
      </x:c>
      <x:c r="G320" s="17" t="n">
        <x:v>333.9384</x:v>
      </x:c>
      <x:c r="H320" s="17" t="n">
        <x:f>G320*F320</x:f>
        <x:v>11019.9672</x:v>
      </x:c>
      <x:c r="I320" s="26" t="str">
        <x:f>HYPERLINK("https://etp-aktiv.ru/catalog/materialy/ehlektroizolyacionnye-materialy/2000548586-W122/","Открыть позицию")</x:f>
        <x:v>Открыть позицию</x:v>
      </x:c>
    </x:row>
    <x:row r="321" ht="28" customHeight="1">
      <x:c r="A321" s="16" t="str">
        <x:v>Рубцовский ТЭК</x:v>
      </x:c>
      <x:c r="B321" s="16" t="str">
        <x:v>2000546990-W122</x:v>
      </x:c>
      <x:c r="C321" s="16" t="str">
        <x:v>ТЕХПЛАСТИНА 10ММ 2Н-I-ТМКЩ-С ГОСТ7338-90</x:v>
      </x:c>
      <x:c r="D321" s="16" t="str">
        <x:v>Проч резино-тех изд</x:v>
      </x:c>
      <x:c r="E321" s="16" t="str">
        <x:v>КГ</x:v>
      </x:c>
      <x:c r="F321" s="24" t="n">
        <x:v>350.35</x:v>
      </x:c>
      <x:c r="G321" s="17" t="n">
        <x:v>44.810599999999994</x:v>
      </x:c>
      <x:c r="H321" s="17" t="n">
        <x:f>G321*F321</x:f>
        <x:v>15699.393709999998</x:v>
      </x:c>
      <x:c r="I321" s="26" t="str">
        <x:f>HYPERLINK("https://etp-aktiv.ru/catalog/materialy/rezino-tekhnicheskie-izdeliya/2000546990-W122/","Открыть позицию")</x:f>
        <x:v>Открыть позицию</x:v>
      </x:c>
    </x:row>
    <x:row r="322" ht="28" customHeight="1">
      <x:c r="A322" s="16" t="str">
        <x:v>Рубцовский ТЭК</x:v>
      </x:c>
      <x:c r="B322" s="16" t="str">
        <x:v>2000547039-W122</x:v>
      </x:c>
      <x:c r="C322" s="16" t="str">
        <x:v>ТЕХПЛАСТИНА 3 1Н-I-МБС-С ГОСТ7338-90</x:v>
      </x:c>
      <x:c r="D322" s="16" t="str">
        <x:v>Проч резино-тех изд</x:v>
      </x:c>
      <x:c r="E322" s="16" t="str">
        <x:v>КГ</x:v>
      </x:c>
      <x:c r="F322" s="24" t="n">
        <x:v>3.68</x:v>
      </x:c>
      <x:c r="G322" s="17" t="n">
        <x:v>365.5974</x:v>
      </x:c>
      <x:c r="H322" s="17" t="n">
        <x:f>G322*F322</x:f>
        <x:v>1345.398432</x:v>
      </x:c>
      <x:c r="I322" s="26" t="str">
        <x:f>HYPERLINK("https://etp-aktiv.ru/catalog/materialy/rezino-tekhnicheskie-izdeliya/2000547039-W122/","Открыть позицию")</x:f>
        <x:v>Открыть позицию</x:v>
      </x:c>
    </x:row>
    <x:row r="323" ht="28" customHeight="1">
      <x:c r="A323" s="16" t="str">
        <x:v>Рубцовский ТЭК</x:v>
      </x:c>
      <x:c r="B323" s="16" t="str">
        <x:v>2000574844-W122</x:v>
      </x:c>
      <x:c r="C323" s="16" t="str">
        <x:v>ТЕХПЛАСТИНА 4*1100 1Н-I-ТМКЩ-С ГОСТ7338</x:v>
      </x:c>
      <x:c r="D323" s="16" t="str">
        <x:v>Проч резино-тех изд</x:v>
      </x:c>
      <x:c r="E323" s="16" t="str">
        <x:v>КГ</x:v>
      </x:c>
      <x:c r="F323" s="24" t="n">
        <x:v>3.968</x:v>
      </x:c>
      <x:c r="G323" s="17" t="n">
        <x:v>161.3938</x:v>
      </x:c>
      <x:c r="H323" s="17" t="n">
        <x:f>G323*F323</x:f>
        <x:v>640.4105984</x:v>
      </x:c>
      <x:c r="I323" s="26" t="str">
        <x:f>HYPERLINK("https://etp-aktiv.ru/catalog/materialy/rezino-tekhnicheskie-izdeliya/2000574844-W122/","Открыть позицию")</x:f>
        <x:v>Открыть позицию</x:v>
      </x:c>
    </x:row>
    <x:row r="324" ht="28" customHeight="1">
      <x:c r="A324" s="16" t="str">
        <x:v>Рубцовский ТЭК</x:v>
      </x:c>
      <x:c r="B324" s="16" t="str">
        <x:v>2000141954-W122</x:v>
      </x:c>
      <x:c r="C324" s="16" t="str">
        <x:v>ТЕХПЛАСТИНА 40ММ ТКМЩ С ГОСТ7338-90</x:v>
      </x:c>
      <x:c r="D324" s="16" t="str">
        <x:v>Проч резино-тех изд</x:v>
      </x:c>
      <x:c r="E324" s="16" t="str">
        <x:v>КГ</x:v>
      </x:c>
      <x:c r="F324" s="24" t="n">
        <x:v>2.28</x:v>
      </x:c>
      <x:c r="G324" s="17" t="n">
        <x:v>92.61019999999999</x:v>
      </x:c>
      <x:c r="H324" s="17" t="n">
        <x:f>G324*F324</x:f>
        <x:v>211.15125599999996</x:v>
      </x:c>
      <x:c r="I324" s="26" t="str">
        <x:f>HYPERLINK("https://etp-aktiv.ru/catalog/materialy/rezino-tekhnicheskie-izdeliya/2000141954-W122/","Открыть позицию")</x:f>
        <x:v>Открыть позицию</x:v>
      </x:c>
    </x:row>
    <x:row r="325" ht="28" customHeight="1">
      <x:c r="A325" s="16" t="str">
        <x:v>Рубцовский ТЭК</x:v>
      </x:c>
      <x:c r="B325" s="16" t="str">
        <x:v>2000475089-W122</x:v>
      </x:c>
      <x:c r="C325" s="16" t="str">
        <x:v>УТЕПЛИТЕЛЬ ТЕХНОПЛЕКС 1180*580*30</x:v>
      </x:c>
      <x:c r="D325" s="16" t="str">
        <x:v>Теплоизоляция</x:v>
      </x:c>
      <x:c r="E325" s="16" t="str">
        <x:v>ШТ</x:v>
      </x:c>
      <x:c r="F325" s="25" t="n">
        <x:v>3</x:v>
      </x:c>
      <x:c r="G325" s="17" t="n">
        <x:v>107.7016</x:v>
      </x:c>
      <x:c r="H325" s="17" t="n">
        <x:f>G325*F325</x:f>
        <x:v>323.1048</x:v>
      </x:c>
      <x:c r="I325" s="26" t="str">
        <x:f>HYPERLINK("https://etp-aktiv.ru/catalog/materialy/teploizolyaciya/2000475089-W122/","Открыть позицию")</x:f>
        <x:v>Открыть позицию</x:v>
      </x:c>
    </x:row>
    <x:row r="326" ht="28" customHeight="1">
      <x:c r="A326" s="16" t="str">
        <x:v>Рубцовский ТЭК</x:v>
      </x:c>
      <x:c r="B326" s="16" t="str">
        <x:v>2000549124-W122</x:v>
      </x:c>
      <x:c r="C326" s="16" t="str">
        <x:v>ШНУР 30ММ ШБЭ 150-ПС</x:v>
      </x:c>
      <x:c r="D326" s="16" t="str">
        <x:v>Теплоизоляция</x:v>
      </x:c>
      <x:c r="E326" s="16" t="str">
        <x:v>М3</x:v>
      </x:c>
      <x:c r="F326" s="30" t="n">
        <x:v>0.2</x:v>
      </x:c>
      <x:c r="G326" s="17" t="n">
        <x:v>6577.2762</x:v>
      </x:c>
      <x:c r="H326" s="17" t="n">
        <x:f>G326*F326</x:f>
        <x:v>1315.4552400000002</x:v>
      </x:c>
      <x:c r="I326" s="26" t="str">
        <x:f>HYPERLINK("https://etp-aktiv.ru/catalog/materialy/teploizolyaciya/2000549124-W122/","Открыть позицию")</x:f>
        <x:v>Открыть позицию</x:v>
      </x:c>
    </x:row>
    <x:row r="327" ht="28" customHeight="1">
      <x:c r="A327" s="16" t="str">
        <x:v>Рубцовский ТЭК</x:v>
      </x:c>
      <x:c r="B327" s="16" t="str">
        <x:v>2000549125-W122</x:v>
      </x:c>
      <x:c r="C327" s="16" t="str">
        <x:v>ШНУР 30ММ ШТЭ 150</x:v>
      </x:c>
      <x:c r="D327" s="16" t="str">
        <x:v>Теплоизоляция</x:v>
      </x:c>
      <x:c r="E327" s="16" t="str">
        <x:v>М3</x:v>
      </x:c>
      <x:c r="F327" s="30" t="n">
        <x:v>0.9</x:v>
      </x:c>
      <x:c r="G327" s="17" t="n">
        <x:v>6752.4316</x:v>
      </x:c>
      <x:c r="H327" s="17" t="n">
        <x:f>G327*F327</x:f>
        <x:v>6077.18844</x:v>
      </x:c>
      <x:c r="I327" s="26" t="str">
        <x:f>HYPERLINK("https://etp-aktiv.ru/catalog/materialy/teploizolyaciya/2000549125-W122/","Открыть позицию")</x:f>
        <x:v>Открыть позицию</x:v>
      </x:c>
    </x:row>
    <x:row r="328" ht="28" customHeight="1">
      <x:c r="A328" s="16" t="str">
        <x:v>Рубцовский ТЭК</x:v>
      </x:c>
      <x:c r="B328" s="16" t="str">
        <x:v>2000046180-W122</x:v>
      </x:c>
      <x:c r="C328" s="16" t="str">
        <x:v>ШНУР АСБЕСТ ШАОН 10ММ</x:v>
      </x:c>
      <x:c r="D328" s="16" t="str">
        <x:v>Асбо-технические изд</x:v>
      </x:c>
      <x:c r="E328" s="16" t="str">
        <x:v>КГ</x:v>
      </x:c>
      <x:c r="F328" s="24" t="n">
        <x:v>39.9</x:v>
      </x:c>
      <x:c r="G328" s="17" t="n">
        <x:v>29.6948</x:v>
      </x:c>
      <x:c r="H328" s="17" t="n">
        <x:f>G328*F328</x:f>
        <x:v>1184.82252</x:v>
      </x:c>
      <x:c r="I328" s="26" t="str">
        <x:f>HYPERLINK("https://etp-aktiv.ru/catalog/materialy/asbo-tekhnicheskie-izdeliya/2000046180-W122/","Открыть позицию")</x:f>
        <x:v>Открыть позицию</x:v>
      </x:c>
    </x:row>
    <x:row r="329" ht="28" customHeight="1">
      <x:c r="A329" s="16" t="str">
        <x:v>Рубцовский ТЭК</x:v>
      </x:c>
      <x:c r="B329" s="16" t="str">
        <x:v>2000046196-W122</x:v>
      </x:c>
      <x:c r="C329" s="16" t="str">
        <x:v>ШНУР АСБЕСТ ШАОН 15ММ</x:v>
      </x:c>
      <x:c r="D329" s="16" t="str">
        <x:v>Асбо-технические изд</x:v>
      </x:c>
      <x:c r="E329" s="16" t="str">
        <x:v>КГ</x:v>
      </x:c>
      <x:c r="F329" s="24" t="n">
        <x:v>41.1</x:v>
      </x:c>
      <x:c r="G329" s="17" t="n">
        <x:v>22.1064</x:v>
      </x:c>
      <x:c r="H329" s="17" t="n">
        <x:f>G329*F329</x:f>
        <x:v>908.5730400000001</x:v>
      </x:c>
      <x:c r="I329" s="26" t="str">
        <x:f>HYPERLINK("https://etp-aktiv.ru/catalog/materialy/asbo-tekhnicheskie-izdeliya/2000046196-W122/","Открыть позицию")</x:f>
        <x:v>Открыть позицию</x:v>
      </x:c>
    </x:row>
    <x:row r="330" ht="28" customHeight="1">
      <x:c r="A330" s="16" t="str">
        <x:v>Рубцовский ТЭК</x:v>
      </x:c>
      <x:c r="B330" s="16" t="str">
        <x:v>2000046186-W122</x:v>
      </x:c>
      <x:c r="C330" s="16" t="str">
        <x:v>ШНУР АСБЕСТ ШАОН 20ММ</x:v>
      </x:c>
      <x:c r="D330" s="16" t="str">
        <x:v>Асбо-технические изд</x:v>
      </x:c>
      <x:c r="E330" s="16" t="str">
        <x:v>КГ</x:v>
      </x:c>
      <x:c r="F330" s="24" t="n">
        <x:v>107.776</x:v>
      </x:c>
      <x:c r="G330" s="17" t="n">
        <x:v>257.3712</x:v>
      </x:c>
      <x:c r="H330" s="17" t="n">
        <x:f>G330*F330</x:f>
        <x:v>27738.438451199996</x:v>
      </x:c>
      <x:c r="I330" s="26" t="str">
        <x:f>HYPERLINK("https://etp-aktiv.ru/catalog/materialy/asbo-tekhnicheskie-izdeliya/2000046186-W122/","Открыть позицию")</x:f>
        <x:v>Открыть позицию</x:v>
      </x:c>
    </x:row>
    <x:row r="331" ht="28" customHeight="1">
      <x:c r="A331" s="16" t="str">
        <x:v>Рубцовский ТЭК</x:v>
      </x:c>
      <x:c r="B331" s="16" t="str">
        <x:v>2000178670-W122</x:v>
      </x:c>
      <x:c r="C331" s="16" t="str">
        <x:v>ШНУР ИРП-1338 D8ММ ТУ38.105.1165-90</x:v>
      </x:c>
      <x:c r="D331" s="16" t="str">
        <x:v>Проч резино-тех изд</x:v>
      </x:c>
      <x:c r="E331" s="16" t="str">
        <x:v>КГ</x:v>
      </x:c>
      <x:c r="F331" s="24" t="n">
        <x:v>3.04</x:v>
      </x:c>
      <x:c r="G331" s="17" t="n">
        <x:v>1268.8121999999998</x:v>
      </x:c>
      <x:c r="H331" s="17" t="n">
        <x:f>G331*F331</x:f>
        <x:v>3857.1890879999996</x:v>
      </x:c>
      <x:c r="I331" s="26" t="str">
        <x:f>HYPERLINK("https://etp-aktiv.ru/catalog/materialy/rezino-tekhnicheskie-izdeliya/2000178670-W122/","Открыть позицию")</x:f>
        <x:v>Открыть позицию</x:v>
      </x:c>
    </x:row>
    <x:row r="332" ht="28" customHeight="1">
      <x:c r="A332" s="16" t="str">
        <x:v>Филиал БТСК</x:v>
      </x:c>
      <x:c r="B332" s="16" t="str">
        <x:v>2001007959-W121</x:v>
      </x:c>
      <x:c r="C332" s="16" t="str">
        <x:v>ВСТАВКА РЕЗИНОВАЯ 27-100-30</x:v>
      </x:c>
      <x:c r="D332" s="16" t="str">
        <x:v>ЗЧ турб-вспом оборуд</x:v>
      </x:c>
      <x:c r="E332" s="16" t="str">
        <x:v>ШТ</x:v>
      </x:c>
      <x:c r="F332" s="25" t="n">
        <x:v>8</x:v>
      </x:c>
      <x:c r="G332" s="17" t="n">
        <x:v>1052.7136</x:v>
      </x:c>
      <x:c r="H332" s="17" t="n">
        <x:f>G332*F332</x:f>
        <x:v>8421.7088</x:v>
      </x:c>
      <x:c r="I332" s="26" t="str">
        <x:f>HYPERLINK("https://etp-aktiv.ru/catalog/materialy/zapasnye-chasti-osnovnogo-ehnergeticheskogo-oborudovaniya/2001007959-W121/","Открыть позицию")</x:f>
        <x:v>Открыть позицию</x:v>
      </x:c>
    </x:row>
    <x:row r="333" ht="28" customHeight="1">
      <x:c r="A333" s="16" t="str">
        <x:v>Филиал БТСК</x:v>
      </x:c>
      <x:c r="B333" s="16" t="str">
        <x:v>2000165421-W121</x:v>
      </x:c>
      <x:c r="C333" s="16" t="str">
        <x:v>ИЗОФЛЕКС 191 0,13ММ</x:v>
      </x:c>
      <x:c r="D333" s="16" t="str">
        <x:v>Э/изоляцион мат-лы</x:v>
      </x:c>
      <x:c r="E333" s="16" t="str">
        <x:v>КГ</x:v>
      </x:c>
      <x:c r="F333" s="25" t="n">
        <x:v>4</x:v>
      </x:c>
      <x:c r="G333" s="17" t="n">
        <x:v>741.15</x:v>
      </x:c>
      <x:c r="H333" s="17" t="n">
        <x:f>G333*F333</x:f>
        <x:v>2964.6</x:v>
      </x:c>
      <x:c r="I333" s="26" t="str">
        <x:f>HYPERLINK("https://etp-aktiv.ru/catalog/materialy/ehlektroizolyacionnye-materialy/2000165421-W121/","Открыть позицию")</x:f>
        <x:v>Открыть позицию</x:v>
      </x:c>
    </x:row>
    <x:row r="334" ht="28" customHeight="1">
      <x:c r="A334" s="16" t="str">
        <x:v>Филиал БТСК</x:v>
      </x:c>
      <x:c r="B334" s="16" t="str">
        <x:v>2000392506-W121</x:v>
      </x:c>
      <x:c r="C334" s="16" t="str">
        <x:v>ЛИСТ ФТОРОПЛАСТ Ф-4 2*1000*1000</x:v>
      </x:c>
      <x:c r="D334" s="16" t="str">
        <x:v>Э/изоляцион мат-лы</x:v>
      </x:c>
      <x:c r="E334" s="16" t="str">
        <x:v>КГ</x:v>
      </x:c>
      <x:c r="F334" s="24" t="n">
        <x:v>4.7</x:v>
      </x:c>
      <x:c r="G334" s="17" t="n">
        <x:v>164.7</x:v>
      </x:c>
      <x:c r="H334" s="17" t="n">
        <x:f>G334*F334</x:f>
        <x:v>774.09</x:v>
      </x:c>
      <x:c r="I334" s="26" t="str">
        <x:f>HYPERLINK("https://etp-aktiv.ru/catalog/materialy/ehlektroizolyacionnye-materialy/2000392506-W121/","Открыть позицию")</x:f>
        <x:v>Открыть позицию</x:v>
      </x:c>
    </x:row>
    <x:row r="335" ht="28" customHeight="1">
      <x:c r="A335" s="16" t="str">
        <x:v>Филиал БТСК</x:v>
      </x:c>
      <x:c r="B335" s="16" t="str">
        <x:v>2000563532-W121</x:v>
      </x:c>
      <x:c r="C335" s="16" t="str">
        <x:v>ЛИСТ ФТОРОПЛАСТ Ф-4 4ММ</x:v>
      </x:c>
      <x:c r="D335" s="16" t="str">
        <x:v>Э/изоляцион мат-лы</x:v>
      </x:c>
      <x:c r="E335" s="16" t="str">
        <x:v>КГ</x:v>
      </x:c>
      <x:c r="F335" s="24" t="n">
        <x:v>2.36</x:v>
      </x:c>
      <x:c r="G335" s="17" t="n">
        <x:v>692.6062000000001</x:v>
      </x:c>
      <x:c r="H335" s="17" t="n">
        <x:f>G335*F335</x:f>
        <x:v>1634.550632</x:v>
      </x:c>
      <x:c r="I335" s="26" t="str">
        <x:f>HYPERLINK("https://etp-aktiv.ru/catalog/materialy/ehlektroizolyacionnye-materialy/2000563532-W121/","Открыть позицию")</x:f>
        <x:v>Открыть позицию</x:v>
      </x:c>
    </x:row>
    <x:row r="336" ht="28" customHeight="1">
      <x:c r="A336" s="16" t="str">
        <x:v>Филиал БТСК</x:v>
      </x:c>
      <x:c r="B336" s="16" t="str">
        <x:v>2000539300-W121</x:v>
      </x:c>
      <x:c r="C336" s="16" t="str">
        <x:v>ПРОКЛАДКА А ПОН 200-40</x:v>
      </x:c>
      <x:c r="D336" s="16" t="str">
        <x:v>Асбо-технические изд</x:v>
      </x:c>
      <x:c r="E336" s="16" t="str">
        <x:v>ШТ</x:v>
      </x:c>
      <x:c r="F336" s="25" t="n">
        <x:v>2</x:v>
      </x:c>
      <x:c r="G336" s="17" t="n">
        <x:v>30.243799999999997</x:v>
      </x:c>
      <x:c r="H336" s="17" t="n">
        <x:f>G336*F336</x:f>
        <x:v>60.48759999999999</x:v>
      </x:c>
      <x:c r="I336" s="26" t="str">
        <x:f>HYPERLINK("https://etp-aktiv.ru/catalog/materialy/asbo-tekhnicheskie-izdeliya/2000539300-W121/","Открыть позицию")</x:f>
        <x:v>Открыть позицию</x:v>
      </x:c>
    </x:row>
    <x:row r="337" ht="28" customHeight="1">
      <x:c r="A337" s="16" t="str">
        <x:v>Филиал БТСК</x:v>
      </x:c>
      <x:c r="B337" s="16" t="str">
        <x:v>2000548964-W121</x:v>
      </x:c>
      <x:c r="C337" s="16" t="str">
        <x:v>СКОРЛУПА (ОТВОД) 90° ППУ СПЛ 159/50</x:v>
      </x:c>
      <x:c r="D337" s="16" t="str">
        <x:v>Теплоизоляция</x:v>
      </x:c>
      <x:c r="E337" s="16" t="str">
        <x:v>ШТ</x:v>
      </x:c>
      <x:c r="F337" s="25" t="n">
        <x:v>2</x:v>
      </x:c>
      <x:c r="G337" s="17" t="n">
        <x:v>1625.6134</x:v>
      </x:c>
      <x:c r="H337" s="17" t="n">
        <x:f>G337*F337</x:f>
        <x:v>3251.2268</x:v>
      </x:c>
      <x:c r="I337" s="26" t="str">
        <x:f>HYPERLINK("https://etp-aktiv.ru/catalog/materialy/teploizolyaciya/2000548964-W121/","Открыть позицию")</x:f>
        <x:v>Открыть позицию</x:v>
      </x:c>
    </x:row>
    <x:row r="338" ht="28" customHeight="1">
      <x:c r="A338" s="16" t="str">
        <x:v>Филиал БТСК</x:v>
      </x:c>
      <x:c r="B338" s="16" t="str">
        <x:v>2000548632-W121</x:v>
      </x:c>
      <x:c r="C338" s="16" t="str">
        <x:v>СТЕРЖЕНЬ ФТОРОПЛАСТ Ф-4 60*500ММ</x:v>
      </x:c>
      <x:c r="D338" s="16" t="str">
        <x:v>Э/изоляцион мат-лы</x:v>
      </x:c>
      <x:c r="E338" s="16" t="str">
        <x:v>КГ</x:v>
      </x:c>
      <x:c r="F338" s="24" t="n">
        <x:v>6.58</x:v>
      </x:c>
      <x:c r="G338" s="17" t="n">
        <x:v>823.5</x:v>
      </x:c>
      <x:c r="H338" s="17" t="n">
        <x:f>G338*F338</x:f>
        <x:v>5418.63</x:v>
      </x:c>
      <x:c r="I338" s="26" t="str">
        <x:f>HYPERLINK("https://etp-aktiv.ru/catalog/materialy/ehlektroizolyacionnye-materialy/2000548632-W121/","Открыть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cc36c351ad4341af"/>
  </x:tableParts>
</x:worksheet>
</file>

<file path=xl/worksheets/sheet14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Химические материалы, ЛКМ и лаборатория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2000023970-W111</x:v>
      </x:c>
      <x:c r="C5" s="16" t="str">
        <x:v>ЖИР ПАЯЛЬНЫЙ А ГОСТ1320-74</x:v>
      </x:c>
      <x:c r="D5" s="16" t="str">
        <x:v>Проч химич материалы</x:v>
      </x:c>
      <x:c r="E5" s="16" t="str">
        <x:v>КГ</x:v>
      </x:c>
      <x:c r="F5" s="30" t="n">
        <x:v>0.107</x:v>
      </x:c>
      <x:c r="G5" s="17" t="n">
        <x:v>1100.9524</x:v>
      </x:c>
      <x:c r="H5" s="17" t="n">
        <x:f>G5*F5</x:f>
        <x:v>117.80190679999998</x:v>
      </x:c>
      <x:c r="I5" s="26" t="str">
        <x:f>HYPERLINK("https://etp-aktiv.ru/catalog/materialy/himicheskaya-produkciya/2000023970-W111/","Открыть позицию")</x:f>
        <x:v>Открыть позицию</x:v>
      </x:c>
    </x:row>
    <x:row r="6" ht="28" customHeight="1">
      <x:c r="A6" s="16" t="str">
        <x:v>Барнаульская ТЭЦ-2</x:v>
      </x:c>
      <x:c r="B6" s="16" t="str">
        <x:v>2000025603-W111</x:v>
      </x:c>
      <x:c r="C6" s="16" t="str">
        <x:v>КИСЛОТА СОЛЯНАЯ ХЧ ГОСТ3118-77</x:v>
      </x:c>
      <x:c r="D6" s="16" t="str">
        <x:v>Химические реактивы</x:v>
      </x:c>
      <x:c r="E6" s="16" t="str">
        <x:v>КГ</x:v>
      </x:c>
      <x:c r="F6" s="24" t="n">
        <x:v>67.647</x:v>
      </x:c>
      <x:c r="G6" s="17" t="n">
        <x:v>50.4958</x:v>
      </x:c>
      <x:c r="H6" s="17" t="n">
        <x:f>G6*F6</x:f>
        <x:v>3415.8893826000003</x:v>
      </x:c>
      <x:c r="I6" s="26" t="str">
        <x:f>HYPERLINK("https://etp-aktiv.ru/catalog/materialy/himicheskaya-produkciya/2000025603-W111/","Открыть позицию")</x:f>
        <x:v>Открыть позицию</x:v>
      </x:c>
    </x:row>
    <x:row r="7" ht="28" customHeight="1">
      <x:c r="A7" s="16" t="str">
        <x:v>Барнаульская ТЭЦ-2</x:v>
      </x:c>
      <x:c r="B7" s="16" t="str">
        <x:v>2000301727-W111</x:v>
      </x:c>
      <x:c r="C7" s="16" t="str">
        <x:v>КСИЛОЛ НЕФТЯНОЙ А ГОСТ9410-78</x:v>
      </x:c>
      <x:c r="D7" s="16" t="str">
        <x:v>Лакокрасоч материалы</x:v>
      </x:c>
      <x:c r="E7" s="16" t="str">
        <x:v>Л</x:v>
      </x:c>
      <x:c r="F7" s="25" t="n">
        <x:v>1</x:v>
      </x:c>
      <x:c r="G7" s="17" t="n">
        <x:v>75.7132</x:v>
      </x:c>
      <x:c r="H7" s="17" t="n">
        <x:f>G7*F7</x:f>
        <x:v>75.7132</x:v>
      </x:c>
      <x:c r="I7" s="26" t="str">
        <x:f>HYPERLINK("https://etp-aktiv.ru/catalog/materialy/lakokrasochnye-materialy/2000301727-W111/","Открыть позицию")</x:f>
        <x:v>Открыть позицию</x:v>
      </x:c>
    </x:row>
    <x:row r="8" ht="28" customHeight="1">
      <x:c r="A8" s="16" t="str">
        <x:v>Барнаульская ТЭЦ-2</x:v>
      </x:c>
      <x:c r="B8" s="16" t="str">
        <x:v>2000083065-W111</x:v>
      </x:c>
      <x:c r="C8" s="16" t="str">
        <x:v>РАСТВОРИТЕЛЬ НЕФТЯНОЙ ГОСТ7827-74</x:v>
      </x:c>
      <x:c r="D8" s="16" t="str">
        <x:v>Лакокрасоч материалы</x:v>
      </x:c>
      <x:c r="E8" s="16" t="str">
        <x:v>КГ</x:v>
      </x:c>
      <x:c r="F8" s="24" t="n">
        <x:v>25.18</x:v>
      </x:c>
      <x:c r="G8" s="17" t="n">
        <x:v>117.2664</x:v>
      </x:c>
      <x:c r="H8" s="17" t="n">
        <x:f>G8*F8</x:f>
        <x:v>2952.767952</x:v>
      </x:c>
      <x:c r="I8" s="26" t="str">
        <x:f>HYPERLINK("https://etp-aktiv.ru/catalog/materialy/lakokrasochnye-materialy/2000083065-W111/","Открыть позицию")</x:f>
        <x:v>Открыть позицию</x:v>
      </x:c>
    </x:row>
    <x:row r="9" ht="28" customHeight="1">
      <x:c r="A9" s="16" t="str">
        <x:v>Барнаульская ТЭЦ-2</x:v>
      </x:c>
      <x:c r="B9" s="16" t="str">
        <x:v>2000219779-W111</x:v>
      </x:c>
      <x:c r="C9" s="16" t="str">
        <x:v>СМАЗКА СОЛИДОЛ Ж</x:v>
      </x:c>
      <x:c r="D9" s="16" t="str">
        <x:v>Масла и смазки</x:v>
      </x:c>
      <x:c r="E9" s="16" t="str">
        <x:v>КГ</x:v>
      </x:c>
      <x:c r="F9" s="25" t="n">
        <x:v>62</x:v>
      </x:c>
      <x:c r="G9" s="17" t="n">
        <x:v>75.335</x:v>
      </x:c>
      <x:c r="H9" s="17" t="n">
        <x:f>G9*F9</x:f>
        <x:v>4670.7699999999995</x:v>
      </x:c>
      <x:c r="I9" s="26" t="str">
        <x:f>HYPERLINK("https://etp-aktiv.ru/catalog/materialy/gsm/2000219779-W111/","Открыть позицию")</x:f>
        <x:v>Открыть позицию</x:v>
      </x:c>
    </x:row>
    <x:row r="10" ht="28" customHeight="1">
      <x:c r="A10" s="16" t="str">
        <x:v>Барнаульская ТЭЦ-2</x:v>
      </x:c>
      <x:c r="B10" s="16" t="str">
        <x:v>2000201484-W111</x:v>
      </x:c>
      <x:c r="C10" s="16" t="str">
        <x:v>СМАЗКА ЦИАТИМ-201</x:v>
      </x:c>
      <x:c r="D10" s="16" t="str">
        <x:v>Масла и смазки</x:v>
      </x:c>
      <x:c r="E10" s="16" t="str">
        <x:v>КГ</x:v>
      </x:c>
      <x:c r="F10" s="24" t="n">
        <x:v>29.65</x:v>
      </x:c>
      <x:c r="G10" s="17" t="n">
        <x:v>143.0084</x:v>
      </x:c>
      <x:c r="H10" s="17" t="n">
        <x:f>G10*F10</x:f>
        <x:v>4240.19906</x:v>
      </x:c>
      <x:c r="I10" s="26" t="str">
        <x:f>HYPERLINK("https://etp-aktiv.ru/catalog/materialy/gsm/2000201484-W111/","Открыть позицию")</x:f>
        <x:v>Открыть позицию</x:v>
      </x:c>
    </x:row>
    <x:row r="11" ht="28" customHeight="1">
      <x:c r="A11" s="16" t="str">
        <x:v>Барнаульская ТЭЦ-2</x:v>
      </x:c>
      <x:c r="B11" s="16" t="str">
        <x:v>2000211861-W111</x:v>
      </x:c>
      <x:c r="C11" s="16" t="str">
        <x:v>СМАЗКА ЦИАТИМ-203</x:v>
      </x:c>
      <x:c r="D11" s="16" t="str">
        <x:v>Масла и смазки</x:v>
      </x:c>
      <x:c r="E11" s="16" t="str">
        <x:v>КГ</x:v>
      </x:c>
      <x:c r="F11" s="24" t="n">
        <x:v>35.468</x:v>
      </x:c>
      <x:c r="G11" s="17" t="n">
        <x:v>141.6298</x:v>
      </x:c>
      <x:c r="H11" s="17" t="n">
        <x:f>G11*F11</x:f>
        <x:v>5023.3257464</x:v>
      </x:c>
      <x:c r="I11" s="26" t="str">
        <x:f>HYPERLINK("https://etp-aktiv.ru/catalog/materialy/gsm/2000211861-W111/","Открыть позицию")</x:f>
        <x:v>Открыть позицию</x:v>
      </x:c>
    </x:row>
    <x:row r="12" ht="28" customHeight="1">
      <x:c r="A12" s="16" t="str">
        <x:v>Барнаульская ТЭЦ-2</x:v>
      </x:c>
      <x:c r="B12" s="16" t="str">
        <x:v>2000477714-W111</x:v>
      </x:c>
      <x:c r="C12" s="16" t="str">
        <x:v>СОВОК ИЗ НЕРЖ СТ SCOOP AISI 304 2500МЛ</x:v>
      </x:c>
      <x:c r="D12" s="16" t="str">
        <x:v>Химическая посуда</x:v>
      </x:c>
      <x:c r="E12" s="16" t="str">
        <x:v>ШТ</x:v>
      </x:c>
      <x:c r="F12" s="25" t="n">
        <x:v>12</x:v>
      </x:c>
      <x:c r="G12" s="17" t="n">
        <x:v>4209</x:v>
      </x:c>
      <x:c r="H12" s="17" t="n">
        <x:f>G12*F12</x:f>
        <x:v>50508</x:v>
      </x:c>
      <x:c r="I12" s="26" t="str">
        <x:f>HYPERLINK("https://etp-aktiv.ru/catalog/materialy/mebel-i-bytovaya-tekhnika/2000477714-W111/","Открыть позицию")</x:f>
        <x:v>Открыть позицию</x:v>
      </x:c>
    </x:row>
    <x:row r="13" ht="28" customHeight="1">
      <x:c r="A13" s="16" t="str">
        <x:v>Барнаульская ТЭЦ-3</x:v>
      </x:c>
      <x:c r="B13" s="16" t="str">
        <x:v>2000083093-W112</x:v>
      </x:c>
      <x:c r="C13" s="16" t="str">
        <x:v>КАНИФОЛЬ СОСНОВАЯ А ГОСТ19113-84</x:v>
      </x:c>
      <x:c r="D13" s="16" t="str">
        <x:v>Проч химич материалы</x:v>
      </x:c>
      <x:c r="E13" s="16" t="str">
        <x:v>КГ</x:v>
      </x:c>
      <x:c r="F13" s="25" t="n">
        <x:v>30</x:v>
      </x:c>
      <x:c r="G13" s="17" t="n">
        <x:v>272.49920000000003</x:v>
      </x:c>
      <x:c r="H13" s="17" t="n">
        <x:f>G13*F13</x:f>
        <x:v>8174.976000000001</x:v>
      </x:c>
      <x:c r="I13" s="26" t="str">
        <x:f>HYPERLINK("https://etp-aktiv.ru/catalog/materialy/himicheskaya-produkciya/2000083093-W112/","Открыть позицию")</x:f>
        <x:v>Открыть позицию</x:v>
      </x:c>
    </x:row>
    <x:row r="14" ht="28" customHeight="1">
      <x:c r="A14" s="16" t="str">
        <x:v>Барнаульская ТЭЦ-3</x:v>
      </x:c>
      <x:c r="B14" s="16" t="str">
        <x:v>2000695419-W112</x:v>
      </x:c>
      <x:c r="C14" s="16" t="str">
        <x:v>КАРБИД БОРА N10 ГОСТ3647-80</x:v>
      </x:c>
      <x:c r="D14" s="16" t="str">
        <x:v>Проч химич материалы</x:v>
      </x:c>
      <x:c r="E14" s="16" t="str">
        <x:v>КГ</x:v>
      </x:c>
      <x:c r="F14" s="25" t="n">
        <x:v>2</x:v>
      </x:c>
      <x:c r="G14" s="17" t="n">
        <x:v>7212.5424</x:v>
      </x:c>
      <x:c r="H14" s="17" t="n">
        <x:f>G14*F14</x:f>
        <x:v>14425.0848</x:v>
      </x:c>
      <x:c r="I14" s="26" t="str">
        <x:f>HYPERLINK("https://etp-aktiv.ru/catalog/materialy/himicheskaya-produkciya/2000695419-W112/","Открыть позицию")</x:f>
        <x:v>Открыть позицию</x:v>
      </x:c>
    </x:row>
    <x:row r="15" ht="28" customHeight="1">
      <x:c r="A15" s="16" t="str">
        <x:v>Барнаульская ТЭЦ-3</x:v>
      </x:c>
      <x:c r="B15" s="16" t="str">
        <x:v>2000691931-W112</x:v>
      </x:c>
      <x:c r="C15" s="16" t="str">
        <x:v>КАРБИД БОРА В4С N12 ГОСТ3647-80</x:v>
      </x:c>
      <x:c r="D15" s="16" t="str">
        <x:v>Проч химич материалы</x:v>
      </x:c>
      <x:c r="E15" s="16" t="str">
        <x:v>КГ</x:v>
      </x:c>
      <x:c r="F15" s="25" t="n">
        <x:v>1</x:v>
      </x:c>
      <x:c r="G15" s="17" t="n">
        <x:v>10499.625</x:v>
      </x:c>
      <x:c r="H15" s="17" t="n">
        <x:f>G15*F15</x:f>
        <x:v>10499.625</x:v>
      </x:c>
      <x:c r="I15" s="26" t="str">
        <x:f>HYPERLINK("https://etp-aktiv.ru/catalog/materialy/himicheskaya-produkciya/2000691931-W112/","Открыть позицию")</x:f>
        <x:v>Открыть позицию</x:v>
      </x:c>
    </x:row>
    <x:row r="16" ht="28" customHeight="1">
      <x:c r="A16" s="16" t="str">
        <x:v>Барнаульская ТЭЦ-3</x:v>
      </x:c>
      <x:c r="B16" s="16" t="str">
        <x:v>2000996216-W112</x:v>
      </x:c>
      <x:c r="C16" s="16" t="str">
        <x:v>СМАЗКА УВС СУПЕРКОНТ</x:v>
      </x:c>
      <x:c r="D16" s="16" t="str">
        <x:v>Масла и смазки</x:v>
      </x:c>
      <x:c r="E16" s="16" t="str">
        <x:v>КГ</x:v>
      </x:c>
      <x:c r="F16" s="25" t="n">
        <x:v>18</x:v>
      </x:c>
      <x:c r="G16" s="17" t="n">
        <x:v>4066.138</x:v>
      </x:c>
      <x:c r="H16" s="17" t="n">
        <x:f>G16*F16</x:f>
        <x:v>73190.484</x:v>
      </x:c>
      <x:c r="I16" s="26" t="str">
        <x:f>HYPERLINK("https://etp-aktiv.ru/catalog/materialy/gsm/2000996216-W112/","Открыть позицию")</x:f>
        <x:v>Открыть позицию</x:v>
      </x:c>
    </x:row>
    <x:row r="17" ht="28" customHeight="1">
      <x:c r="A17" s="16" t="str">
        <x:v>Барнаульская ТЭЦ-3</x:v>
      </x:c>
      <x:c r="B17" s="16" t="str">
        <x:v>2000211861-W112</x:v>
      </x:c>
      <x:c r="C17" s="16" t="str">
        <x:v>СМАЗКА ЦИАТИМ-203</x:v>
      </x:c>
      <x:c r="D17" s="16" t="str">
        <x:v>Масла и смазки</x:v>
      </x:c>
      <x:c r="E17" s="16" t="str">
        <x:v>КГ</x:v>
      </x:c>
      <x:c r="F17" s="24" t="n">
        <x:v>9.6</x:v>
      </x:c>
      <x:c r="G17" s="17" t="n">
        <x:v>150.7432</x:v>
      </x:c>
      <x:c r="H17" s="17" t="n">
        <x:f>G17*F17</x:f>
        <x:v>1447.13472</x:v>
      </x:c>
      <x:c r="I17" s="26" t="str">
        <x:f>HYPERLINK("https://etp-aktiv.ru/catalog/materialy/gsm/2000211861-W112/","Открыть позицию")</x:f>
        <x:v>Открыть позицию</x:v>
      </x:c>
    </x:row>
    <x:row r="18" ht="28" customHeight="1">
      <x:c r="A18" s="16" t="str">
        <x:v>Барнаульская ТЭЦ-3</x:v>
      </x:c>
      <x:c r="B18" s="16" t="str">
        <x:v>2000450959-W112</x:v>
      </x:c>
      <x:c r="C18" s="16" t="str">
        <x:v>СПИРТ ИЗОПРОПИЛОВЫЙ АБСОЛЮТИР ГОСТ9805</x:v>
      </x:c>
      <x:c r="D18" s="16" t="str">
        <x:v>Проч химич материалы</x:v>
      </x:c>
      <x:c r="E18" s="16" t="str">
        <x:v>Л</x:v>
      </x:c>
      <x:c r="F18" s="25" t="n">
        <x:v>5</x:v>
      </x:c>
      <x:c r="G18" s="17" t="n">
        <x:v>382.0186</x:v>
      </x:c>
      <x:c r="H18" s="17" t="n">
        <x:f>G18*F18</x:f>
        <x:v>1910.0929999999998</x:v>
      </x:c>
      <x:c r="I18" s="26" t="str">
        <x:f>HYPERLINK("https://etp-aktiv.ru/catalog/materialy/himicheskaya-produkciya/2000450959-W112/","Открыть позицию")</x:f>
        <x:v>Открыть позицию</x:v>
      </x:c>
    </x:row>
    <x:row r="19" ht="28" customHeight="1">
      <x:c r="A19" s="16" t="str">
        <x:v>Барнаульская ТЭЦ-3</x:v>
      </x:c>
      <x:c r="B19" s="16" t="str">
        <x:v>2000246112-W112</x:v>
      </x:c>
      <x:c r="C19" s="16" t="str">
        <x:v>ТОЛУОЛ НЕФТЯНОЙ ГОСТ14710-78</x:v>
      </x:c>
      <x:c r="D19" s="16" t="str">
        <x:v>Проч химич материалы</x:v>
      </x:c>
      <x:c r="E19" s="16" t="str">
        <x:v>КГ</x:v>
      </x:c>
      <x:c r="F19" s="24" t="n">
        <x:v>13.5</x:v>
      </x:c>
      <x:c r="G19" s="17" t="n">
        <x:v>252.1984</x:v>
      </x:c>
      <x:c r="H19" s="17" t="n">
        <x:f>G19*F19</x:f>
        <x:v>3404.6784</x:v>
      </x:c>
      <x:c r="I19" s="26" t="str">
        <x:f>HYPERLINK("https://etp-aktiv.ru/catalog/materialy/himicheskaya-produkciya/2000246112-W112/","Открыть позицию")</x:f>
        <x:v>Открыть позицию</x:v>
      </x:c>
    </x:row>
    <x:row r="20" ht="28" customHeight="1">
      <x:c r="A20" s="16" t="str">
        <x:v>Барнаульская ТЭЦ-3</x:v>
      </x:c>
      <x:c r="B20" s="16" t="str">
        <x:v>2000047119-W112</x:v>
      </x:c>
      <x:c r="C20" s="16" t="str">
        <x:v>ЭМАЛЬ НЦ-132 ЖЕЛТАЯ ГОСТ6631-74</x:v>
      </x:c>
      <x:c r="D20" s="16" t="str">
        <x:v>Лакокрасоч материалы</x:v>
      </x:c>
      <x:c r="E20" s="16" t="str">
        <x:v>КГ</x:v>
      </x:c>
      <x:c r="F20" s="24" t="n">
        <x:v>70.794</x:v>
      </x:c>
      <x:c r="G20" s="17" t="n">
        <x:v>90.2556</x:v>
      </x:c>
      <x:c r="H20" s="17" t="n">
        <x:f>G20*F20</x:f>
        <x:v>6389.5549464</x:v>
      </x:c>
      <x:c r="I20" s="26" t="str">
        <x:f>HYPERLINK("https://etp-aktiv.ru/catalog/materialy/lakokrasochnye-materialy/2000047119-W112/","Открыть позицию")</x:f>
        <x:v>Открыть позицию</x:v>
      </x:c>
    </x:row>
    <x:row r="21" ht="28" customHeight="1">
      <x:c r="A21" s="16" t="str">
        <x:v>Барнаульская ТЭЦ-3</x:v>
      </x:c>
      <x:c r="B21" s="16" t="str">
        <x:v>2000547493-W112</x:v>
      </x:c>
      <x:c r="C21" s="16" t="str">
        <x:v>ЭМАЛЬ НЦ-132 ЗЕЛЕНЫЙ</x:v>
      </x:c>
      <x:c r="D21" s="16" t="str">
        <x:v>Лакокрасоч материалы</x:v>
      </x:c>
      <x:c r="E21" s="16" t="str">
        <x:v>КГ</x:v>
      </x:c>
      <x:c r="F21" s="24" t="n">
        <x:v>58.336</x:v>
      </x:c>
      <x:c r="G21" s="17" t="n">
        <x:v>82.4476</x:v>
      </x:c>
      <x:c r="H21" s="17" t="n">
        <x:f>G21*F21</x:f>
        <x:v>4809.663193599999</x:v>
      </x:c>
      <x:c r="I21" s="26" t="str">
        <x:f>HYPERLINK("https://etp-aktiv.ru/catalog/materialy/lakokrasochnye-materialy/2000547493-W112/","Открыть позицию")</x:f>
        <x:v>Открыть позицию</x:v>
      </x:c>
    </x:row>
    <x:row r="22" ht="28" customHeight="1">
      <x:c r="A22" s="16" t="str">
        <x:v>Барнаульская ТЭЦ-3</x:v>
      </x:c>
      <x:c r="B22" s="16" t="str">
        <x:v>2000047185-W112</x:v>
      </x:c>
      <x:c r="C22" s="16" t="str">
        <x:v>ЭМАЛЬ НЦ-132 ЧЕРНАЯ ГОСТ6631-74</x:v>
      </x:c>
      <x:c r="D22" s="16" t="str">
        <x:v>Лакокрасоч материалы</x:v>
      </x:c>
      <x:c r="E22" s="16" t="str">
        <x:v>КГ</x:v>
      </x:c>
      <x:c r="F22" s="25" t="n">
        <x:v>76</x:v>
      </x:c>
      <x:c r="G22" s="17" t="n">
        <x:v>78.9828</x:v>
      </x:c>
      <x:c r="H22" s="17" t="n">
        <x:f>G22*F22</x:f>
        <x:v>6002.6928</x:v>
      </x:c>
      <x:c r="I22" s="26" t="str">
        <x:f>HYPERLINK("https://etp-aktiv.ru/catalog/materialy/lakokrasochnye-materialy/2000047185-W112/","Открыть позицию")</x:f>
        <x:v>Открыть позицию</x:v>
      </x:c>
    </x:row>
    <x:row r="23" ht="28" customHeight="1">
      <x:c r="A23" s="16" t="str">
        <x:v>Барнаульская ТЭЦ-3</x:v>
      </x:c>
      <x:c r="B23" s="16" t="str">
        <x:v>2000547501-W112</x:v>
      </x:c>
      <x:c r="C23" s="16" t="str">
        <x:v>ЭМАЛЬ ОС 51-03 СЕРАЯ КГ</x:v>
      </x:c>
      <x:c r="D23" s="16" t="str">
        <x:v>Лакокрасоч материалы</x:v>
      </x:c>
      <x:c r="E23" s="16" t="str">
        <x:v>КГ</x:v>
      </x:c>
      <x:c r="F23" s="24" t="n">
        <x:v>17.2</x:v>
      </x:c>
      <x:c r="G23" s="17" t="n">
        <x:v>232.8126</x:v>
      </x:c>
      <x:c r="H23" s="17" t="n">
        <x:f>G23*F23</x:f>
        <x:v>4004.3767199999998</x:v>
      </x:c>
      <x:c r="I23" s="26" t="str">
        <x:f>HYPERLINK("https://etp-aktiv.ru/catalog/materialy/lakokrasochnye-materialy/2000547501-W112/","Открыть позицию")</x:f>
        <x:v>Открыть позицию</x:v>
      </x:c>
    </x:row>
    <x:row r="24" ht="28" customHeight="1">
      <x:c r="A24" s="16" t="str">
        <x:v>Барнаульская ТЭЦ-3</x:v>
      </x:c>
      <x:c r="B24" s="16" t="str">
        <x:v>2000547532-W112</x:v>
      </x:c>
      <x:c r="C24" s="16" t="str">
        <x:v>ЭМАЛЬ ХВ-785 СИНИЙ</x:v>
      </x:c>
      <x:c r="D24" s="16" t="str">
        <x:v>Лакокрасоч материалы</x:v>
      </x:c>
      <x:c r="E24" s="16" t="str">
        <x:v>КГ</x:v>
      </x:c>
      <x:c r="F24" s="25" t="n">
        <x:v>7</x:v>
      </x:c>
      <x:c r="G24" s="17" t="n">
        <x:v>140.6782</x:v>
      </x:c>
      <x:c r="H24" s="17" t="n">
        <x:f>G24*F24</x:f>
        <x:v>984.7474</x:v>
      </x:c>
      <x:c r="I24" s="26" t="str">
        <x:f>HYPERLINK("https://etp-aktiv.ru/catalog/materialy/lakokrasochnye-materialy/2000547532-W112/","Открыть позицию")</x:f>
        <x:v>Открыть позицию</x:v>
      </x:c>
    </x:row>
    <x:row r="25" ht="28" customHeight="1">
      <x:c r="A25" s="16" t="str">
        <x:v>Бийскэнерго</x:v>
      </x:c>
      <x:c r="B25" s="16" t="str">
        <x:v>2000530903-W113</x:v>
      </x:c>
      <x:c r="C25" s="16" t="str">
        <x:v>БЕНЗИН АВИАЦИОННЫЙ Б-70 ТУ38.101913-82</x:v>
      </x:c>
      <x:c r="D25" s="16" t="str">
        <x:v>Проч химич материалы</x:v>
      </x:c>
      <x:c r="E25" s="16" t="str">
        <x:v>КГ</x:v>
      </x:c>
      <x:c r="F25" s="24" t="n">
        <x:v>5.42</x:v>
      </x:c>
      <x:c r="G25" s="17" t="n">
        <x:v>289.2742</x:v>
      </x:c>
      <x:c r="H25" s="17" t="n">
        <x:f>G25*F25</x:f>
        <x:v>1567.866164</x:v>
      </x:c>
      <x:c r="I25" s="26" t="str">
        <x:f>HYPERLINK("https://etp-aktiv.ru/catalog/materialy/himicheskaya-produkciya/2000530903-W113/","Открыть позицию")</x:f>
        <x:v>Открыть позицию</x:v>
      </x:c>
    </x:row>
    <x:row r="26" ht="28" customHeight="1">
      <x:c r="A26" s="16" t="str">
        <x:v>Бийскэнерго</x:v>
      </x:c>
      <x:c r="B26" s="16" t="str">
        <x:v>2000466955-W113</x:v>
      </x:c>
      <x:c r="C26" s="16" t="str">
        <x:v>ЖИДКОСТЬ Д/СНЯТИЯ КРАСКИ СК</x:v>
      </x:c>
      <x:c r="D26" s="16" t="str">
        <x:v>Проч химич материалы</x:v>
      </x:c>
      <x:c r="E26" s="16" t="str">
        <x:v>Л</x:v>
      </x:c>
      <x:c r="F26" s="25" t="n">
        <x:v>4</x:v>
      </x:c>
      <x:c r="G26" s="17" t="n">
        <x:v>161.9062</x:v>
      </x:c>
      <x:c r="H26" s="17" t="n">
        <x:f>G26*F26</x:f>
        <x:v>647.6248</x:v>
      </x:c>
      <x:c r="I26" s="26" t="str">
        <x:f>HYPERLINK("https://etp-aktiv.ru/catalog/materialy/himicheskaya-produkciya/2000466955-W113/","Открыть позицию")</x:f>
        <x:v>Открыть позицию</x:v>
      </x:c>
    </x:row>
    <x:row r="27" ht="28" customHeight="1">
      <x:c r="A27" s="16" t="str">
        <x:v>Бийскэнерго</x:v>
      </x:c>
      <x:c r="B27" s="16" t="str">
        <x:v>2000023970-W113</x:v>
      </x:c>
      <x:c r="C27" s="16" t="str">
        <x:v>ЖИР ПАЯЛЬНЫЙ А ГОСТ1320-74</x:v>
      </x:c>
      <x:c r="D27" s="16" t="str">
        <x:v>Проч химич материалы</x:v>
      </x:c>
      <x:c r="E27" s="16" t="str">
        <x:v>КГ</x:v>
      </x:c>
      <x:c r="F27" s="24" t="n">
        <x:v>1.5</x:v>
      </x:c>
      <x:c r="G27" s="17" t="n">
        <x:v>1100.9035999999999</x:v>
      </x:c>
      <x:c r="H27" s="17" t="n">
        <x:f>G27*F27</x:f>
        <x:v>1651.3554</x:v>
      </x:c>
      <x:c r="I27" s="26" t="str">
        <x:f>HYPERLINK("https://etp-aktiv.ru/catalog/materialy/himicheskaya-produkciya/2000023970-W113/","Открыть позицию")</x:f>
        <x:v>Открыть позицию</x:v>
      </x:c>
    </x:row>
    <x:row r="28" ht="28" customHeight="1">
      <x:c r="A28" s="16" t="str">
        <x:v>Бийскэнерго</x:v>
      </x:c>
      <x:c r="B28" s="16" t="str">
        <x:v>2000522813-W113</x:v>
      </x:c>
      <x:c r="C28" s="16" t="str">
        <x:v>МАСЛО ГИДРАВ ЛУКОЙЛ ГЕЙЗЕР ЛТ 68 180КГ</x:v>
      </x:c>
      <x:c r="D28" s="16" t="str">
        <x:v>Масла и смазки</x:v>
      </x:c>
      <x:c r="E28" s="16" t="str">
        <x:v>Т</x:v>
      </x:c>
      <x:c r="F28" s="30" t="n">
        <x:v>0.1</x:v>
      </x:c>
      <x:c r="G28" s="17" t="n">
        <x:v>174264.2144</x:v>
      </x:c>
      <x:c r="H28" s="17" t="n">
        <x:f>G28*F28</x:f>
        <x:v>17426.421440000002</x:v>
      </x:c>
      <x:c r="I28" s="26" t="str">
        <x:f>HYPERLINK("https://etp-aktiv.ru/catalog/materialy/gsm/2000522813-W113/","Открыть позицию")</x:f>
        <x:v>Открыть позицию</x:v>
      </x:c>
    </x:row>
    <x:row r="29" ht="28" customHeight="1">
      <x:c r="A29" s="16" t="str">
        <x:v>Бийскэнерго</x:v>
      </x:c>
      <x:c r="B29" s="16" t="str">
        <x:v>2000030276-W113</x:v>
      </x:c>
      <x:c r="C29" s="16" t="str">
        <x:v>МАСЛО ГИДРАВЛИЧЕСКОЕ ВМГЗ</x:v>
      </x:c>
      <x:c r="D29" s="16" t="str">
        <x:v>Масла и смазки</x:v>
      </x:c>
      <x:c r="E29" s="16" t="str">
        <x:v>Т</x:v>
      </x:c>
      <x:c r="F29" s="30" t="n">
        <x:v>0.018</x:v>
      </x:c>
      <x:c r="G29" s="17" t="n">
        <x:v>115271.7</x:v>
      </x:c>
      <x:c r="H29" s="17" t="n">
        <x:f>G29*F29</x:f>
        <x:v>2074.8905999999997</x:v>
      </x:c>
      <x:c r="I29" s="26" t="str">
        <x:f>HYPERLINK("https://etp-aktiv.ru/catalog/materialy/gsm/2000030276-W113/","Открыть позицию")</x:f>
        <x:v>Открыть позицию</x:v>
      </x:c>
    </x:row>
    <x:row r="30" ht="28" customHeight="1">
      <x:c r="A30" s="16" t="str">
        <x:v>Бийскэнерго</x:v>
      </x:c>
      <x:c r="B30" s="16" t="str">
        <x:v>2000211857-W113</x:v>
      </x:c>
      <x:c r="C30" s="16" t="str">
        <x:v>МАСЛО ИНДУСТРИАЛЬНОЕ И-50А</x:v>
      </x:c>
      <x:c r="D30" s="16" t="str">
        <x:v>Масла и смазки</x:v>
      </x:c>
      <x:c r="E30" s="16" t="str">
        <x:v>КГ</x:v>
      </x:c>
      <x:c r="F30" s="25" t="n">
        <x:v>18</x:v>
      </x:c>
      <x:c r="G30" s="17" t="n">
        <x:v>188.9902</x:v>
      </x:c>
      <x:c r="H30" s="17" t="n">
        <x:f>G30*F30</x:f>
        <x:v>3401.8235999999997</x:v>
      </x:c>
      <x:c r="I30" s="26" t="str">
        <x:f>HYPERLINK("https://etp-aktiv.ru/catalog/materialy/gsm/2000211857-W113/","Открыть позицию")</x:f>
        <x:v>Открыть позицию</x:v>
      </x:c>
    </x:row>
    <x:row r="31" ht="28" customHeight="1">
      <x:c r="A31" s="16" t="str">
        <x:v>Бийскэнерго</x:v>
      </x:c>
      <x:c r="B31" s="16" t="str">
        <x:v>2000030398-W113</x:v>
      </x:c>
      <x:c r="C31" s="16" t="str">
        <x:v>МАСЛО М14В2 SAE40</x:v>
      </x:c>
      <x:c r="D31" s="16" t="str">
        <x:v>Масла и смазки</x:v>
      </x:c>
      <x:c r="E31" s="16" t="str">
        <x:v>Т</x:v>
      </x:c>
      <x:c r="F31" s="30" t="n">
        <x:v>0.9</x:v>
      </x:c>
      <x:c r="G31" s="17" t="n">
        <x:v>45862.911</x:v>
      </x:c>
      <x:c r="H31" s="17" t="n">
        <x:f>G31*F31</x:f>
        <x:v>41276.6199</x:v>
      </x:c>
      <x:c r="I31" s="26" t="str">
        <x:f>HYPERLINK("https://etp-aktiv.ru/catalog/materialy/gsm/2000030398-W113/","Открыть позицию")</x:f>
        <x:v>Открыть позицию</x:v>
      </x:c>
    </x:row>
    <x:row r="32" ht="28" customHeight="1">
      <x:c r="A32" s="16" t="str">
        <x:v>Бийскэнерго</x:v>
      </x:c>
      <x:c r="B32" s="16" t="str">
        <x:v>2000030409-W113</x:v>
      </x:c>
      <x:c r="C32" s="16" t="str">
        <x:v>МАСЛО МС-20 50 CH-4</x:v>
      </x:c>
      <x:c r="D32" s="16" t="str">
        <x:v>Масла и смазки</x:v>
      </x:c>
      <x:c r="E32" s="16" t="str">
        <x:v>Т</x:v>
      </x:c>
      <x:c r="F32" s="30" t="n">
        <x:v>0.6</x:v>
      </x:c>
      <x:c r="G32" s="17" t="n">
        <x:v>127185</x:v>
      </x:c>
      <x:c r="H32" s="17" t="n">
        <x:f>G32*F32</x:f>
        <x:v>76311</x:v>
      </x:c>
      <x:c r="I32" s="26" t="str">
        <x:f>HYPERLINK("https://etp-aktiv.ru/catalog/materialy/gsm/2000030409-W113/","Открыть позицию")</x:f>
        <x:v>Открыть позицию</x:v>
      </x:c>
    </x:row>
    <x:row r="33" ht="28" customHeight="1">
      <x:c r="A33" s="16" t="str">
        <x:v>Бийскэнерго</x:v>
      </x:c>
      <x:c r="B33" s="16" t="str">
        <x:v>2000579701-W113</x:v>
      </x:c>
      <x:c r="C33" s="16" t="str">
        <x:v>МАСЛО ПРОМЫВ ЛУКОЙЛ 180КГ</x:v>
      </x:c>
      <x:c r="D33" s="16" t="str">
        <x:v>Масла и смазки</x:v>
      </x:c>
      <x:c r="E33" s="16" t="str">
        <x:v>Т</x:v>
      </x:c>
      <x:c r="F33" s="30" t="n">
        <x:v>0.72</x:v>
      </x:c>
      <x:c r="G33" s="17" t="n">
        <x:v>99127.44</x:v>
      </x:c>
      <x:c r="H33" s="17" t="n">
        <x:f>G33*F33</x:f>
        <x:v>71371.7568</x:v>
      </x:c>
      <x:c r="I33" s="26" t="str">
        <x:f>HYPERLINK("https://etp-aktiv.ru/catalog/materialy/gsm/2000579701-W113/","Открыть позицию")</x:f>
        <x:v>Открыть позицию</x:v>
      </x:c>
    </x:row>
    <x:row r="34" ht="28" customHeight="1">
      <x:c r="A34" s="16" t="str">
        <x:v>Бийскэнерго</x:v>
      </x:c>
      <x:c r="B34" s="16" t="str">
        <x:v>2000030480-W113</x:v>
      </x:c>
      <x:c r="C34" s="16" t="str">
        <x:v>МАСЛО ТСП-10 SAE80 GI-3</x:v>
      </x:c>
      <x:c r="D34" s="16" t="str">
        <x:v>Масла и смазки</x:v>
      </x:c>
      <x:c r="E34" s="16" t="str">
        <x:v>Т</x:v>
      </x:c>
      <x:c r="F34" s="30" t="n">
        <x:v>0.13</x:v>
      </x:c>
      <x:c r="G34" s="17" t="n">
        <x:v>160641.81639999998</x:v>
      </x:c>
      <x:c r="H34" s="17" t="n">
        <x:f>G34*F34</x:f>
        <x:v>20883.436132</x:v>
      </x:c>
      <x:c r="I34" s="26" t="str">
        <x:f>HYPERLINK("https://etp-aktiv.ru/catalog/materialy/gsm/2000030480-W113/","Открыть позицию")</x:f>
        <x:v>Открыть позицию</x:v>
      </x:c>
    </x:row>
    <x:row r="35" ht="28" customHeight="1">
      <x:c r="A35" s="16" t="str">
        <x:v>Бийскэнерго</x:v>
      </x:c>
      <x:c r="B35" s="16" t="str">
        <x:v>2000530852-W113</x:v>
      </x:c>
      <x:c r="C35" s="16" t="str">
        <x:v>НАТРИЙ КРЕМНЕФТ ТЕХ СОР ВЫС ТУ113-08-587</x:v>
      </x:c>
      <x:c r="D35" s="16" t="str">
        <x:v>Проч химич материалы</x:v>
      </x:c>
      <x:c r="E35" s="16" t="str">
        <x:v>КГ</x:v>
      </x:c>
      <x:c r="F35" s="25" t="n">
        <x:v>100</x:v>
      </x:c>
      <x:c r="G35" s="17" t="n">
        <x:v>63.4522</x:v>
      </x:c>
      <x:c r="H35" s="17" t="n">
        <x:f>G35*F35</x:f>
        <x:v>6345.219999999999</x:v>
      </x:c>
      <x:c r="I35" s="26" t="str">
        <x:f>HYPERLINK("https://etp-aktiv.ru/catalog/materialy/himicheskaya-produkciya/2000530852-W113/","Открыть позицию")</x:f>
        <x:v>Открыть позицию</x:v>
      </x:c>
    </x:row>
    <x:row r="36" ht="28" customHeight="1">
      <x:c r="A36" s="16" t="str">
        <x:v>Бийскэнерго</x:v>
      </x:c>
      <x:c r="B36" s="16" t="str">
        <x:v>2000530794-W113</x:v>
      </x:c>
      <x:c r="C36" s="16" t="str">
        <x:v>НАТРИЙ КРЕМНЕФТОРИСТЫЙ ЧДА ТУ6-09-1461</x:v>
      </x:c>
      <x:c r="D36" s="16" t="str">
        <x:v>Химические реактивы</x:v>
      </x:c>
      <x:c r="E36" s="16" t="str">
        <x:v>КГ</x:v>
      </x:c>
      <x:c r="F36" s="24" t="n">
        <x:v>124.3</x:v>
      </x:c>
      <x:c r="G36" s="17" t="n">
        <x:v>51.117999999999995</x:v>
      </x:c>
      <x:c r="H36" s="17" t="n">
        <x:f>G36*F36</x:f>
        <x:v>6353.9673999999995</x:v>
      </x:c>
      <x:c r="I36" s="26" t="str">
        <x:f>HYPERLINK("https://etp-aktiv.ru/catalog/materialy/himicheskaya-produkciya/2000530794-W113/","Открыть позицию")</x:f>
        <x:v>Открыть позицию</x:v>
      </x:c>
    </x:row>
    <x:row r="37" ht="28" customHeight="1">
      <x:c r="A37" s="16" t="str">
        <x:v>Бийскэнерго</x:v>
      </x:c>
      <x:c r="B37" s="16" t="str">
        <x:v>2000215710-W113</x:v>
      </x:c>
      <x:c r="C37" s="16" t="str">
        <x:v>НЕФРАС С2-80/120 ТУ38.401-67-108-92</x:v>
      </x:c>
      <x:c r="D37" s="16" t="str">
        <x:v>Лакокрасоч материалы</x:v>
      </x:c>
      <x:c r="E37" s="16" t="str">
        <x:v>КГ</x:v>
      </x:c>
      <x:c r="F37" s="25" t="n">
        <x:v>9</x:v>
      </x:c>
      <x:c r="G37" s="17" t="n">
        <x:v>86.4126</x:v>
      </x:c>
      <x:c r="H37" s="17" t="n">
        <x:f>G37*F37</x:f>
        <x:v>777.7134</x:v>
      </x:c>
      <x:c r="I37" s="26" t="str">
        <x:f>HYPERLINK("https://etp-aktiv.ru/catalog/materialy/lakokrasochnye-materialy/2000215710-W113/","Открыть позицию")</x:f>
        <x:v>Открыть позицию</x:v>
      </x:c>
    </x:row>
    <x:row r="38" ht="28" customHeight="1">
      <x:c r="A38" s="16" t="str">
        <x:v>Бийскэнерго</x:v>
      </x:c>
      <x:c r="B38" s="16" t="str">
        <x:v>2000651113-W113</x:v>
      </x:c>
      <x:c r="C38" s="16" t="str">
        <x:v>ОТВЕРДИТЕЛЬ ПЭПА ТУ6-02-594-85</x:v>
      </x:c>
      <x:c r="D38" s="16" t="str">
        <x:v>Проч химич материалы</x:v>
      </x:c>
      <x:c r="E38" s="16" t="str">
        <x:v>КГ</x:v>
      </x:c>
      <x:c r="F38" s="30" t="n">
        <x:v>0.75</x:v>
      </x:c>
      <x:c r="G38" s="17" t="n">
        <x:v>1014.125</x:v>
      </x:c>
      <x:c r="H38" s="17" t="n">
        <x:f>G38*F38</x:f>
        <x:v>760.59375</x:v>
      </x:c>
      <x:c r="I38" s="26" t="str">
        <x:f>HYPERLINK("https://etp-aktiv.ru/catalog/materialy/himicheskaya-produkciya/2000651113-W113/","Открыть позицию")</x:f>
        <x:v>Открыть позицию</x:v>
      </x:c>
    </x:row>
    <x:row r="39" ht="28" customHeight="1">
      <x:c r="A39" s="16" t="str">
        <x:v>Бийскэнерго</x:v>
      </x:c>
      <x:c r="B39" s="16" t="str">
        <x:v>2000477272-W113</x:v>
      </x:c>
      <x:c r="C39" s="16" t="str">
        <x:v>ПОРОШОК ГРАФИТОВЫЙ ГИИ-А ТУ1916-109-071</x:v>
      </x:c>
      <x:c r="D39" s="16" t="str">
        <x:v>Проч химич материалы</x:v>
      </x:c>
      <x:c r="E39" s="16" t="str">
        <x:v>КГ</x:v>
      </x:c>
      <x:c r="F39" s="24" t="n">
        <x:v>1.56</x:v>
      </x:c>
      <x:c r="G39" s="17" t="n">
        <x:v>622.6636</x:v>
      </x:c>
      <x:c r="H39" s="17" t="n">
        <x:f>G39*F39</x:f>
        <x:v>971.355216</x:v>
      </x:c>
      <x:c r="I39" s="26" t="str">
        <x:f>HYPERLINK("https://etp-aktiv.ru/catalog/materialy/himicheskaya-produkciya/2000477272-W113/","Открыть позицию")</x:f>
        <x:v>Открыть позицию</x:v>
      </x:c>
    </x:row>
    <x:row r="40" ht="28" customHeight="1">
      <x:c r="A40" s="16" t="str">
        <x:v>Бийскэнерго</x:v>
      </x:c>
      <x:c r="B40" s="16" t="str">
        <x:v>2000547615-W113</x:v>
      </x:c>
      <x:c r="C40" s="16" t="str">
        <x:v>СИЛИКАГЕЛЬ-ИНДИКАТОР КСМГ ГОСТ8984-75</x:v>
      </x:c>
      <x:c r="D40" s="16" t="str">
        <x:v>Проч химич материалы</x:v>
      </x:c>
      <x:c r="E40" s="16" t="str">
        <x:v>КГ</x:v>
      </x:c>
      <x:c r="F40" s="24" t="n">
        <x:v>2.5</x:v>
      </x:c>
      <x:c r="G40" s="17" t="n">
        <x:v>347.7</x:v>
      </x:c>
      <x:c r="H40" s="17" t="n">
        <x:f>G40*F40</x:f>
        <x:v>869.25</x:v>
      </x:c>
      <x:c r="I40" s="26" t="str">
        <x:f>HYPERLINK("https://etp-aktiv.ru/catalog/materialy/himicheskaya-produkciya/2000547615-W113/","Открыть позицию")</x:f>
        <x:v>Открыть позицию</x:v>
      </x:c>
    </x:row>
    <x:row r="41" ht="28" customHeight="1">
      <x:c r="A41" s="16" t="str">
        <x:v>Бийскэнерго</x:v>
      </x:c>
      <x:c r="B41" s="16" t="str">
        <x:v>2000043549-W113</x:v>
      </x:c>
      <x:c r="C41" s="16" t="str">
        <x:v>УАЙТ-СПИРИТ</x:v>
      </x:c>
      <x:c r="D41" s="16" t="str">
        <x:v>Лакокрасоч материалы</x:v>
      </x:c>
      <x:c r="E41" s="16" t="str">
        <x:v>КГ</x:v>
      </x:c>
      <x:c r="F41" s="30" t="n">
        <x:v>0.208</x:v>
      </x:c>
      <x:c r="G41" s="17" t="n">
        <x:v>60.817</x:v>
      </x:c>
      <x:c r="H41" s="17" t="n">
        <x:f>G41*F41</x:f>
        <x:v>12.649936</x:v>
      </x:c>
      <x:c r="I41" s="26" t="str">
        <x:f>HYPERLINK("https://etp-aktiv.ru/catalog/materialy/lakokrasochnye-materialy/2000043549-W113/","Открыть позицию")</x:f>
        <x:v>Открыть позицию</x:v>
      </x:c>
    </x:row>
    <x:row r="42" ht="28" customHeight="1">
      <x:c r="A42" s="16" t="str">
        <x:v>Рубцовский ТЭК</x:v>
      </x:c>
      <x:c r="B42" s="16" t="str">
        <x:v>2000547575-W122</x:v>
      </x:c>
      <x:c r="C42" s="16" t="str">
        <x:v>ЛАК МЛ–92 ГОСТ15865-70</x:v>
      </x:c>
      <x:c r="D42" s="16" t="str">
        <x:v>Лакокрасоч материалы</x:v>
      </x:c>
      <x:c r="E42" s="16" t="str">
        <x:v>КГ</x:v>
      </x:c>
      <x:c r="F42" s="25" t="n">
        <x:v>18</x:v>
      </x:c>
      <x:c r="G42" s="17" t="n">
        <x:v>310.7584</x:v>
      </x:c>
      <x:c r="H42" s="17" t="n">
        <x:f>G42*F42</x:f>
        <x:v>5593.6512</x:v>
      </x:c>
      <x:c r="I42" s="26" t="str">
        <x:f>HYPERLINK("https://etp-aktiv.ru/catalog/materialy/lakokrasochnye-materialy/2000547575-W122/","Открыть позицию")</x:f>
        <x:v>Открыть позицию</x:v>
      </x:c>
    </x:row>
    <x:row r="43" ht="28" customHeight="1">
      <x:c r="A43" s="16" t="str">
        <x:v>Рубцовский ТЭК</x:v>
      </x:c>
      <x:c r="B43" s="16" t="str">
        <x:v>2000523092-W122</x:v>
      </x:c>
      <x:c r="C43" s="16" t="str">
        <x:v>МАСЛО РЕДУКТ MOBIL SHC 630 (ISO 220) 20Л</x:v>
      </x:c>
      <x:c r="D43" s="16" t="str">
        <x:v>Другие смазоч мат-лы</x:v>
      </x:c>
      <x:c r="E43" s="16" t="str">
        <x:v>ШТ</x:v>
      </x:c>
      <x:c r="F43" s="30" t="n">
        <x:v>0.5</x:v>
      </x:c>
      <x:c r="G43" s="17" t="n">
        <x:v>6405</x:v>
      </x:c>
      <x:c r="H43" s="17" t="n">
        <x:f>G43*F43</x:f>
        <x:v>3202.5</x:v>
      </x:c>
      <x:c r="I43" s="26" t="str">
        <x:f>HYPERLINK("https://etp-aktiv.ru/catalog/materialy/gsm/2000523092-W122/","Открыть позицию")</x:f>
        <x:v>Открыть позицию</x:v>
      </x:c>
    </x:row>
    <x:row r="44" ht="28" customHeight="1">
      <x:c r="A44" s="16" t="str">
        <x:v>Рубцовский ТЭК</x:v>
      </x:c>
      <x:c r="B44" s="16" t="str">
        <x:v>2000215710-W122</x:v>
      </x:c>
      <x:c r="C44" s="16" t="str">
        <x:v>НЕФРАС С2-80/120 ТУ38.401-67-108-92</x:v>
      </x:c>
      <x:c r="D44" s="16" t="str">
        <x:v>Лакокрасоч материалы</x:v>
      </x:c>
      <x:c r="E44" s="16" t="str">
        <x:v>КГ</x:v>
      </x:c>
      <x:c r="F44" s="24" t="n">
        <x:v>6.92</x:v>
      </x:c>
      <x:c r="G44" s="17" t="n">
        <x:v>132.492</x:v>
      </x:c>
      <x:c r="H44" s="17" t="n">
        <x:f>G44*F44</x:f>
        <x:v>916.8446399999999</x:v>
      </x:c>
      <x:c r="I44" s="26" t="str">
        <x:f>HYPERLINK("https://etp-aktiv.ru/catalog/materialy/lakokrasochnye-materialy/2000215710-W122/","Открыть позицию")</x:f>
        <x:v>Открыть позицию</x:v>
      </x:c>
    </x:row>
    <x:row r="45" ht="28" customHeight="1">
      <x:c r="A45" s="16" t="str">
        <x:v>Рубцовский ТЭК</x:v>
      </x:c>
      <x:c r="B45" s="16" t="str">
        <x:v>2000303982-W122</x:v>
      </x:c>
      <x:c r="C45" s="16" t="str">
        <x:v>ОБЕЗЖИРИВАТЕЛЬ 10700 1Л</x:v>
      </x:c>
      <x:c r="D45" s="16" t="str">
        <x:v>Проч химич материалы</x:v>
      </x:c>
      <x:c r="E45" s="16" t="str">
        <x:v>ШТ</x:v>
      </x:c>
      <x:c r="F45" s="25" t="n">
        <x:v>25</x:v>
      </x:c>
      <x:c r="G45" s="17" t="n">
        <x:v>205.875</x:v>
      </x:c>
      <x:c r="H45" s="17" t="n">
        <x:f>G45*F45</x:f>
        <x:v>5146.875</x:v>
      </x:c>
      <x:c r="I45" s="26" t="str">
        <x:f>HYPERLINK("https://etp-aktiv.ru/catalog/materialy/himicheskaya-produkciya/2000303982-W122/","Открыть позицию")</x:f>
        <x:v>Открыть позицию</x:v>
      </x:c>
    </x:row>
    <x:row r="46" ht="28" customHeight="1">
      <x:c r="A46" s="16" t="str">
        <x:v>Рубцовский ТЭК</x:v>
      </x:c>
      <x:c r="B46" s="16" t="str">
        <x:v>2000477272-W122</x:v>
      </x:c>
      <x:c r="C46" s="16" t="str">
        <x:v>ПОРОШОК ГРАФИТОВЫЙ ГИИ-А ТУ1916-109-071</x:v>
      </x:c>
      <x:c r="D46" s="16" t="str">
        <x:v>Проч химич материалы</x:v>
      </x:c>
      <x:c r="E46" s="16" t="str">
        <x:v>КГ</x:v>
      </x:c>
      <x:c r="F46" s="24" t="n">
        <x:v>46.63</x:v>
      </x:c>
      <x:c r="G46" s="17" t="n">
        <x:v>267.6558</x:v>
      </x:c>
      <x:c r="H46" s="17" t="n">
        <x:f>G46*F46</x:f>
        <x:v>12480.789954</x:v>
      </x:c>
      <x:c r="I46" s="26" t="str">
        <x:f>HYPERLINK("https://etp-aktiv.ru/catalog/materialy/himicheskaya-produkciya/2000477272-W122/","Открыть позицию")</x:f>
        <x:v>Открыть позицию</x:v>
      </x:c>
    </x:row>
    <x:row r="47" ht="28" customHeight="1">
      <x:c r="A47" s="16" t="str">
        <x:v>Рубцовский ТЭК</x:v>
      </x:c>
      <x:c r="B47" s="16" t="str">
        <x:v>2000530837-W122</x:v>
      </x:c>
      <x:c r="C47" s="16" t="str">
        <x:v>ПОРОШОК ГРАФИТОВЫЙ ОСЧ ГОСТ23463-79</x:v>
      </x:c>
      <x:c r="D47" s="16" t="str">
        <x:v>Химические реактивы</x:v>
      </x:c>
      <x:c r="E47" s="16" t="str">
        <x:v>КГ</x:v>
      </x:c>
      <x:c r="F47" s="24" t="n">
        <x:v>1.83</x:v>
      </x:c>
      <x:c r="G47" s="17" t="n">
        <x:v>25667.091999999997</x:v>
      </x:c>
      <x:c r="H47" s="17" t="n">
        <x:f>G47*F47</x:f>
        <x:v>46970.77836</x:v>
      </x:c>
      <x:c r="I47" s="26" t="str">
        <x:f>HYPERLINK("https://etp-aktiv.ru/catalog/materialy/himicheskaya-produkciya/2000530837-W122/","Открыть позицию")</x:f>
        <x:v>Открыть позицию</x:v>
      </x:c>
    </x:row>
    <x:row r="48" ht="28" customHeight="1">
      <x:c r="A48" s="16" t="str">
        <x:v>Рубцовский ТЭК</x:v>
      </x:c>
      <x:c r="B48" s="16" t="str">
        <x:v>2000280553-W122</x:v>
      </x:c>
      <x:c r="C48" s="16" t="str">
        <x:v>РАСТВОРИТЕЛЬ УАЙТ-СПИРИТ 0,5Л</x:v>
      </x:c>
      <x:c r="D48" s="16" t="str">
        <x:v>Лакокрасоч материалы</x:v>
      </x:c>
      <x:c r="E48" s="16" t="str">
        <x:v>ШТ</x:v>
      </x:c>
      <x:c r="F48" s="30" t="n">
        <x:v>0.61</x:v>
      </x:c>
      <x:c r="G48" s="17" t="n">
        <x:v>107.1892</x:v>
      </x:c>
      <x:c r="H48" s="17" t="n">
        <x:f>G48*F48</x:f>
        <x:v>65.385412</x:v>
      </x:c>
      <x:c r="I48" s="26" t="str">
        <x:f>HYPERLINK("https://etp-aktiv.ru/catalog/materialy/lakokrasochnye-materialy/2000280553-W122/","Открыть позицию")</x:f>
        <x:v>Открыть позицию</x:v>
      </x:c>
    </x:row>
    <x:row r="49" ht="28" customHeight="1">
      <x:c r="A49" s="16" t="str">
        <x:v>Рубцовский ТЭК</x:v>
      </x:c>
      <x:c r="B49" s="16" t="str">
        <x:v>2000192439-W122</x:v>
      </x:c>
      <x:c r="C49" s="16" t="str">
        <x:v>СМАЗКА ЛИТОЛ-24 (КГ)</x:v>
      </x:c>
      <x:c r="D49" s="16" t="str">
        <x:v>Масла и смазки</x:v>
      </x:c>
      <x:c r="E49" s="16" t="str">
        <x:v>КГ</x:v>
      </x:c>
      <x:c r="F49" s="24" t="n">
        <x:v>153.115</x:v>
      </x:c>
      <x:c r="G49" s="17" t="n">
        <x:v>239.08339999999998</x:v>
      </x:c>
      <x:c r="H49" s="17" t="n">
        <x:f>G49*F49</x:f>
        <x:v>36607.254791</x:v>
      </x:c>
      <x:c r="I49" s="26" t="str">
        <x:f>HYPERLINK("https://etp-aktiv.ru/catalog/materialy/gsm/2000192439-W122/","Открыть позицию")</x:f>
        <x:v>Открыть позицию</x:v>
      </x:c>
    </x:row>
    <x:row r="50" ht="28" customHeight="1">
      <x:c r="A50" s="16" t="str">
        <x:v>Рубцовский ТЭК</x:v>
      </x:c>
      <x:c r="B50" s="16" t="str">
        <x:v>2000211756-W122</x:v>
      </x:c>
      <x:c r="C50" s="16" t="str">
        <x:v>СМАЗКА ЦИАТИМ-221</x:v>
      </x:c>
      <x:c r="D50" s="16" t="str">
        <x:v>Масла и смазки</x:v>
      </x:c>
      <x:c r="E50" s="16" t="str">
        <x:v>КГ</x:v>
      </x:c>
      <x:c r="F50" s="30" t="n">
        <x:v>0.1</x:v>
      </x:c>
      <x:c r="G50" s="17" t="n">
        <x:v>887.55</x:v>
      </x:c>
      <x:c r="H50" s="17" t="n">
        <x:f>G50*F50</x:f>
        <x:v>88.755</x:v>
      </x:c>
      <x:c r="I50" s="26" t="str">
        <x:f>HYPERLINK("https://etp-aktiv.ru/catalog/materialy/gsm/2000211756-W122/","Открыть позицию")</x:f>
        <x:v>Открыть позицию</x:v>
      </x:c>
    </x:row>
    <x:row r="51" ht="28" customHeight="1">
      <x:c r="A51" s="16" t="str">
        <x:v>Рубцовский ТЭК</x:v>
      </x:c>
      <x:c r="B51" s="16" t="str">
        <x:v>2000461125-W122</x:v>
      </x:c>
      <x:c r="C51" s="16" t="str">
        <x:v>СОЛЬВЕНТ МАРКА Б ГОСТ1928-79</x:v>
      </x:c>
      <x:c r="D51" s="16" t="str">
        <x:v>Лакокрасоч материалы</x:v>
      </x:c>
      <x:c r="E51" s="16" t="str">
        <x:v>КГ</x:v>
      </x:c>
      <x:c r="F51" s="25" t="n">
        <x:v>4</x:v>
      </x:c>
      <x:c r="G51" s="17" t="n">
        <x:v>177.022</x:v>
      </x:c>
      <x:c r="H51" s="17" t="n">
        <x:f>G51*F51</x:f>
        <x:v>708.088</x:v>
      </x:c>
      <x:c r="I51" s="26" t="str">
        <x:f>HYPERLINK("https://etp-aktiv.ru/catalog/materialy/lakokrasochnye-materialy/2000461125-W122/","Открыть позицию")</x:f>
        <x:v>Открыть позицию</x:v>
      </x:c>
    </x:row>
    <x:row r="52" ht="28" customHeight="1">
      <x:c r="A52" s="16" t="str">
        <x:v>Рубцовский ТЭК</x:v>
      </x:c>
      <x:c r="B52" s="16" t="str">
        <x:v>2000450958-W122</x:v>
      </x:c>
      <x:c r="C52" s="16" t="str">
        <x:v>СПИРТ ИЗОПРОПИЛОВЫЙ ЧИСТЫЙ Ч</x:v>
      </x:c>
      <x:c r="D52" s="16" t="str">
        <x:v>Проч химич материалы</x:v>
      </x:c>
      <x:c r="E52" s="16" t="str">
        <x:v>Л</x:v>
      </x:c>
      <x:c r="F52" s="25" t="n">
        <x:v>5</x:v>
      </x:c>
      <x:c r="G52" s="17" t="n">
        <x:v>114.375</x:v>
      </x:c>
      <x:c r="H52" s="17" t="n">
        <x:f>G52*F52</x:f>
        <x:v>571.875</x:v>
      </x:c>
      <x:c r="I52" s="26" t="str">
        <x:f>HYPERLINK("https://etp-aktiv.ru/catalog/materialy/himicheskaya-produkciya/2000450958-W122/","Открыть позицию")</x:f>
        <x:v>Открыть позицию</x:v>
      </x:c>
    </x:row>
    <x:row r="53" ht="28" customHeight="1">
      <x:c r="A53" s="16" t="str">
        <x:v>Рубцовский ТЭК</x:v>
      </x:c>
      <x:c r="B53" s="16" t="str">
        <x:v>2000040963-W122</x:v>
      </x:c>
      <x:c r="C53" s="16" t="str">
        <x:v>СРЕДСТВО МОЮЩ МС-37 ГОСТ22567.15-95</x:v>
      </x:c>
      <x:c r="D53" s="16" t="str">
        <x:v>Проч химич материалы</x:v>
      </x:c>
      <x:c r="E53" s="16" t="str">
        <x:v>КГ</x:v>
      </x:c>
      <x:c r="F53" s="24" t="n">
        <x:v>38.8</x:v>
      </x:c>
      <x:c r="G53" s="17" t="n">
        <x:v>46.8968</x:v>
      </x:c>
      <x:c r="H53" s="17" t="n">
        <x:f>G53*F53</x:f>
        <x:v>1819.5958399999997</x:v>
      </x:c>
      <x:c r="I53" s="26" t="str">
        <x:f>HYPERLINK("https://etp-aktiv.ru/catalog/materialy/himicheskaya-produkciya/2000040963-W122/","Открыть позицию")</x:f>
        <x:v>Открыть позицию</x:v>
      </x:c>
    </x:row>
    <x:row r="54" ht="28" customHeight="1">
      <x:c r="A54" s="16" t="str">
        <x:v>Рубцовский ТЭК</x:v>
      </x:c>
      <x:c r="B54" s="16" t="str">
        <x:v>2000230836-W122</x:v>
      </x:c>
      <x:c r="C54" s="16" t="str">
        <x:v>УАЙТ-СПИРИТ 1Л</x:v>
      </x:c>
      <x:c r="D54" s="16" t="str">
        <x:v>Лакокрасоч материалы</x:v>
      </x:c>
      <x:c r="E54" s="16" t="str">
        <x:v>ШТ</x:v>
      </x:c>
      <x:c r="F54" s="24" t="n">
        <x:v>1.245</x:v>
      </x:c>
      <x:c r="G54" s="17" t="n">
        <x:v>119.5966</x:v>
      </x:c>
      <x:c r="H54" s="17" t="n">
        <x:f>G54*F54</x:f>
        <x:v>148.89776700000002</x:v>
      </x:c>
      <x:c r="I54" s="26" t="str">
        <x:f>HYPERLINK("https://etp-aktiv.ru/catalog/materialy/lakokrasochnye-materialy/2000230836-W122/","Открыть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5808ae3cacdf40fc"/>
  </x:tableParts>
</x:worksheet>
</file>

<file path=xl/worksheets/sheet1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Авто- и спецтехника: запасные части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2000008067-W111</x:v>
      </x:c>
      <x:c r="C5" s="16" t="str">
        <x:v>РЫЧАГ РЕГУЛИРОВОЧНЫЙ 53229-3502136</x:v>
      </x:c>
      <x:c r="D5" s="16" t="str">
        <x:v>ЗЧ автотрансп оборуд</x:v>
      </x:c>
      <x:c r="E5" s="16" t="str">
        <x:v>ШТ</x:v>
      </x:c>
      <x:c r="F5" s="25" t="n">
        <x:v>1</x:v>
      </x:c>
      <x:c r="G5" s="17" t="n">
        <x:v>686.25</x:v>
      </x:c>
      <x:c r="H5" s="17" t="n">
        <x:f>G5*F5</x:f>
        <x:v>686.25</x:v>
      </x:c>
      <x:c r="I5" s="26" t="str">
        <x:f>HYPERLINK("https://etp-aktiv.ru/catalog/materialy/zapasnye-chasti-k-avtotransportnomu-oborudovaniyu/2000008067-W111/","Открыть позицию")</x:f>
        <x:v>Открыть позицию</x:v>
      </x:c>
    </x:row>
    <x:row r="6" ht="28" customHeight="1">
      <x:c r="A6" s="16" t="str">
        <x:v>Барнаульская ТЭЦ-2</x:v>
      </x:c>
      <x:c r="B6" s="16" t="str">
        <x:v>2000048879-W111</x:v>
      </x:c>
      <x:c r="C6" s="16" t="str">
        <x:v>РЫЧАГ РЕГУЛИРОВОЧНЫЙ 53229-3502237</x:v>
      </x:c>
      <x:c r="D6" s="16" t="str">
        <x:v>ЗЧ автотрансп оборуд</x:v>
      </x:c>
      <x:c r="E6" s="16" t="str">
        <x:v>ШТ</x:v>
      </x:c>
      <x:c r="F6" s="25" t="n">
        <x:v>1</x:v>
      </x:c>
      <x:c r="G6" s="17" t="n">
        <x:v>1229.0768</x:v>
      </x:c>
      <x:c r="H6" s="17" t="n">
        <x:f>G6*F6</x:f>
        <x:v>1229.0768</x:v>
      </x:c>
      <x:c r="I6" s="26" t="str">
        <x:f>HYPERLINK("https://etp-aktiv.ru/catalog/materialy/zapasnye-chasti-k-avtotransportnomu-oborudovaniyu/2000048879-W111/","Открыть позицию")</x:f>
        <x:v>Открыть позицию</x:v>
      </x:c>
    </x:row>
    <x:row r="7" ht="28" customHeight="1">
      <x:c r="A7" s="16" t="str">
        <x:v>Барнаульская ТЭЦ-2</x:v>
      </x:c>
      <x:c r="B7" s="16" t="str">
        <x:v>2000131023-W111</x:v>
      </x:c>
      <x:c r="C7" s="16" t="str">
        <x:v>ФИЛЬТР ВОЗДУШНЫЙ 3110-1109013-10</x:v>
      </x:c>
      <x:c r="D7" s="16" t="str">
        <x:v>Фильтры СпецТ/АвТран</x:v>
      </x:c>
      <x:c r="E7" s="16" t="str">
        <x:v>ШТ</x:v>
      </x:c>
      <x:c r="F7" s="25" t="n">
        <x:v>1</x:v>
      </x:c>
      <x:c r="G7" s="17" t="n">
        <x:v>240.19359999999998</x:v>
      </x:c>
      <x:c r="H7" s="17" t="n">
        <x:f>G7*F7</x:f>
        <x:v>240.19359999999998</x:v>
      </x:c>
      <x:c r="I7" s="26" t="str">
        <x:f>HYPERLINK("https://etp-aktiv.ru/catalog/materialy/zapasnye-chasti-k-avtotransportnomu-oborudovaniyu/2000131023-W111/","Открыть позицию")</x:f>
        <x:v>Открыть позицию</x:v>
      </x:c>
    </x:row>
    <x:row r="8" ht="28" customHeight="1">
      <x:c r="A8" s="16" t="str">
        <x:v>Барнаульская ТЭЦ-2</x:v>
      </x:c>
      <x:c r="B8" s="16" t="str">
        <x:v>2000231625-W111</x:v>
      </x:c>
      <x:c r="C8" s="16" t="str">
        <x:v>ФИЛЬТР ВОЗДУШНЫЙ 31512-1109080</x:v>
      </x:c>
      <x:c r="D8" s="16" t="str">
        <x:v>Фильтры СпецТ/АвТран</x:v>
      </x:c>
      <x:c r="E8" s="16" t="str">
        <x:v>ШТ</x:v>
      </x:c>
      <x:c r="F8" s="25" t="n">
        <x:v>1</x:v>
      </x:c>
      <x:c r="G8" s="17" t="n">
        <x:v>104.66380000000001</x:v>
      </x:c>
      <x:c r="H8" s="17" t="n">
        <x:f>G8*F8</x:f>
        <x:v>104.66380000000001</x:v>
      </x:c>
      <x:c r="I8" s="26" t="str">
        <x:f>HYPERLINK("https://etp-aktiv.ru/catalog/materialy/zapasnye-chasti-k-avtotransportnomu-oborudovaniyu/2000231625-W111/","Открыть позицию")</x:f>
        <x:v>Открыть позицию</x:v>
      </x:c>
    </x:row>
    <x:row r="9" ht="28" customHeight="1">
      <x:c r="A9" s="16" t="str">
        <x:v>Барнаульская ТЭЦ-2</x:v>
      </x:c>
      <x:c r="B9" s="16" t="str">
        <x:v>2000590130-W111</x:v>
      </x:c>
      <x:c r="C9" s="16" t="str">
        <x:v>ФИЛЬТР ГИДРАВЛИЧЕСКИЙ RTE48D10B</x:v>
      </x:c>
      <x:c r="D9" s="16" t="str">
        <x:v>Фильтры СпецТ/АвТран</x:v>
      </x:c>
      <x:c r="E9" s="16" t="str">
        <x:v>ШТ</x:v>
      </x:c>
      <x:c r="F9" s="25" t="n">
        <x:v>5</x:v>
      </x:c>
      <x:c r="G9" s="17" t="n">
        <x:v>686.25</x:v>
      </x:c>
      <x:c r="H9" s="17" t="n">
        <x:f>G9*F9</x:f>
        <x:v>3431.25</x:v>
      </x:c>
      <x:c r="I9" s="26" t="str">
        <x:f>HYPERLINK("https://etp-aktiv.ru/catalog/materialy/zapasnye-chasti-k-avtotransportnomu-oborudovaniyu/2000590130-W111/","Открыть позицию")</x:f>
        <x:v>Открыть позицию</x:v>
      </x:c>
    </x:row>
    <x:row r="10" ht="28" customHeight="1">
      <x:c r="A10" s="16" t="str">
        <x:v>Барнаульская ТЭЦ-2</x:v>
      </x:c>
      <x:c r="B10" s="16" t="str">
        <x:v>2000475634-W111</x:v>
      </x:c>
      <x:c r="C10" s="16" t="str">
        <x:v>ФИЛЬТР МАСЛЯНЫЙ 04152-YZZA1</x:v>
      </x:c>
      <x:c r="D10" s="16" t="str">
        <x:v>Фильтры СпецТ/АвТран</x:v>
      </x:c>
      <x:c r="E10" s="16" t="str">
        <x:v>ШТ</x:v>
      </x:c>
      <x:c r="F10" s="25" t="n">
        <x:v>2</x:v>
      </x:c>
      <x:c r="G10" s="17" t="n">
        <x:v>251.3932</x:v>
      </x:c>
      <x:c r="H10" s="17" t="n">
        <x:f>G10*F10</x:f>
        <x:v>502.7864</x:v>
      </x:c>
      <x:c r="I10" s="26" t="str">
        <x:f>HYPERLINK("https://etp-aktiv.ru/catalog/materialy/zapasnye-chasti-k-avtotransportnomu-oborudovaniyu/2000475634-W111/","Открыть позицию")</x:f>
        <x:v>Открыть позицию</x:v>
      </x:c>
    </x:row>
    <x:row r="11" ht="28" customHeight="1">
      <x:c r="A11" s="16" t="str">
        <x:v>Барнаульская ТЭЦ-2</x:v>
      </x:c>
      <x:c r="B11" s="16" t="str">
        <x:v>2000529644-W111</x:v>
      </x:c>
      <x:c r="C11" s="16" t="str">
        <x:v>ФИЛЬТР МАСЛЯНЫЙ 04152-YZZA6</x:v>
      </x:c>
      <x:c r="D11" s="16" t="str">
        <x:v>Фильтры СпецТ/АвТран</x:v>
      </x:c>
      <x:c r="E11" s="16" t="str">
        <x:v>ШТ</x:v>
      </x:c>
      <x:c r="F11" s="25" t="n">
        <x:v>1</x:v>
      </x:c>
      <x:c r="G11" s="17" t="n">
        <x:v>219.6</x:v>
      </x:c>
      <x:c r="H11" s="17" t="n">
        <x:f>G11*F11</x:f>
        <x:v>219.6</x:v>
      </x:c>
      <x:c r="I11" s="26" t="str">
        <x:f>HYPERLINK("https://etp-aktiv.ru/catalog/materialy/zapasnye-chasti-k-avtotransportnomu-oborudovaniyu/2000529644-W111/","Открыть позицию")</x:f>
        <x:v>Открыть позицию</x:v>
      </x:c>
    </x:row>
    <x:row r="12" ht="28" customHeight="1">
      <x:c r="A12" s="16" t="str">
        <x:v>Барнаульская ТЭЦ-2</x:v>
      </x:c>
      <x:c r="B12" s="16" t="str">
        <x:v>2000001761-W111</x:v>
      </x:c>
      <x:c r="C12" s="16" t="str">
        <x:v>ФИЛЬТР МАСЛЯНЫЙ 740-1012040</x:v>
      </x:c>
      <x:c r="D12" s="16" t="str">
        <x:v>Фильтры СпецТ/АвТран</x:v>
      </x:c>
      <x:c r="E12" s="16" t="str">
        <x:v>ШТ</x:v>
      </x:c>
      <x:c r="F12" s="25" t="n">
        <x:v>2</x:v>
      </x:c>
      <x:c r="G12" s="17" t="n">
        <x:v>73.6636</x:v>
      </x:c>
      <x:c r="H12" s="17" t="n">
        <x:f>G12*F12</x:f>
        <x:v>147.3272</x:v>
      </x:c>
      <x:c r="I12" s="26" t="str">
        <x:f>HYPERLINK("https://etp-aktiv.ru/catalog/materialy/zapasnye-chasti-k-avtotransportnomu-oborudovaniyu/2000001761-W111/","Открыть позицию")</x:f>
        <x:v>Открыть позицию</x:v>
      </x:c>
    </x:row>
    <x:row r="13" ht="28" customHeight="1">
      <x:c r="A13" s="16" t="str">
        <x:v>Барнаульская ТЭЦ-2</x:v>
      </x:c>
      <x:c r="B13" s="16" t="str">
        <x:v>2000169108-W111</x:v>
      </x:c>
      <x:c r="C13" s="16" t="str">
        <x:v>ФИЛЬТР ТОПЛИВНЫЙ 740-1117040-09</x:v>
      </x:c>
      <x:c r="D13" s="16" t="str">
        <x:v>Фильтры СпецТ/АвТран</x:v>
      </x:c>
      <x:c r="E13" s="16" t="str">
        <x:v>ШТ</x:v>
      </x:c>
      <x:c r="F13" s="25" t="n">
        <x:v>2</x:v>
      </x:c>
      <x:c r="G13" s="17" t="n">
        <x:v>74.3468</x:v>
      </x:c>
      <x:c r="H13" s="17" t="n">
        <x:f>G13*F13</x:f>
        <x:v>148.6936</x:v>
      </x:c>
      <x:c r="I13" s="26" t="str">
        <x:f>HYPERLINK("https://etp-aktiv.ru/catalog/materialy/zapasnye-chasti-k-avtotransportnomu-oborudovaniyu/2000169108-W111/","Открыть позицию")</x:f>
        <x:v>Открыть позицию</x:v>
      </x:c>
    </x:row>
    <x:row r="14" ht="28" customHeight="1">
      <x:c r="A14" s="16" t="str">
        <x:v>Барнаульская ТЭЦ-3</x:v>
      </x:c>
      <x:c r="B14" s="16" t="str">
        <x:v>2000384983-W112</x:v>
      </x:c>
      <x:c r="C14" s="16" t="str">
        <x:v>АККУМУЛЯТОР СВИНЦОВЫЙ 12В 6 СТ 100 L</x:v>
      </x:c>
      <x:c r="D14" s="16" t="str">
        <x:v>АКБ для транспорта</x:v>
      </x:c>
      <x:c r="E14" s="16" t="str">
        <x:v>ШТ</x:v>
      </x:c>
      <x:c r="F14" s="25" t="n">
        <x:v>2</x:v>
      </x:c>
      <x:c r="G14" s="17" t="n">
        <x:v>3705.75</x:v>
      </x:c>
      <x:c r="H14" s="17" t="n">
        <x:f>G14*F14</x:f>
        <x:v>7411.5</x:v>
      </x:c>
      <x:c r="I14" s="26" t="str">
        <x:f>HYPERLINK("https://etp-aktiv.ru/catalog/materialy/akkumulyatory/2000384983-W112/","Открыть позицию")</x:f>
        <x:v>Открыть позицию</x:v>
      </x:c>
    </x:row>
    <x:row r="15" ht="28" customHeight="1">
      <x:c r="A15" s="16" t="str">
        <x:v>Барнаульская ТЭЦ-3</x:v>
      </x:c>
      <x:c r="B15" s="16" t="str">
        <x:v>2000444608-W112</x:v>
      </x:c>
      <x:c r="C15" s="16" t="str">
        <x:v>БАЧОК 21213-5208102-20</x:v>
      </x:c>
      <x:c r="D15" s="16" t="str">
        <x:v>ЗЧ автотрансп оборуд</x:v>
      </x:c>
      <x:c r="E15" s="16" t="str">
        <x:v>ШТ</x:v>
      </x:c>
      <x:c r="F15" s="25" t="n">
        <x:v>1</x:v>
      </x:c>
      <x:c r="G15" s="17" t="n">
        <x:v>71.2724</x:v>
      </x:c>
      <x:c r="H15" s="17" t="n">
        <x:f>G15*F15</x:f>
        <x:v>71.2724</x:v>
      </x:c>
      <x:c r="I15" s="26" t="str">
        <x:f>HYPERLINK("https://etp-aktiv.ru/catalog/materialy/zapasnye-chasti-k-avtotransportnomu-oborudovaniyu/2000444608-W112/","Открыть позицию")</x:f>
        <x:v>Открыть позицию</x:v>
      </x:c>
    </x:row>
    <x:row r="16" ht="28" customHeight="1">
      <x:c r="A16" s="16" t="str">
        <x:v>Барнаульская ТЭЦ-3</x:v>
      </x:c>
      <x:c r="B16" s="16" t="str">
        <x:v>2000778470-W112</x:v>
      </x:c>
      <x:c r="C16" s="16" t="str">
        <x:v>БАЧОК РАСШИРИТЕЛЬНЫЙ 2101-1311014</x:v>
      </x:c>
      <x:c r="D16" s="16" t="str">
        <x:v>ЗЧ автотрансп оборуд</x:v>
      </x:c>
      <x:c r="E16" s="16" t="str">
        <x:v>ШТ</x:v>
      </x:c>
      <x:c r="F16" s="25" t="n">
        <x:v>1</x:v>
      </x:c>
      <x:c r="G16" s="17" t="n">
        <x:v>22.875</x:v>
      </x:c>
      <x:c r="H16" s="17" t="n">
        <x:f>G16*F16</x:f>
        <x:v>22.875</x:v>
      </x:c>
      <x:c r="I16" s="26" t="str">
        <x:f>HYPERLINK("https://etp-aktiv.ru/catalog/materialy/zapasnye-chasti-k-avtotransportnomu-oborudovaniyu/2000778470-W112/","Открыть позицию")</x:f>
        <x:v>Открыть позицию</x:v>
      </x:c>
    </x:row>
    <x:row r="17" ht="28" customHeight="1">
      <x:c r="A17" s="16" t="str">
        <x:v>Барнаульская ТЭЦ-3</x:v>
      </x:c>
      <x:c r="B17" s="16" t="str">
        <x:v>2000332832-W112</x:v>
      </x:c>
      <x:c r="C17" s="16" t="str">
        <x:v>ВАЛ ОТБОРА МОЩНОСТИ ЗАДНИЙ 80-4202010А</x:v>
      </x:c>
      <x:c r="D17" s="16" t="str">
        <x:v>ЗЧ к ДСТ менее 20т</x:v>
      </x:c>
      <x:c r="E17" s="16" t="str">
        <x:v>ШТ</x:v>
      </x:c>
      <x:c r="F17" s="25" t="n">
        <x:v>1</x:v>
      </x:c>
      <x:c r="G17" s="17" t="n">
        <x:v>857.8186</x:v>
      </x:c>
      <x:c r="H17" s="17" t="n">
        <x:f>G17*F17</x:f>
        <x:v>857.8186</x:v>
      </x:c>
      <x:c r="I17" s="26" t="str">
        <x:f>HYPERLINK("https://etp-aktiv.ru/catalog/materialy/zapasnye-chasti-k-dorozhno-stroitelnoj-tekhnike/2000332832-W112/","Открыть позицию")</x:f>
        <x:v>Открыть позицию</x:v>
      </x:c>
    </x:row>
    <x:row r="18" ht="28" customHeight="1">
      <x:c r="A18" s="16" t="str">
        <x:v>Барнаульская ТЭЦ-3</x:v>
      </x:c>
      <x:c r="B18" s="16" t="str">
        <x:v>2000529504-W112</x:v>
      </x:c>
      <x:c r="C18" s="16" t="str">
        <x:v>ГОЛОВКА БЛОКА ЦИЛИНДРОВ 130Е-1003010-10</x:v>
      </x:c>
      <x:c r="D18" s="16" t="str">
        <x:v>ЗЧ автотрансп оборуд</x:v>
      </x:c>
      <x:c r="E18" s="16" t="str">
        <x:v>ШТ</x:v>
      </x:c>
      <x:c r="F18" s="25" t="n">
        <x:v>2</x:v>
      </x:c>
      <x:c r="G18" s="17" t="n">
        <x:v>5647.9778</x:v>
      </x:c>
      <x:c r="H18" s="17" t="n">
        <x:f>G18*F18</x:f>
        <x:v>11295.9556</x:v>
      </x:c>
      <x:c r="I18" s="26" t="str">
        <x:f>HYPERLINK("https://etp-aktiv.ru/catalog/materialy/zapasnye-chasti-k-avtotransportnomu-oborudovaniyu/2000529504-W112/","Открыть позицию")</x:f>
        <x:v>Открыть позицию</x:v>
      </x:c>
    </x:row>
    <x:row r="19" ht="28" customHeight="1">
      <x:c r="A19" s="16" t="str">
        <x:v>Барнаульская ТЭЦ-3</x:v>
      </x:c>
      <x:c r="B19" s="16" t="str">
        <x:v>2000138640-W112</x:v>
      </x:c>
      <x:c r="C19" s="16" t="str">
        <x:v>ДИСК ВЕДОМЫЙ 238-1601130-Б</x:v>
      </x:c>
      <x:c r="D19" s="16" t="str">
        <x:v>ЗЧ автотрансп оборуд</x:v>
      </x:c>
      <x:c r="E19" s="16" t="str">
        <x:v>ШТ</x:v>
      </x:c>
      <x:c r="F19" s="25" t="n">
        <x:v>1</x:v>
      </x:c>
      <x:c r="G19" s="17" t="n">
        <x:v>719.1899999999999</x:v>
      </x:c>
      <x:c r="H19" s="17" t="n">
        <x:f>G19*F19</x:f>
        <x:v>719.1899999999999</x:v>
      </x:c>
      <x:c r="I19" s="26" t="str">
        <x:f>HYPERLINK("https://etp-aktiv.ru/catalog/materialy/zapasnye-chasti-k-avtotransportnomu-oborudovaniyu/2000138640-W112/","Открыть позицию")</x:f>
        <x:v>Открыть позицию</x:v>
      </x:c>
    </x:row>
    <x:row r="20" ht="28" customHeight="1">
      <x:c r="A20" s="16" t="str">
        <x:v>Барнаульская ТЭЦ-3</x:v>
      </x:c>
      <x:c r="B20" s="16" t="str">
        <x:v>2000488797-W112</x:v>
      </x:c>
      <x:c r="C20" s="16" t="str">
        <x:v>ДИСК СЦЕПЛЕНИЯ ВЕДОМЫЙ 1878001501</x:v>
      </x:c>
      <x:c r="D20" s="16" t="str">
        <x:v>ЗЧ автотрансп оборуд</x:v>
      </x:c>
      <x:c r="E20" s="16" t="str">
        <x:v>ШТ</x:v>
      </x:c>
      <x:c r="F20" s="25" t="n">
        <x:v>1</x:v>
      </x:c>
      <x:c r="G20" s="17" t="n">
        <x:v>868.1031999999999</x:v>
      </x:c>
      <x:c r="H20" s="17" t="n">
        <x:f>G20*F20</x:f>
        <x:v>868.1031999999999</x:v>
      </x:c>
      <x:c r="I20" s="26" t="str">
        <x:f>HYPERLINK("https://etp-aktiv.ru/catalog/materialy/zapasnye-chasti-k-avtotransportnomu-oborudovaniyu/2000488797-W112/","Открыть позицию")</x:f>
        <x:v>Открыть позицию</x:v>
      </x:c>
    </x:row>
    <x:row r="21" ht="28" customHeight="1">
      <x:c r="A21" s="16" t="str">
        <x:v>Барнаульская ТЭЦ-3</x:v>
      </x:c>
      <x:c r="B21" s="16" t="str">
        <x:v>2000688495-W112</x:v>
      </x:c>
      <x:c r="C21" s="16" t="str">
        <x:v>ИЗДЕЛИЕ ОСТЕКЛЕНИЯ ЛОБОВ ПК46.51.00.105</x:v>
      </x:c>
      <x:c r="D21" s="16" t="str">
        <x:v>ЗЧ к ДСТ менее 20т</x:v>
      </x:c>
      <x:c r="E21" s="16" t="str">
        <x:v>ШТ</x:v>
      </x:c>
      <x:c r="F21" s="25" t="n">
        <x:v>2</x:v>
      </x:c>
      <x:c r="G21" s="17" t="n">
        <x:v>14682.7732</x:v>
      </x:c>
      <x:c r="H21" s="17" t="n">
        <x:f>G21*F21</x:f>
        <x:v>29365.5464</x:v>
      </x:c>
      <x:c r="I21" s="26" t="str">
        <x:f>HYPERLINK("https://etp-aktiv.ru/catalog/materialy/zapasnye-chasti-k-dorozhno-stroitelnoj-tekhnike/2000688495-W112/","Открыть позицию")</x:f>
        <x:v>Открыть позицию</x:v>
      </x:c>
    </x:row>
    <x:row r="22" ht="28" customHeight="1">
      <x:c r="A22" s="16" t="str">
        <x:v>Барнаульская ТЭЦ-3</x:v>
      </x:c>
      <x:c r="B22" s="16" t="str">
        <x:v>2000011101-W112</x:v>
      </x:c>
      <x:c r="C22" s="16" t="str">
        <x:v>КАМЕРА ТОРМОЗНАЯ 5336-3519200</x:v>
      </x:c>
      <x:c r="D22" s="16" t="str">
        <x:v>ЗЧ автотрансп оборуд</x:v>
      </x:c>
      <x:c r="E22" s="16" t="str">
        <x:v>ШТ</x:v>
      </x:c>
      <x:c r="F22" s="25" t="n">
        <x:v>2</x:v>
      </x:c>
      <x:c r="G22" s="17" t="n">
        <x:v>1094.1814</x:v>
      </x:c>
      <x:c r="H22" s="17" t="n">
        <x:f>G22*F22</x:f>
        <x:v>2188.3628</x:v>
      </x:c>
      <x:c r="I22" s="26" t="str">
        <x:f>HYPERLINK("https://etp-aktiv.ru/catalog/materialy/zapasnye-chasti-k-avtotransportnomu-oborudovaniyu/2000011101-W112/","Открыть позицию")</x:f>
        <x:v>Открыть позицию</x:v>
      </x:c>
    </x:row>
    <x:row r="23" ht="28" customHeight="1">
      <x:c r="A23" s="16" t="str">
        <x:v>Барнаульская ТЭЦ-3</x:v>
      </x:c>
      <x:c r="B23" s="16" t="str">
        <x:v>2000011199-W112</x:v>
      </x:c>
      <x:c r="C23" s="16" t="str">
        <x:v>КАРБЮРАТОР К-135</x:v>
      </x:c>
      <x:c r="D23" s="16" t="str">
        <x:v>ЗЧ автотрансп оборуд</x:v>
      </x:c>
      <x:c r="E23" s="16" t="str">
        <x:v>ШТ</x:v>
      </x:c>
      <x:c r="F23" s="25" t="n">
        <x:v>1</x:v>
      </x:c>
      <x:c r="G23" s="17" t="n">
        <x:v>2081.625</x:v>
      </x:c>
      <x:c r="H23" s="17" t="n">
        <x:f>G23*F23</x:f>
        <x:v>2081.625</x:v>
      </x:c>
      <x:c r="I23" s="26" t="str">
        <x:f>HYPERLINK("https://etp-aktiv.ru/catalog/materialy/zapasnye-chasti-k-avtotransportnomu-oborudovaniyu/2000011199-W112/","Открыть позицию")</x:f>
        <x:v>Открыть позицию</x:v>
      </x:c>
    </x:row>
    <x:row r="24" ht="28" customHeight="1">
      <x:c r="A24" s="16" t="str">
        <x:v>Барнаульская ТЭЦ-3</x:v>
      </x:c>
      <x:c r="B24" s="16" t="str">
        <x:v>2000011071-W112</x:v>
      </x:c>
      <x:c r="C24" s="16" t="str">
        <x:v>КАРБЮРАТОР К88АТ</x:v>
      </x:c>
      <x:c r="D24" s="16" t="str">
        <x:v>ЗЧ автотрансп оборуд</x:v>
      </x:c>
      <x:c r="E24" s="16" t="str">
        <x:v>ШТ</x:v>
      </x:c>
      <x:c r="F24" s="25" t="n">
        <x:v>1</x:v>
      </x:c>
      <x:c r="G24" s="17" t="n">
        <x:v>1434.8175999999999</x:v>
      </x:c>
      <x:c r="H24" s="17" t="n">
        <x:f>G24*F24</x:f>
        <x:v>1434.8175999999999</x:v>
      </x:c>
      <x:c r="I24" s="26" t="str">
        <x:f>HYPERLINK("https://etp-aktiv.ru/catalog/materialy/zapasnye-chasti-k-avtotransportnomu-oborudovaniyu/2000011071-W112/","Открыть позицию")</x:f>
        <x:v>Открыть позицию</x:v>
      </x:c>
    </x:row>
    <x:row r="25" ht="28" customHeight="1">
      <x:c r="A25" s="16" t="str">
        <x:v>Барнаульская ТЭЦ-3</x:v>
      </x:c>
      <x:c r="B25" s="16" t="str">
        <x:v>2000374376-W112</x:v>
      </x:c>
      <x:c r="C25" s="16" t="str">
        <x:v>КАТУШКА ЗАЖИГАНИЯ Б-116-02</x:v>
      </x:c>
      <x:c r="D25" s="16" t="str">
        <x:v>ЗЧ автотрансп оборуд</x:v>
      </x:c>
      <x:c r="E25" s="16" t="str">
        <x:v>ШТ</x:v>
      </x:c>
      <x:c r="F25" s="25" t="n">
        <x:v>2</x:v>
      </x:c>
      <x:c r="G25" s="17" t="n">
        <x:v>124.196</x:v>
      </x:c>
      <x:c r="H25" s="17" t="n">
        <x:f>G25*F25</x:f>
        <x:v>248.392</x:v>
      </x:c>
      <x:c r="I25" s="26" t="str">
        <x:f>HYPERLINK("https://etp-aktiv.ru/catalog/materialy/zapasnye-chasti-k-avtotransportnomu-oborudovaniyu/2000374376-W112/","Открыть позицию")</x:f>
        <x:v>Открыть позицию</x:v>
      </x:c>
    </x:row>
    <x:row r="26" ht="28" customHeight="1">
      <x:c r="A26" s="16" t="str">
        <x:v>Барнаульская ТЭЦ-3</x:v>
      </x:c>
      <x:c r="B26" s="16" t="str">
        <x:v>2000465670-W112</x:v>
      </x:c>
      <x:c r="C26" s="16" t="str">
        <x:v>КОЛОДКА ТОРМОЗНАЯ 04495-60060</x:v>
      </x:c>
      <x:c r="D26" s="16" t="str">
        <x:v>ЗЧ автотрансп оборуд</x:v>
      </x:c>
      <x:c r="E26" s="16" t="str">
        <x:v>КМП</x:v>
      </x:c>
      <x:c r="F26" s="25" t="n">
        <x:v>1</x:v>
      </x:c>
      <x:c r="G26" s="17" t="n">
        <x:v>531.0903999999999</x:v>
      </x:c>
      <x:c r="H26" s="17" t="n">
        <x:f>G26*F26</x:f>
        <x:v>531.0903999999999</x:v>
      </x:c>
      <x:c r="I26" s="26" t="str">
        <x:f>HYPERLINK("https://etp-aktiv.ru/catalog/materialy/zapasnye-chasti-k-avtotransportnomu-oborudovaniyu/2000465670-W112/","Открыть позицию")</x:f>
        <x:v>Открыть позицию</x:v>
      </x:c>
    </x:row>
    <x:row r="27" ht="28" customHeight="1">
      <x:c r="A27" s="16" t="str">
        <x:v>Барнаульская ТЭЦ-3</x:v>
      </x:c>
      <x:c r="B27" s="16" t="str">
        <x:v>2000523499-W112</x:v>
      </x:c>
      <x:c r="C27" s="16" t="str">
        <x:v>КОЛЬЦО 022-026-25-2-51-1668</x:v>
      </x:c>
      <x:c r="D27" s="16" t="str">
        <x:v>ЗЧ КарьернТехнЧетра</x:v>
      </x:c>
      <x:c r="E27" s="16" t="str">
        <x:v>ШТ</x:v>
      </x:c>
      <x:c r="F27" s="25" t="n">
        <x:v>10</x:v>
      </x:c>
      <x:c r="G27" s="17" t="n">
        <x:v>62.6226</x:v>
      </x:c>
      <x:c r="H27" s="17" t="n">
        <x:f>G27*F27</x:f>
        <x:v>626.226</x:v>
      </x:c>
      <x:c r="I27" s="26" t="str">
        <x:f>HYPERLINK("https://etp-aktiv.ru/catalog/materialy/zapasnye-chasti-k-dorozhno-stroitelnoj-tekhnike/2000523499-W112/","Открыть позицию")</x:f>
        <x:v>Открыть позицию</x:v>
      </x:c>
    </x:row>
    <x:row r="28" ht="28" customHeight="1">
      <x:c r="A28" s="16" t="str">
        <x:v>Барнаульская ТЭЦ-3</x:v>
      </x:c>
      <x:c r="B28" s="16" t="str">
        <x:v>2000329862-W112</x:v>
      </x:c>
      <x:c r="C28" s="16" t="str">
        <x:v>КОРЗИНА СЦЕПЛЕНИЯ 236К-1601090-Б2</x:v>
      </x:c>
      <x:c r="D28" s="16" t="str">
        <x:v>ЗЧ автотрансп оборуд</x:v>
      </x:c>
      <x:c r="E28" s="16" t="str">
        <x:v>ШТ</x:v>
      </x:c>
      <x:c r="F28" s="25" t="n">
        <x:v>1</x:v>
      </x:c>
      <x:c r="G28" s="17" t="n">
        <x:v>8062.065</x:v>
      </x:c>
      <x:c r="H28" s="17" t="n">
        <x:f>G28*F28</x:f>
        <x:v>8062.065</x:v>
      </x:c>
      <x:c r="I28" s="26" t="str">
        <x:f>HYPERLINK("https://etp-aktiv.ru/catalog/materialy/zapasnye-chasti-k-avtotransportnomu-oborudovaniyu/2000329862-W112/","Открыть позицию")</x:f>
        <x:v>Открыть позицию</x:v>
      </x:c>
    </x:row>
    <x:row r="29" ht="28" customHeight="1">
      <x:c r="A29" s="16" t="str">
        <x:v>Барнаульская ТЭЦ-3</x:v>
      </x:c>
      <x:c r="B29" s="16" t="str">
        <x:v>2000529589-W112</x:v>
      </x:c>
      <x:c r="C29" s="16" t="str">
        <x:v>КРЕСТОВИНА 24-2201025-02</x:v>
      </x:c>
      <x:c r="D29" s="16" t="str">
        <x:v>ЗЧ автотрансп оборуд</x:v>
      </x:c>
      <x:c r="E29" s="16" t="str">
        <x:v>ШТ</x:v>
      </x:c>
      <x:c r="F29" s="25" t="n">
        <x:v>3</x:v>
      </x:c>
      <x:c r="G29" s="17" t="n">
        <x:v>95.2332</x:v>
      </x:c>
      <x:c r="H29" s="17" t="n">
        <x:f>G29*F29</x:f>
        <x:v>285.6996</x:v>
      </x:c>
      <x:c r="I29" s="26" t="str">
        <x:f>HYPERLINK("https://etp-aktiv.ru/catalog/materialy/zapasnye-chasti-k-avtotransportnomu-oborudovaniyu/2000529589-W112/","Открыть позицию")</x:f>
        <x:v>Открыть позицию</x:v>
      </x:c>
    </x:row>
    <x:row r="30" ht="28" customHeight="1">
      <x:c r="A30" s="16" t="str">
        <x:v>Барнаульская ТЭЦ-3</x:v>
      </x:c>
      <x:c r="B30" s="16" t="str">
        <x:v>2000001334-W112</x:v>
      </x:c>
      <x:c r="C30" s="16" t="str">
        <x:v>МЕМБРАНА 100-3519250</x:v>
      </x:c>
      <x:c r="D30" s="16" t="str">
        <x:v>ЗЧ автотрансп оборуд</x:v>
      </x:c>
      <x:c r="E30" s="16" t="str">
        <x:v>ШТ</x:v>
      </x:c>
      <x:c r="F30" s="25" t="n">
        <x:v>4</x:v>
      </x:c>
      <x:c r="G30" s="17" t="n">
        <x:v>14.578999999999999</x:v>
      </x:c>
      <x:c r="H30" s="17" t="n">
        <x:f>G30*F30</x:f>
        <x:v>58.315999999999995</x:v>
      </x:c>
      <x:c r="I30" s="26" t="str">
        <x:f>HYPERLINK("https://etp-aktiv.ru/catalog/materialy/zapasnye-chasti-k-avtotransportnomu-oborudovaniyu/2000001334-W112/","Открыть позицию")</x:f>
        <x:v>Открыть позицию</x:v>
      </x:c>
    </x:row>
    <x:row r="31" ht="28" customHeight="1">
      <x:c r="A31" s="16" t="str">
        <x:v>Барнаульская ТЭЦ-3</x:v>
      </x:c>
      <x:c r="B31" s="16" t="str">
        <x:v>2000529271-W112</x:v>
      </x:c>
      <x:c r="C31" s="16" t="str">
        <x:v>МОТОР ОМЫВАТЕЛЯ 2110-5208009-10</x:v>
      </x:c>
      <x:c r="D31" s="16" t="str">
        <x:v>ЗЧ автотрансп оборуд</x:v>
      </x:c>
      <x:c r="E31" s="16" t="str">
        <x:v>ШТ</x:v>
      </x:c>
      <x:c r="F31" s="25" t="n">
        <x:v>1</x:v>
      </x:c>
      <x:c r="G31" s="17" t="n">
        <x:v>34.318599999999996</x:v>
      </x:c>
      <x:c r="H31" s="17" t="n">
        <x:f>G31*F31</x:f>
        <x:v>34.318599999999996</x:v>
      </x:c>
      <x:c r="I31" s="26" t="str">
        <x:f>HYPERLINK("https://etp-aktiv.ru/catalog/materialy/zapasnye-chasti-k-avtotransportnomu-oborudovaniyu/2000529271-W112/","Открыть позицию")</x:f>
        <x:v>Открыть позицию</x:v>
      </x:c>
    </x:row>
    <x:row r="32" ht="28" customHeight="1">
      <x:c r="A32" s="16" t="str">
        <x:v>Барнаульская ТЭЦ-3</x:v>
      </x:c>
      <x:c r="B32" s="16" t="str">
        <x:v>2000721762-W112</x:v>
      </x:c>
      <x:c r="C32" s="16" t="str">
        <x:v>ПРОКЛАДКА КОЛЛЕКТОРА 50-1008028</x:v>
      </x:c>
      <x:c r="D32" s="16" t="str">
        <x:v>ЗЧ автотрансп оборуд</x:v>
      </x:c>
      <x:c r="E32" s="16" t="str">
        <x:v>ШТ</x:v>
      </x:c>
      <x:c r="F32" s="25" t="n">
        <x:v>2</x:v>
      </x:c>
      <x:c r="G32" s="17" t="n">
        <x:v>2.5498</x:v>
      </x:c>
      <x:c r="H32" s="17" t="n">
        <x:f>G32*F32</x:f>
        <x:v>5.0996</x:v>
      </x:c>
      <x:c r="I32" s="26" t="str">
        <x:f>HYPERLINK("https://etp-aktiv.ru/catalog/materialy/zapasnye-chasti-k-avtotransportnomu-oborudovaniyu/2000721762-W112/","Открыть позицию")</x:f>
        <x:v>Открыть позицию</x:v>
      </x:c>
    </x:row>
    <x:row r="33" ht="28" customHeight="1">
      <x:c r="A33" s="16" t="str">
        <x:v>Барнаульская ТЭЦ-3</x:v>
      </x:c>
      <x:c r="B33" s="16" t="str">
        <x:v>2000327713-W112</x:v>
      </x:c>
      <x:c r="C33" s="16" t="str">
        <x:v>ПРУЖИНА 50-1605152</x:v>
      </x:c>
      <x:c r="D33" s="16" t="str">
        <x:v>ЗЧ к ДСТ менее 20т</x:v>
      </x:c>
      <x:c r="E33" s="16" t="str">
        <x:v>ШТ</x:v>
      </x:c>
      <x:c r="F33" s="25" t="n">
        <x:v>2</x:v>
      </x:c>
      <x:c r="G33" s="17" t="n">
        <x:v>203.59359999999998</x:v>
      </x:c>
      <x:c r="H33" s="17" t="n">
        <x:f>G33*F33</x:f>
        <x:v>407.18719999999996</x:v>
      </x:c>
      <x:c r="I33" s="26" t="str">
        <x:f>HYPERLINK("https://etp-aktiv.ru/catalog/materialy/zapasnye-chasti-k-dorozhno-stroitelnoj-tekhnike/2000327713-W112/","Открыть позицию")</x:f>
        <x:v>Открыть позицию</x:v>
      </x:c>
    </x:row>
    <x:row r="34" ht="28" customHeight="1">
      <x:c r="A34" s="16" t="str">
        <x:v>Барнаульская ТЭЦ-3</x:v>
      </x:c>
      <x:c r="B34" s="16" t="str">
        <x:v>2000528768-W112</x:v>
      </x:c>
      <x:c r="C34" s="16" t="str">
        <x:v>РЕЛЕ ВТЯГИВАЮЩЕЕ 230К-3708800</x:v>
      </x:c>
      <x:c r="D34" s="16" t="str">
        <x:v>ЗЧ автотрансп оборуд</x:v>
      </x:c>
      <x:c r="E34" s="16" t="str">
        <x:v>ШТ</x:v>
      </x:c>
      <x:c r="F34" s="25" t="n">
        <x:v>2</x:v>
      </x:c>
      <x:c r="G34" s="17" t="n">
        <x:v>272.2186</x:v>
      </x:c>
      <x:c r="H34" s="17" t="n">
        <x:f>G34*F34</x:f>
        <x:v>544.4372</x:v>
      </x:c>
      <x:c r="I34" s="26" t="str">
        <x:f>HYPERLINK("https://etp-aktiv.ru/catalog/materialy/zapasnye-chasti-k-avtotransportnomu-oborudovaniyu/2000528768-W112/","Открыть позицию")</x:f>
        <x:v>Открыть позицию</x:v>
      </x:c>
    </x:row>
    <x:row r="35" ht="28" customHeight="1">
      <x:c r="A35" s="16" t="str">
        <x:v>Барнаульская ТЭЦ-3</x:v>
      </x:c>
      <x:c r="B35" s="16" t="str">
        <x:v>2000038174-W112</x:v>
      </x:c>
      <x:c r="C35" s="16" t="str">
        <x:v>РЕМЕНЬ 2000 Б</x:v>
      </x:c>
      <x:c r="D35" s="16" t="str">
        <x:v>ЗЧ к ДСТ менее 20т</x:v>
      </x:c>
      <x:c r="E35" s="16" t="str">
        <x:v>ШТ</x:v>
      </x:c>
      <x:c r="F35" s="25" t="n">
        <x:v>2</x:v>
      </x:c>
      <x:c r="G35" s="17" t="n">
        <x:v>228.75</x:v>
      </x:c>
      <x:c r="H35" s="17" t="n">
        <x:f>G35*F35</x:f>
        <x:v>457.5</x:v>
      </x:c>
      <x:c r="I35" s="26" t="str">
        <x:f>HYPERLINK("https://etp-aktiv.ru/catalog/materialy/zapasnye-chasti-k-dorozhno-stroitelnoj-tekhnike/2000038174-W112/","Открыть позицию")</x:f>
        <x:v>Открыть позицию</x:v>
      </x:c>
    </x:row>
    <x:row r="36" ht="28" customHeight="1">
      <x:c r="A36" s="16" t="str">
        <x:v>Барнаульская ТЭЦ-3</x:v>
      </x:c>
      <x:c r="B36" s="16" t="str">
        <x:v>2000152155-W112</x:v>
      </x:c>
      <x:c r="C36" s="16" t="str">
        <x:v>РЕМКМП ШКВОРНЯ 3307-3000100-01</x:v>
      </x:c>
      <x:c r="D36" s="16" t="str">
        <x:v>ЗЧ автотрансп оборуд</x:v>
      </x:c>
      <x:c r="E36" s="16" t="str">
        <x:v>ШТ</x:v>
      </x:c>
      <x:c r="F36" s="25" t="n">
        <x:v>2</x:v>
      </x:c>
      <x:c r="G36" s="17" t="n">
        <x:v>283.3328</x:v>
      </x:c>
      <x:c r="H36" s="17" t="n">
        <x:f>G36*F36</x:f>
        <x:v>566.6656</x:v>
      </x:c>
      <x:c r="I36" s="26" t="str">
        <x:f>HYPERLINK("https://etp-aktiv.ru/catalog/materialy/zapasnye-chasti-k-avtotransportnomu-oborudovaniyu/2000152155-W112/","Открыть позицию")</x:f>
        <x:v>Открыть позицию</x:v>
      </x:c>
    </x:row>
    <x:row r="37" ht="28" customHeight="1">
      <x:c r="A37" s="16" t="str">
        <x:v>Барнаульская ТЭЦ-3</x:v>
      </x:c>
      <x:c r="B37" s="16" t="str">
        <x:v>2000178129-W112</x:v>
      </x:c>
      <x:c r="C37" s="16" t="str">
        <x:v>РЕСИВЕР 130-3513010-10 СБ</x:v>
      </x:c>
      <x:c r="D37" s="16" t="str">
        <x:v>ЗЧ автотрансп оборуд</x:v>
      </x:c>
      <x:c r="E37" s="16" t="str">
        <x:v>ШТ</x:v>
      </x:c>
      <x:c r="F37" s="25" t="n">
        <x:v>2</x:v>
      </x:c>
      <x:c r="G37" s="17" t="n">
        <x:v>497.91859999999997</x:v>
      </x:c>
      <x:c r="H37" s="17" t="n">
        <x:f>G37*F37</x:f>
        <x:v>995.8371999999999</x:v>
      </x:c>
      <x:c r="I37" s="26" t="str">
        <x:f>HYPERLINK("https://etp-aktiv.ru/catalog/materialy/zapasnye-chasti-k-avtotransportnomu-oborudovaniyu/2000178129-W112/","Открыть позицию")</x:f>
        <x:v>Открыть позицию</x:v>
      </x:c>
    </x:row>
    <x:row r="38" ht="28" customHeight="1">
      <x:c r="A38" s="16" t="str">
        <x:v>Барнаульская ТЭЦ-3</x:v>
      </x:c>
      <x:c r="B38" s="16" t="str">
        <x:v>2000460213-W112</x:v>
      </x:c>
      <x:c r="C38" s="16" t="str">
        <x:v>РЕССОРА 214-2902012-06</x:v>
      </x:c>
      <x:c r="D38" s="16" t="str">
        <x:v>ЗЧ к ДСТ менее 20т</x:v>
      </x:c>
      <x:c r="E38" s="16" t="str">
        <x:v>ШТ</x:v>
      </x:c>
      <x:c r="F38" s="25" t="n">
        <x:v>4</x:v>
      </x:c>
      <x:c r="G38" s="17" t="n">
        <x:v>17293.5</x:v>
      </x:c>
      <x:c r="H38" s="17" t="n">
        <x:f>G38*F38</x:f>
        <x:v>69174</x:v>
      </x:c>
      <x:c r="I38" s="26" t="str">
        <x:f>HYPERLINK("https://etp-aktiv.ru/catalog/materialy/zapasnye-chasti-k-dorozhno-stroitelnoj-tekhnike/2000460213-W112/","Открыть позицию")</x:f>
        <x:v>Открыть позицию</x:v>
      </x:c>
    </x:row>
    <x:row r="39" ht="28" customHeight="1">
      <x:c r="A39" s="16" t="str">
        <x:v>Барнаульская ТЭЦ-3</x:v>
      </x:c>
      <x:c r="B39" s="16" t="str">
        <x:v>2000458533-W112</x:v>
      </x:c>
      <x:c r="C39" s="16" t="str">
        <x:v>РУКАВ ВЫСОКОГО ДАВЛЕНИЯ Н.036.83.140</x:v>
      </x:c>
      <x:c r="D39" s="16" t="str">
        <x:v>ЗЧ к ДСТ менее 20т</x:v>
      </x:c>
      <x:c r="E39" s="16" t="str">
        <x:v>ШТ</x:v>
      </x:c>
      <x:c r="F39" s="25" t="n">
        <x:v>4</x:v>
      </x:c>
      <x:c r="G39" s="17" t="n">
        <x:v>2278.35</x:v>
      </x:c>
      <x:c r="H39" s="17" t="n">
        <x:f>G39*F39</x:f>
        <x:v>9113.4</x:v>
      </x:c>
      <x:c r="I39" s="26" t="str">
        <x:f>HYPERLINK("https://etp-aktiv.ru/catalog/materialy/zapasnye-chasti-k-dorozhno-stroitelnoj-tekhnike/2000458533-W112/","Открыть позицию")</x:f>
        <x:v>Открыть позицию</x:v>
      </x:c>
    </x:row>
    <x:row r="40" ht="28" customHeight="1">
      <x:c r="A40" s="16" t="str">
        <x:v>Барнаульская ТЭЦ-3</x:v>
      </x:c>
      <x:c r="B40" s="16" t="str">
        <x:v>2000001448-W112</x:v>
      </x:c>
      <x:c r="C40" s="16" t="str">
        <x:v>САЛЬНИК 2,2-85*110-3</x:v>
      </x:c>
      <x:c r="D40" s="16" t="str">
        <x:v>ЗЧ автотрансп оборуд</x:v>
      </x:c>
      <x:c r="E40" s="16" t="str">
        <x:v>ШТ</x:v>
      </x:c>
      <x:c r="F40" s="25" t="n">
        <x:v>1</x:v>
      </x:c>
      <x:c r="G40" s="17" t="n">
        <x:v>209.99859999999998</x:v>
      </x:c>
      <x:c r="H40" s="17" t="n">
        <x:f>G40*F40</x:f>
        <x:v>209.99859999999998</x:v>
      </x:c>
      <x:c r="I40" s="26" t="str">
        <x:f>HYPERLINK("https://etp-aktiv.ru/catalog/materialy/zapasnye-chasti-k-avtotransportnomu-oborudovaniyu/2000001448-W112/","Открыть позицию")</x:f>
        <x:v>Открыть позицию</x:v>
      </x:c>
    </x:row>
    <x:row r="41" ht="28" customHeight="1">
      <x:c r="A41" s="16" t="str">
        <x:v>Барнаульская ТЭЦ-3</x:v>
      </x:c>
      <x:c r="B41" s="16" t="str">
        <x:v>2000224977-W112</x:v>
      </x:c>
      <x:c r="C41" s="16" t="str">
        <x:v>САЛЬНИК ВАЛА 50*70*10 240-1002055</x:v>
      </x:c>
      <x:c r="D41" s="16" t="str">
        <x:v>ЗЧ автотрансп оборуд</x:v>
      </x:c>
      <x:c r="E41" s="16" t="str">
        <x:v>ШТ</x:v>
      </x:c>
      <x:c r="F41" s="25" t="n">
        <x:v>5</x:v>
      </x:c>
      <x:c r="G41" s="17" t="n">
        <x:v>24.021800000000002</x:v>
      </x:c>
      <x:c r="H41" s="17" t="n">
        <x:f>G41*F41</x:f>
        <x:v>120.10900000000001</x:v>
      </x:c>
      <x:c r="I41" s="26" t="str">
        <x:f>HYPERLINK("https://etp-aktiv.ru/catalog/materialy/zapasnye-chasti-k-avtotransportnomu-oborudovaniyu/2000224977-W112/","Открыть позицию")</x:f>
        <x:v>Открыть позицию</x:v>
      </x:c>
    </x:row>
    <x:row r="42" ht="28" customHeight="1">
      <x:c r="A42" s="16" t="str">
        <x:v>Барнаульская ТЭЦ-3</x:v>
      </x:c>
      <x:c r="B42" s="16" t="str">
        <x:v>2000319329-W112</x:v>
      </x:c>
      <x:c r="C42" s="16" t="str">
        <x:v>СТЕКЛО ДВЕРИ НИЖНЕЕ 80-6700011-05</x:v>
      </x:c>
      <x:c r="D42" s="16" t="str">
        <x:v>ЗЧ к ДСТ менее 20т</x:v>
      </x:c>
      <x:c r="E42" s="16" t="str">
        <x:v>ШТ</x:v>
      </x:c>
      <x:c r="F42" s="25" t="n">
        <x:v>2</x:v>
      </x:c>
      <x:c r="G42" s="17" t="n">
        <x:v>2790.75</x:v>
      </x:c>
      <x:c r="H42" s="17" t="n">
        <x:f>G42*F42</x:f>
        <x:v>5581.5</x:v>
      </x:c>
      <x:c r="I42" s="26" t="str">
        <x:f>HYPERLINK("https://etp-aktiv.ru/catalog/materialy/zapasnye-chasti-k-dorozhno-stroitelnoj-tekhnike/2000319329-W112/","Открыть позицию")</x:f>
        <x:v>Открыть позицию</x:v>
      </x:c>
    </x:row>
    <x:row r="43" ht="28" customHeight="1">
      <x:c r="A43" s="16" t="str">
        <x:v>Барнаульская ТЭЦ-3</x:v>
      </x:c>
      <x:c r="B43" s="16" t="str">
        <x:v>2000253374-W112</x:v>
      </x:c>
      <x:c r="C43" s="16" t="str">
        <x:v>СТЕКЛООЧИСТИТЕЛЬ 58503-23320-71</x:v>
      </x:c>
      <x:c r="D43" s="16" t="str">
        <x:v>ЗЧ автотрансп оборуд</x:v>
      </x:c>
      <x:c r="E43" s="16" t="str">
        <x:v>ШТ</x:v>
      </x:c>
      <x:c r="F43" s="25" t="n">
        <x:v>2</x:v>
      </x:c>
      <x:c r="G43" s="17" t="n">
        <x:v>3332.308</x:v>
      </x:c>
      <x:c r="H43" s="17" t="n">
        <x:f>G43*F43</x:f>
        <x:v>6664.616</x:v>
      </x:c>
      <x:c r="I43" s="26" t="str">
        <x:f>HYPERLINK("https://etp-aktiv.ru/catalog/materialy/zapasnye-chasti-k-avtotransportnomu-oborudovaniyu/2000253374-W112/","Открыть позицию")</x:f>
        <x:v>Открыть позицию</x:v>
      </x:c>
    </x:row>
    <x:row r="44" ht="28" customHeight="1">
      <x:c r="A44" s="16" t="str">
        <x:v>Барнаульская ТЭЦ-3</x:v>
      </x:c>
      <x:c r="B44" s="16" t="str">
        <x:v>2000308410-W112</x:v>
      </x:c>
      <x:c r="C44" s="16" t="str">
        <x:v>ФИЛЬТР ВОЗДУШНЫЙ 17801-38030</x:v>
      </x:c>
      <x:c r="D44" s="16" t="str">
        <x:v>Фильтры СпецТ/АвТран</x:v>
      </x:c>
      <x:c r="E44" s="16" t="str">
        <x:v>ШТ</x:v>
      </x:c>
      <x:c r="F44" s="25" t="n">
        <x:v>1</x:v>
      </x:c>
      <x:c r="G44" s="17" t="n">
        <x:v>1300.0564</x:v>
      </x:c>
      <x:c r="H44" s="17" t="n">
        <x:f>G44*F44</x:f>
        <x:v>1300.0564</x:v>
      </x:c>
      <x:c r="I44" s="26" t="str">
        <x:f>HYPERLINK("https://etp-aktiv.ru/catalog/materialy/zapasnye-chasti-k-avtotransportnomu-oborudovaniyu/2000308410-W112/","Открыть позицию")</x:f>
        <x:v>Открыть позицию</x:v>
      </x:c>
    </x:row>
    <x:row r="45" ht="28" customHeight="1">
      <x:c r="A45" s="16" t="str">
        <x:v>Барнаульская ТЭЦ-3</x:v>
      </x:c>
      <x:c r="B45" s="16" t="str">
        <x:v>2000131023-W112</x:v>
      </x:c>
      <x:c r="C45" s="16" t="str">
        <x:v>ФИЛЬТР ВОЗДУШНЫЙ 3110-1109013-10</x:v>
      </x:c>
      <x:c r="D45" s="16" t="str">
        <x:v>Фильтры СпецТ/АвТран</x:v>
      </x:c>
      <x:c r="E45" s="16" t="str">
        <x:v>ШТ</x:v>
      </x:c>
      <x:c r="F45" s="25" t="n">
        <x:v>1</x:v>
      </x:c>
      <x:c r="G45" s="17" t="n">
        <x:v>445.3</x:v>
      </x:c>
      <x:c r="H45" s="17" t="n">
        <x:f>G45*F45</x:f>
        <x:v>445.3</x:v>
      </x:c>
      <x:c r="I45" s="26" t="str">
        <x:f>HYPERLINK("https://etp-aktiv.ru/catalog/materialy/zapasnye-chasti-k-avtotransportnomu-oborudovaniyu/2000131023-W112/","Открыть позицию")</x:f>
        <x:v>Открыть позицию</x:v>
      </x:c>
    </x:row>
    <x:row r="46" ht="28" customHeight="1">
      <x:c r="A46" s="16" t="str">
        <x:v>Барнаульская ТЭЦ-3</x:v>
      </x:c>
      <x:c r="B46" s="16" t="str">
        <x:v>2000224080-W112</x:v>
      </x:c>
      <x:c r="C46" s="16" t="str">
        <x:v>ФИЛЬТР ВОЗДУШНЫЙ 3307-1109010СБ</x:v>
      </x:c>
      <x:c r="D46" s="16" t="str">
        <x:v>Фильтры СпецТ/АвТран</x:v>
      </x:c>
      <x:c r="E46" s="16" t="str">
        <x:v>ШТ</x:v>
      </x:c>
      <x:c r="F46" s="25" t="n">
        <x:v>1</x:v>
      </x:c>
      <x:c r="G46" s="17" t="n">
        <x:v>3900.1936</x:v>
      </x:c>
      <x:c r="H46" s="17" t="n">
        <x:f>G46*F46</x:f>
        <x:v>3900.1936</x:v>
      </x:c>
      <x:c r="I46" s="26" t="str">
        <x:f>HYPERLINK("https://etp-aktiv.ru/catalog/materialy/zapasnye-chasti-k-avtotransportnomu-oborudovaniyu/2000224080-W112/","Открыть позицию")</x:f>
        <x:v>Открыть позицию</x:v>
      </x:c>
    </x:row>
    <x:row r="47" ht="28" customHeight="1">
      <x:c r="A47" s="16" t="str">
        <x:v>Барнаульская ТЭЦ-3</x:v>
      </x:c>
      <x:c r="B47" s="16" t="str">
        <x:v>2000534846-W112</x:v>
      </x:c>
      <x:c r="C47" s="16" t="str">
        <x:v>ФИЛЬТР ВОЗДУШНЫЙ A-1013</x:v>
      </x:c>
      <x:c r="D47" s="16" t="str">
        <x:v>Фильтры СпецТ/АвТран</x:v>
      </x:c>
      <x:c r="E47" s="16" t="str">
        <x:v>ШТ</x:v>
      </x:c>
      <x:c r="F47" s="25" t="n">
        <x:v>3</x:v>
      </x:c>
      <x:c r="G47" s="17" t="n">
        <x:v>543.2782</x:v>
      </x:c>
      <x:c r="H47" s="17" t="n">
        <x:f>G47*F47</x:f>
        <x:v>1629.8346</x:v>
      </x:c>
      <x:c r="I47" s="26" t="str">
        <x:f>HYPERLINK("https://etp-aktiv.ru/catalog/materialy/zapasnye-chasti-k-avtotransportnomu-oborudovaniyu/2000534846-W112/","Открыть позицию")</x:f>
        <x:v>Открыть позицию</x:v>
      </x:c>
    </x:row>
    <x:row r="48" ht="28" customHeight="1">
      <x:c r="A48" s="16" t="str">
        <x:v>Барнаульская ТЭЦ-3</x:v>
      </x:c>
      <x:c r="B48" s="16" t="str">
        <x:v>2000278365-W112</x:v>
      </x:c>
      <x:c r="C48" s="16" t="str">
        <x:v>ФИЛЬТР МАСЛЯНЫЙ 04152-38020</x:v>
      </x:c>
      <x:c r="D48" s="16" t="str">
        <x:v>Фильтры СпецТ/АвТран</x:v>
      </x:c>
      <x:c r="E48" s="16" t="str">
        <x:v>ШТ</x:v>
      </x:c>
      <x:c r="F48" s="25" t="n">
        <x:v>2</x:v>
      </x:c>
      <x:c r="G48" s="17" t="n">
        <x:v>238.8394</x:v>
      </x:c>
      <x:c r="H48" s="17" t="n">
        <x:f>G48*F48</x:f>
        <x:v>477.6788</x:v>
      </x:c>
      <x:c r="I48" s="26" t="str">
        <x:f>HYPERLINK("https://etp-aktiv.ru/catalog/materialy/zapasnye-chasti-k-avtotransportnomu-oborudovaniyu/2000278365-W112/","Открыть позицию")</x:f>
        <x:v>Открыть позицию</x:v>
      </x:c>
    </x:row>
    <x:row r="49" ht="28" customHeight="1">
      <x:c r="A49" s="16" t="str">
        <x:v>Барнаульская ТЭЦ-3</x:v>
      </x:c>
      <x:c r="B49" s="16" t="str">
        <x:v>2000502947-W112</x:v>
      </x:c>
      <x:c r="C49" s="16" t="str">
        <x:v>ФИЛЬТР МАСЛЯНЫЙ 04152-YZZA4</x:v>
      </x:c>
      <x:c r="D49" s="16" t="str">
        <x:v>Фильтры СпецТ/АвТран</x:v>
      </x:c>
      <x:c r="E49" s="16" t="str">
        <x:v>ШТ</x:v>
      </x:c>
      <x:c r="F49" s="25" t="n">
        <x:v>2</x:v>
      </x:c>
      <x:c r="G49" s="17" t="n">
        <x:v>185.745</x:v>
      </x:c>
      <x:c r="H49" s="17" t="n">
        <x:f>G49*F49</x:f>
        <x:v>371.49</x:v>
      </x:c>
      <x:c r="I49" s="26" t="str">
        <x:f>HYPERLINK("https://etp-aktiv.ru/catalog/materialy/zapasnye-chasti-k-avtotransportnomu-oborudovaniyu/2000502947-W112/","Открыть позицию")</x:f>
        <x:v>Открыть позицию</x:v>
      </x:c>
    </x:row>
    <x:row r="50" ht="28" customHeight="1">
      <x:c r="A50" s="16" t="str">
        <x:v>Барнаульская ТЭЦ-3</x:v>
      </x:c>
      <x:c r="B50" s="16" t="str">
        <x:v>2000001825-W112</x:v>
      </x:c>
      <x:c r="C50" s="16" t="str">
        <x:v>ФИЛЬТР МАСЛЯНЫЙ 53-1012040</x:v>
      </x:c>
      <x:c r="D50" s="16" t="str">
        <x:v>Фильтры СпецТ/АвТран</x:v>
      </x:c>
      <x:c r="E50" s="16" t="str">
        <x:v>ШТ</x:v>
      </x:c>
      <x:c r="F50" s="25" t="n">
        <x:v>3</x:v>
      </x:c>
      <x:c r="G50" s="17" t="n">
        <x:v>15.555</x:v>
      </x:c>
      <x:c r="H50" s="17" t="n">
        <x:f>G50*F50</x:f>
        <x:v>46.665</x:v>
      </x:c>
      <x:c r="I50" s="26" t="str">
        <x:f>HYPERLINK("https://etp-aktiv.ru/catalog/materialy/zapasnye-chasti-k-avtotransportnomu-oborudovaniyu/2000001825-W112/","Открыть позицию")</x:f>
        <x:v>Открыть позицию</x:v>
      </x:c>
    </x:row>
    <x:row r="51" ht="28" customHeight="1">
      <x:c r="A51" s="16" t="str">
        <x:v>Барнаульская ТЭЦ-3</x:v>
      </x:c>
      <x:c r="B51" s="16" t="str">
        <x:v>2000529726-W112</x:v>
      </x:c>
      <x:c r="C51" s="16" t="str">
        <x:v>ФИЛЬТР МАСЛЯНЫЙ 6611803309</x:v>
      </x:c>
      <x:c r="D51" s="16" t="str">
        <x:v>Фильтры СпецТ/АвТран</x:v>
      </x:c>
      <x:c r="E51" s="16" t="str">
        <x:v>ШТ</x:v>
      </x:c>
      <x:c r="F51" s="25" t="n">
        <x:v>3</x:v>
      </x:c>
      <x:c r="G51" s="17" t="n">
        <x:v>72.4436</x:v>
      </x:c>
      <x:c r="H51" s="17" t="n">
        <x:f>G51*F51</x:f>
        <x:v>217.3308</x:v>
      </x:c>
      <x:c r="I51" s="26" t="str">
        <x:f>HYPERLINK("https://etp-aktiv.ru/catalog/materialy/zapasnye-chasti-k-avtotransportnomu-oborudovaniyu/2000529726-W112/","Открыть позицию")</x:f>
        <x:v>Открыть позицию</x:v>
      </x:c>
    </x:row>
    <x:row r="52" ht="28" customHeight="1">
      <x:c r="A52" s="16" t="str">
        <x:v>Барнаульская ТЭЦ-3</x:v>
      </x:c>
      <x:c r="B52" s="16" t="str">
        <x:v>2000529687-W112</x:v>
      </x:c>
      <x:c r="C52" s="16" t="str">
        <x:v>ФИЛЬТР МАСЛЯНЫЙ EKO-02.22</x:v>
      </x:c>
      <x:c r="D52" s="16" t="str">
        <x:v>Фильтры СпецТ/АвТран</x:v>
      </x:c>
      <x:c r="E52" s="16" t="str">
        <x:v>ШТ</x:v>
      </x:c>
      <x:c r="F52" s="25" t="n">
        <x:v>5</x:v>
      </x:c>
      <x:c r="G52" s="17" t="n">
        <x:v>87.42519999999999</x:v>
      </x:c>
      <x:c r="H52" s="17" t="n">
        <x:f>G52*F52</x:f>
        <x:v>437.126</x:v>
      </x:c>
      <x:c r="I52" s="26" t="str">
        <x:f>HYPERLINK("https://etp-aktiv.ru/catalog/materialy/zapasnye-chasti-k-avtotransportnomu-oborudovaniyu/2000529687-W112/","Открыть позицию")</x:f>
        <x:v>Открыть позицию</x:v>
      </x:c>
    </x:row>
    <x:row r="53" ht="28" customHeight="1">
      <x:c r="A53" s="16" t="str">
        <x:v>Барнаульская ТЭЦ-3</x:v>
      </x:c>
      <x:c r="B53" s="16" t="str">
        <x:v>2000504379-W112</x:v>
      </x:c>
      <x:c r="C53" s="16" t="str">
        <x:v>ФИЛЬТР МАСЛЯНЫЙ W67/1</x:v>
      </x:c>
      <x:c r="D53" s="16" t="str">
        <x:v>Фильтры СпецТ/АвТран</x:v>
      </x:c>
      <x:c r="E53" s="16" t="str">
        <x:v>ШТ</x:v>
      </x:c>
      <x:c r="F53" s="25" t="n">
        <x:v>2</x:v>
      </x:c>
      <x:c r="G53" s="17" t="n">
        <x:v>228.2986</x:v>
      </x:c>
      <x:c r="H53" s="17" t="n">
        <x:f>G53*F53</x:f>
        <x:v>456.5972</x:v>
      </x:c>
      <x:c r="I53" s="26" t="str">
        <x:f>HYPERLINK("https://etp-aktiv.ru/catalog/materialy/zapasnye-chasti-k-avtotransportnomu-oborudovaniyu/2000504379-W112/","Открыть позицию")</x:f>
        <x:v>Открыть позицию</x:v>
      </x:c>
    </x:row>
    <x:row r="54" ht="28" customHeight="1">
      <x:c r="A54" s="16" t="str">
        <x:v>Барнаульская ТЭЦ-3</x:v>
      </x:c>
      <x:c r="B54" s="16" t="str">
        <x:v>2000182299-W112</x:v>
      </x:c>
      <x:c r="C54" s="16" t="str">
        <x:v>ФИЛЬТР МАСЛЯНЫЙ ЕКО-02.24</x:v>
      </x:c>
      <x:c r="D54" s="16" t="str">
        <x:v>Фильтры СпецТ/АвТран</x:v>
      </x:c>
      <x:c r="E54" s="16" t="str">
        <x:v>ШТ</x:v>
      </x:c>
      <x:c r="F54" s="25" t="n">
        <x:v>4</x:v>
      </x:c>
      <x:c r="G54" s="17" t="n">
        <x:v>40.26</x:v>
      </x:c>
      <x:c r="H54" s="17" t="n">
        <x:f>G54*F54</x:f>
        <x:v>161.04</x:v>
      </x:c>
      <x:c r="I54" s="26" t="str">
        <x:f>HYPERLINK("https://etp-aktiv.ru/catalog/materialy/zapasnye-chasti-k-avtotransportnomu-oborudovaniyu/2000182299-W112/","Открыть позицию")</x:f>
        <x:v>Открыть позицию</x:v>
      </x:c>
    </x:row>
    <x:row r="55" ht="28" customHeight="1">
      <x:c r="A55" s="16" t="str">
        <x:v>Барнаульская ТЭЦ-3</x:v>
      </x:c>
      <x:c r="B55" s="16" t="str">
        <x:v>2000529769-W112</x:v>
      </x:c>
      <x:c r="C55" s="16" t="str">
        <x:v>ФИЛЬТР МАСЛЯНЫЙ О-119</x:v>
      </x:c>
      <x:c r="D55" s="16" t="str">
        <x:v>Фильтры СпецТ/АвТран</x:v>
      </x:c>
      <x:c r="E55" s="16" t="str">
        <x:v>ШТ</x:v>
      </x:c>
      <x:c r="F55" s="25" t="n">
        <x:v>1</x:v>
      </x:c>
      <x:c r="G55" s="17" t="n">
        <x:v>254.7116</x:v>
      </x:c>
      <x:c r="H55" s="17" t="n">
        <x:f>G55*F55</x:f>
        <x:v>254.7116</x:v>
      </x:c>
      <x:c r="I55" s="26" t="str">
        <x:f>HYPERLINK("https://etp-aktiv.ru/catalog/materialy/zapasnye-chasti-k-avtotransportnomu-oborudovaniyu/2000529769-W112/","Открыть позицию")</x:f>
        <x:v>Открыть позицию</x:v>
      </x:c>
    </x:row>
    <x:row r="56" ht="28" customHeight="1">
      <x:c r="A56" s="16" t="str">
        <x:v>Барнаульская ТЭЦ-3</x:v>
      </x:c>
      <x:c r="B56" s="16" t="str">
        <x:v>2000882416-W112</x:v>
      </x:c>
      <x:c r="C56" s="16" t="str">
        <x:v>ФИЛЬТР НАПОРНЫЙ ФН 401-01</x:v>
      </x:c>
      <x:c r="D56" s="16" t="str">
        <x:v>Фильтры СпецТ/АвТран</x:v>
      </x:c>
      <x:c r="E56" s="16" t="str">
        <x:v>ШТ</x:v>
      </x:c>
      <x:c r="F56" s="25" t="n">
        <x:v>1</x:v>
      </x:c>
      <x:c r="G56" s="17" t="n">
        <x:v>9813.375</x:v>
      </x:c>
      <x:c r="H56" s="17" t="n">
        <x:f>G56*F56</x:f>
        <x:v>9813.375</x:v>
      </x:c>
      <x:c r="I56" s="26" t="str">
        <x:f>HYPERLINK("https://etp-aktiv.ru/catalog/materialy/zapasnye-chasti-k-avtotransportnomu-oborudovaniyu/2000882416-W112/","Открыть позицию")</x:f>
        <x:v>Открыть позицию</x:v>
      </x:c>
    </x:row>
    <x:row r="57" ht="28" customHeight="1">
      <x:c r="A57" s="16" t="str">
        <x:v>Барнаульская ТЭЦ-3</x:v>
      </x:c>
      <x:c r="B57" s="16" t="str">
        <x:v>2000529754-W112</x:v>
      </x:c>
      <x:c r="C57" s="16" t="str">
        <x:v>ФИЛЬТР САЛОННЫЙ LAC141</x:v>
      </x:c>
      <x:c r="D57" s="16" t="str">
        <x:v>Фильтры СпецТ/АвТран</x:v>
      </x:c>
      <x:c r="E57" s="16" t="str">
        <x:v>ШТ</x:v>
      </x:c>
      <x:c r="F57" s="25" t="n">
        <x:v>1</x:v>
      </x:c>
      <x:c r="G57" s="17" t="n">
        <x:v>346.0774</x:v>
      </x:c>
      <x:c r="H57" s="17" t="n">
        <x:f>G57*F57</x:f>
        <x:v>346.0774</x:v>
      </x:c>
      <x:c r="I57" s="26" t="str">
        <x:f>HYPERLINK("https://etp-aktiv.ru/catalog/materialy/zapasnye-chasti-k-avtotransportnomu-oborudovaniyu/2000529754-W112/","Открыть позицию")</x:f>
        <x:v>Открыть позицию</x:v>
      </x:c>
    </x:row>
    <x:row r="58" ht="28" customHeight="1">
      <x:c r="A58" s="16" t="str">
        <x:v>Барнаульская ТЭЦ-3</x:v>
      </x:c>
      <x:c r="B58" s="16" t="str">
        <x:v>2000354740-W112</x:v>
      </x:c>
      <x:c r="C58" s="16" t="str">
        <x:v>ФИЛЬТР ТОПЛИВНЫЙ 315195-1117010-01</x:v>
      </x:c>
      <x:c r="D58" s="16" t="str">
        <x:v>Фильтры СпецТ/АвТран</x:v>
      </x:c>
      <x:c r="E58" s="16" t="str">
        <x:v>ШТ</x:v>
      </x:c>
      <x:c r="F58" s="25" t="n">
        <x:v>3</x:v>
      </x:c>
      <x:c r="G58" s="17" t="n">
        <x:v>288.7984</x:v>
      </x:c>
      <x:c r="H58" s="17" t="n">
        <x:f>G58*F58</x:f>
        <x:v>866.3952</x:v>
      </x:c>
      <x:c r="I58" s="26" t="str">
        <x:f>HYPERLINK("https://etp-aktiv.ru/catalog/materialy/zapasnye-chasti-k-avtotransportnomu-oborudovaniyu/2000354740-W112/","Открыть позицию")</x:f>
        <x:v>Открыть позицию</x:v>
      </x:c>
    </x:row>
    <x:row r="59" ht="28" customHeight="1">
      <x:c r="A59" s="16" t="str">
        <x:v>Барнаульская ТЭЦ-3</x:v>
      </x:c>
      <x:c r="B59" s="16" t="str">
        <x:v>2000529707-W112</x:v>
      </x:c>
      <x:c r="C59" s="16" t="str">
        <x:v>ФИЛЬТР ТОПЛИВНЫЙ PCA-035</x:v>
      </x:c>
      <x:c r="D59" s="16" t="str">
        <x:v>Фильтры СпецТ/АвТран</x:v>
      </x:c>
      <x:c r="E59" s="16" t="str">
        <x:v>ШТ</x:v>
      </x:c>
      <x:c r="F59" s="25" t="n">
        <x:v>2</x:v>
      </x:c>
      <x:c r="G59" s="17" t="n">
        <x:v>212.86559999999997</x:v>
      </x:c>
      <x:c r="H59" s="17" t="n">
        <x:f>G59*F59</x:f>
        <x:v>425.73119999999994</x:v>
      </x:c>
      <x:c r="I59" s="26" t="str">
        <x:f>HYPERLINK("https://etp-aktiv.ru/catalog/materialy/zapasnye-chasti-k-avtotransportnomu-oborudovaniyu/2000529707-W112/","Открыть позицию")</x:f>
        <x:v>Открыть позицию</x:v>
      </x:c>
    </x:row>
    <x:row r="60" ht="28" customHeight="1">
      <x:c r="A60" s="16" t="str">
        <x:v>Барнаульская ТЭЦ-3</x:v>
      </x:c>
      <x:c r="B60" s="16" t="str">
        <x:v>2000529755-W112</x:v>
      </x:c>
      <x:c r="C60" s="16" t="str">
        <x:v>ФИЛЬТР ТОПЛИВНЫЙ PCD-001 6610923101</x:v>
      </x:c>
      <x:c r="D60" s="16" t="str">
        <x:v>Фильтры СпецТ/АвТран</x:v>
      </x:c>
      <x:c r="E60" s="16" t="str">
        <x:v>ШТ</x:v>
      </x:c>
      <x:c r="F60" s="25" t="n">
        <x:v>1</x:v>
      </x:c>
      <x:c r="G60" s="17" t="n">
        <x:v>52.4234</x:v>
      </x:c>
      <x:c r="H60" s="17" t="n">
        <x:f>G60*F60</x:f>
        <x:v>52.4234</x:v>
      </x:c>
      <x:c r="I60" s="26" t="str">
        <x:f>HYPERLINK("https://etp-aktiv.ru/catalog/materialy/zapasnye-chasti-k-avtotransportnomu-oborudovaniyu/2000529755-W112/","Открыть позицию")</x:f>
        <x:v>Открыть позицию</x:v>
      </x:c>
    </x:row>
    <x:row r="61" ht="28" customHeight="1">
      <x:c r="A61" s="16" t="str">
        <x:v>Барнаульская ТЭЦ-3</x:v>
      </x:c>
      <x:c r="B61" s="16" t="str">
        <x:v>2000529713-W112</x:v>
      </x:c>
      <x:c r="C61" s="16" t="str">
        <x:v>ФИЛЬТР ТОПЛИВНЫЙ WDK 962/16</x:v>
      </x:c>
      <x:c r="D61" s="16" t="str">
        <x:v>Фильтры СпецТ/АвТран</x:v>
      </x:c>
      <x:c r="E61" s="16" t="str">
        <x:v>ШТ</x:v>
      </x:c>
      <x:c r="F61" s="25" t="n">
        <x:v>4</x:v>
      </x:c>
      <x:c r="G61" s="17" t="n">
        <x:v>122.67099999999999</x:v>
      </x:c>
      <x:c r="H61" s="17" t="n">
        <x:f>G61*F61</x:f>
        <x:v>490.68399999999997</x:v>
      </x:c>
      <x:c r="I61" s="26" t="str">
        <x:f>HYPERLINK("https://etp-aktiv.ru/catalog/materialy/zapasnye-chasti-k-avtotransportnomu-oborudovaniyu/2000529713-W112/","Открыть позицию")</x:f>
        <x:v>Открыть позицию</x:v>
      </x:c>
    </x:row>
    <x:row r="62" ht="28" customHeight="1">
      <x:c r="A62" s="16" t="str">
        <x:v>Барнаульская ТЭЦ-3</x:v>
      </x:c>
      <x:c r="B62" s="16" t="str">
        <x:v>2000008129-W112</x:v>
      </x:c>
      <x:c r="C62" s="16" t="str">
        <x:v>ФОНАРЬ 7412.3716</x:v>
      </x:c>
      <x:c r="D62" s="16" t="str">
        <x:v>ЗЧ автотрансп оборуд</x:v>
      </x:c>
      <x:c r="E62" s="16" t="str">
        <x:v>ШТ</x:v>
      </x:c>
      <x:c r="F62" s="25" t="n">
        <x:v>1</x:v>
      </x:c>
      <x:c r="G62" s="17" t="n">
        <x:v>80.06859999999999</x:v>
      </x:c>
      <x:c r="H62" s="17" t="n">
        <x:f>G62*F62</x:f>
        <x:v>80.06859999999999</x:v>
      </x:c>
      <x:c r="I62" s="26" t="str">
        <x:f>HYPERLINK("https://etp-aktiv.ru/catalog/materialy/zapasnye-chasti-k-avtotransportnomu-oborudovaniyu/2000008129-W112/","Открыть позицию")</x:f>
        <x:v>Открыть позицию</x:v>
      </x:c>
    </x:row>
    <x:row r="63" ht="28" customHeight="1">
      <x:c r="A63" s="16" t="str">
        <x:v>Барнаульская ТЭЦ-3</x:v>
      </x:c>
      <x:c r="B63" s="16" t="str">
        <x:v>2000125057-W112</x:v>
      </x:c>
      <x:c r="C63" s="16" t="str">
        <x:v>ФОРСУНКА ЯМЗ 261-1112010-03</x:v>
      </x:c>
      <x:c r="D63" s="16" t="str">
        <x:v>ЗЧ КарьернТехнЧетра</x:v>
      </x:c>
      <x:c r="E63" s="16" t="str">
        <x:v>ШТ</x:v>
      </x:c>
      <x:c r="F63" s="25" t="n">
        <x:v>6</x:v>
      </x:c>
      <x:c r="G63" s="17" t="n">
        <x:v>754.875</x:v>
      </x:c>
      <x:c r="H63" s="17" t="n">
        <x:f>G63*F63</x:f>
        <x:v>4529.25</x:v>
      </x:c>
      <x:c r="I63" s="26" t="str">
        <x:f>HYPERLINK("https://etp-aktiv.ru/catalog/materialy/zapasnye-chasti-k-dorozhno-stroitelnoj-tekhnike/2000125057-W112/","Открыть позицию")</x:f>
        <x:v>Открыть позицию</x:v>
      </x:c>
    </x:row>
    <x:row r="64" ht="28" customHeight="1">
      <x:c r="A64" s="16" t="str">
        <x:v>Барнаульская ТЭЦ-3</x:v>
      </x:c>
      <x:c r="B64" s="16" t="str">
        <x:v>2000478761-W112</x:v>
      </x:c>
      <x:c r="C64" s="16" t="str">
        <x:v>ХОМУТ ЛЕНТОЧНЫЙ 1871218</x:v>
      </x:c>
      <x:c r="D64" s="16" t="str">
        <x:v>ЗЧ автотрансп оборуд</x:v>
      </x:c>
      <x:c r="E64" s="16" t="str">
        <x:v>ШТ</x:v>
      </x:c>
      <x:c r="F64" s="25" t="n">
        <x:v>2</x:v>
      </x:c>
      <x:c r="G64" s="17" t="n">
        <x:v>3009.8986</x:v>
      </x:c>
      <x:c r="H64" s="17" t="n">
        <x:f>G64*F64</x:f>
        <x:v>6019.7972</x:v>
      </x:c>
      <x:c r="I64" s="26" t="str">
        <x:f>HYPERLINK("https://etp-aktiv.ru/catalog/materialy/zapasnye-chasti-k-avtotransportnomu-oborudovaniyu/2000478761-W112/","Открыть позицию")</x:f>
        <x:v>Открыть позицию</x:v>
      </x:c>
    </x:row>
    <x:row r="65" ht="28" customHeight="1">
      <x:c r="A65" s="16" t="str">
        <x:v>Барнаульская ТЭЦ-3</x:v>
      </x:c>
      <x:c r="B65" s="16" t="str">
        <x:v>2000115560-W112</x:v>
      </x:c>
      <x:c r="C65" s="16" t="str">
        <x:v>ЦИЛИНДР 3302-1602290</x:v>
      </x:c>
      <x:c r="D65" s="16" t="str">
        <x:v>ЗЧ автотрансп оборуд</x:v>
      </x:c>
      <x:c r="E65" s="16" t="str">
        <x:v>ШТ</x:v>
      </x:c>
      <x:c r="F65" s="25" t="n">
        <x:v>6</x:v>
      </x:c>
      <x:c r="G65" s="17" t="n">
        <x:v>227.9082</x:v>
      </x:c>
      <x:c r="H65" s="17" t="n">
        <x:f>G65*F65</x:f>
        <x:v>1367.4492</x:v>
      </x:c>
      <x:c r="I65" s="26" t="str">
        <x:f>HYPERLINK("https://etp-aktiv.ru/catalog/materialy/zapasnye-chasti-k-avtotransportnomu-oborudovaniyu/2000115560-W112/","Открыть позицию")</x:f>
        <x:v>Открыть позицию</x:v>
      </x:c>
    </x:row>
    <x:row r="66" ht="28" customHeight="1">
      <x:c r="A66" s="16" t="str">
        <x:v>Барнаульская ТЭЦ-3</x:v>
      </x:c>
      <x:c r="B66" s="16" t="str">
        <x:v>2000562973-W112</x:v>
      </x:c>
      <x:c r="C66" s="16" t="str">
        <x:v>ШКВОРЕНЬ 4331-3001019</x:v>
      </x:c>
      <x:c r="D66" s="16" t="str">
        <x:v>ЗЧ автотрансп оборуд</x:v>
      </x:c>
      <x:c r="E66" s="16" t="str">
        <x:v>ШТ</x:v>
      </x:c>
      <x:c r="F66" s="25" t="n">
        <x:v>8</x:v>
      </x:c>
      <x:c r="G66" s="17" t="n">
        <x:v>91.5244</x:v>
      </x:c>
      <x:c r="H66" s="17" t="n">
        <x:f>G66*F66</x:f>
        <x:v>732.1952</x:v>
      </x:c>
      <x:c r="I66" s="26" t="str">
        <x:f>HYPERLINK("https://etp-aktiv.ru/catalog/materialy/zapasnye-chasti-k-avtotransportnomu-oborudovaniyu/2000562973-W112/","Открыть позицию")</x:f>
        <x:v>Открыть позицию</x:v>
      </x:c>
    </x:row>
    <x:row r="67" ht="28" customHeight="1">
      <x:c r="A67" s="16" t="str">
        <x:v>Барнаульская ТЭЦ-3</x:v>
      </x:c>
      <x:c r="B67" s="16" t="str">
        <x:v>2000002150-W112</x:v>
      </x:c>
      <x:c r="C67" s="16" t="str">
        <x:v>ШЛАНГ РАДИАТ НИЖН МТЗ-80 50-1303062Б2</x:v>
      </x:c>
      <x:c r="D67" s="16" t="str">
        <x:v>ЗЧ к ДСТ менее 20т</x:v>
      </x:c>
      <x:c r="E67" s="16" t="str">
        <x:v>ШТ</x:v>
      </x:c>
      <x:c r="F67" s="25" t="n">
        <x:v>1</x:v>
      </x:c>
      <x:c r="G67" s="17" t="n">
        <x:v>17.153200000000002</x:v>
      </x:c>
      <x:c r="H67" s="17" t="n">
        <x:f>G67*F67</x:f>
        <x:v>17.153200000000002</x:v>
      </x:c>
      <x:c r="I67" s="26" t="str">
        <x:f>HYPERLINK("https://etp-aktiv.ru/catalog/materialy/zapasnye-chasti-k-dorozhno-stroitelnoj-tekhnike/2000002150-W112/","Открыть позицию")</x:f>
        <x:v>Открыть позицию</x:v>
      </x:c>
    </x:row>
    <x:row r="68" ht="28" customHeight="1">
      <x:c r="A68" s="16" t="str">
        <x:v>Барнаульская ТЭЦ-3</x:v>
      </x:c>
      <x:c r="B68" s="16" t="str">
        <x:v>2000484694-W112</x:v>
      </x:c>
      <x:c r="C68" s="16" t="str">
        <x:v>ШЛАНГ ТОПЛИВНЫЙ 240-1104160-01</x:v>
      </x:c>
      <x:c r="D68" s="16" t="str">
        <x:v>ЗЧ автотрансп оборуд</x:v>
      </x:c>
      <x:c r="E68" s="16" t="str">
        <x:v>ШТ</x:v>
      </x:c>
      <x:c r="F68" s="25" t="n">
        <x:v>2</x:v>
      </x:c>
      <x:c r="G68" s="17" t="n">
        <x:v>32.4032</x:v>
      </x:c>
      <x:c r="H68" s="17" t="n">
        <x:f>G68*F68</x:f>
        <x:v>64.8064</x:v>
      </x:c>
      <x:c r="I68" s="26" t="str">
        <x:f>HYPERLINK("https://etp-aktiv.ru/catalog/materialy/zapasnye-chasti-k-avtotransportnomu-oborudovaniyu/2000484694-W112/","Открыть позицию")</x:f>
        <x:v>Открыть позицию</x:v>
      </x:c>
    </x:row>
    <x:row r="69" ht="28" customHeight="1">
      <x:c r="A69" s="16" t="str">
        <x:v>Барнаульская ТЭЦ-3</x:v>
      </x:c>
      <x:c r="B69" s="16" t="str">
        <x:v>2000115780-W112</x:v>
      </x:c>
      <x:c r="C69" s="16" t="str">
        <x:v>ШЛАНГ ТОРМОЗНОЙ 131-3506060</x:v>
      </x:c>
      <x:c r="D69" s="16" t="str">
        <x:v>ЗЧ автотрансп оборуд</x:v>
      </x:c>
      <x:c r="E69" s="16" t="str">
        <x:v>ШТ</x:v>
      </x:c>
      <x:c r="F69" s="25" t="n">
        <x:v>4</x:v>
      </x:c>
      <x:c r="G69" s="17" t="n">
        <x:v>49.092800000000004</x:v>
      </x:c>
      <x:c r="H69" s="17" t="n">
        <x:f>G69*F69</x:f>
        <x:v>196.37120000000002</x:v>
      </x:c>
      <x:c r="I69" s="26" t="str">
        <x:f>HYPERLINK("https://etp-aktiv.ru/catalog/materialy/zapasnye-chasti-k-avtotransportnomu-oborudovaniyu/2000115780-W112/","Открыть позицию")</x:f>
        <x:v>Открыть позицию</x:v>
      </x:c>
    </x:row>
    <x:row r="70" ht="28" customHeight="1">
      <x:c r="A70" s="16" t="str">
        <x:v>Барнаульская ТЭЦ-3</x:v>
      </x:c>
      <x:c r="B70" s="16" t="str">
        <x:v>2000691689-W112</x:v>
      </x:c>
      <x:c r="C70" s="16" t="str">
        <x:v>ШЛАНГ ТОРМОЗНОЙ 51-3506025-02</x:v>
      </x:c>
      <x:c r="D70" s="16" t="str">
        <x:v>ЗЧ автотрансп оборуд</x:v>
      </x:c>
      <x:c r="E70" s="16" t="str">
        <x:v>ШТ</x:v>
      </x:c>
      <x:c r="F70" s="25" t="n">
        <x:v>4</x:v>
      </x:c>
      <x:c r="G70" s="17" t="n">
        <x:v>28.096600000000002</x:v>
      </x:c>
      <x:c r="H70" s="17" t="n">
        <x:f>G70*F70</x:f>
        <x:v>112.38640000000001</x:v>
      </x:c>
      <x:c r="I70" s="26" t="str">
        <x:f>HYPERLINK("https://etp-aktiv.ru/catalog/materialy/zapasnye-chasti-k-avtotransportnomu-oborudovaniyu/2000691689-W112/","Открыть позицию")</x:f>
        <x:v>Открыть позицию</x:v>
      </x:c>
    </x:row>
    <x:row r="71" ht="28" customHeight="1">
      <x:c r="A71" s="16" t="str">
        <x:v>Барнаульская ТЭЦ-3</x:v>
      </x:c>
      <x:c r="B71" s="16" t="str">
        <x:v>2000004952-W112</x:v>
      </x:c>
      <x:c r="C71" s="16" t="str">
        <x:v>ЭЛЕМЕНТ ФГОМ 236-1012023-А</x:v>
      </x:c>
      <x:c r="D71" s="16" t="str">
        <x:v>ЗЧ автотрансп оборуд</x:v>
      </x:c>
      <x:c r="E71" s="16" t="str">
        <x:v>ШТ</x:v>
      </x:c>
      <x:c r="F71" s="25" t="n">
        <x:v>3</x:v>
      </x:c>
      <x:c r="G71" s="17" t="n">
        <x:v>135.3224</x:v>
      </x:c>
      <x:c r="H71" s="17" t="n">
        <x:f>G71*F71</x:f>
        <x:v>405.96719999999993</x:v>
      </x:c>
      <x:c r="I71" s="26" t="str">
        <x:f>HYPERLINK("https://etp-aktiv.ru/catalog/materialy/zapasnye-chasti-k-avtotransportnomu-oborudovaniyu/2000004952-W112/","Открыть позицию")</x:f>
        <x:v>Открыть позицию</x:v>
      </x:c>
    </x:row>
    <x:row r="72" ht="28" customHeight="1">
      <x:c r="A72" s="16" t="str">
        <x:v>Барнаульская ТЭЦ-3</x:v>
      </x:c>
      <x:c r="B72" s="16" t="str">
        <x:v>2000005686-W112</x:v>
      </x:c>
      <x:c r="C72" s="16" t="str">
        <x:v>ЭЛЕМЕНТ ФИЛЬТРУЮЩИЙ 238Н-1109080</x:v>
      </x:c>
      <x:c r="D72" s="16" t="str">
        <x:v>Фильтры СпецТ/АвТран</x:v>
      </x:c>
      <x:c r="E72" s="16" t="str">
        <x:v>ШТ</x:v>
      </x:c>
      <x:c r="F72" s="25" t="n">
        <x:v>1</x:v>
      </x:c>
      <x:c r="G72" s="17" t="n">
        <x:v>369.2086</x:v>
      </x:c>
      <x:c r="H72" s="17" t="n">
        <x:f>G72*F72</x:f>
        <x:v>369.2086</x:v>
      </x:c>
      <x:c r="I72" s="26" t="str">
        <x:f>HYPERLINK("https://etp-aktiv.ru/catalog/materialy/zapasnye-chasti-k-avtotransportnomu-oborudovaniyu/2000005686-W112/","Открыть позицию")</x:f>
        <x:v>Открыть позицию</x:v>
      </x:c>
    </x:row>
    <x:row r="73" ht="28" customHeight="1">
      <x:c r="A73" s="16" t="str">
        <x:v>Барнаульская ТЭЦ-3</x:v>
      </x:c>
      <x:c r="B73" s="16" t="str">
        <x:v>2000002076-W112</x:v>
      </x:c>
      <x:c r="C73" s="16" t="str">
        <x:v>ЭЛЕМЕНТ ФИЛЬТРУЮЩИЙ 53-1017140</x:v>
      </x:c>
      <x:c r="D73" s="16" t="str">
        <x:v>Фильтры СпецТ/АвТран</x:v>
      </x:c>
      <x:c r="E73" s="16" t="str">
        <x:v>ШТ</x:v>
      </x:c>
      <x:c r="F73" s="25" t="n">
        <x:v>3</x:v>
      </x:c>
      <x:c r="G73" s="17" t="n">
        <x:v>18.226799999999997</x:v>
      </x:c>
      <x:c r="H73" s="17" t="n">
        <x:f>G73*F73</x:f>
        <x:v>54.68039999999999</x:v>
      </x:c>
      <x:c r="I73" s="26" t="str">
        <x:f>HYPERLINK("https://etp-aktiv.ru/catalog/materialy/zapasnye-chasti-k-avtotransportnomu-oborudovaniyu/2000002076-W112/","Открыть позицию")</x:f>
        <x:v>Открыть позицию</x:v>
      </x:c>
    </x:row>
    <x:row r="74" ht="28" customHeight="1">
      <x:c r="A74" s="16" t="str">
        <x:v>Бийскэнерго</x:v>
      </x:c>
      <x:c r="B74" s="16" t="str">
        <x:v>2000535346-W113</x:v>
      </x:c>
      <x:c r="C74" s="16" t="str">
        <x:v>АВТОМАТ АП50Б-3МТ-10А-10IН-400AC-У3</x:v>
      </x:c>
      <x:c r="D74" s="16" t="str">
        <x:v>Низковол апп-ра и ЗЧ</x:v>
      </x:c>
      <x:c r="E74" s="16" t="str">
        <x:v>ШТ</x:v>
      </x:c>
      <x:c r="F74" s="25" t="n">
        <x:v>1</x:v>
      </x:c>
      <x:c r="G74" s="17" t="n">
        <x:v>725.107</x:v>
      </x:c>
      <x:c r="H74" s="17" t="n">
        <x:f>G74*F74</x:f>
        <x:v>725.107</x:v>
      </x:c>
      <x:c r="I74" s="26" t="str">
        <x:f>HYPERLINK("https://etp-aktiv.ru/catalog/materialy/nizkovoltnaya-apparatura-i-zapasnye-chasti/2000535346-W113/","Открыть позицию")</x:f>
        <x:v>Открыть позицию</x:v>
      </x:c>
    </x:row>
    <x:row r="75" ht="28" customHeight="1">
      <x:c r="A75" s="16" t="str">
        <x:v>Бийскэнерго</x:v>
      </x:c>
      <x:c r="B75" s="16" t="str">
        <x:v>2000535271-W113</x:v>
      </x:c>
      <x:c r="C75" s="16" t="str">
        <x:v>АВТОМАТ АП50Б-3МТ-10А-3,5IН-400AC-У3</x:v>
      </x:c>
      <x:c r="D75" s="16" t="str">
        <x:v>Низковол апп-ра и ЗЧ</x:v>
      </x:c>
      <x:c r="E75" s="16" t="str">
        <x:v>ШТ</x:v>
      </x:c>
      <x:c r="F75" s="25" t="n">
        <x:v>1</x:v>
      </x:c>
      <x:c r="G75" s="17" t="n">
        <x:v>84.241</x:v>
      </x:c>
      <x:c r="H75" s="17" t="n">
        <x:f>G75*F75</x:f>
        <x:v>84.241</x:v>
      </x:c>
      <x:c r="I75" s="26" t="str">
        <x:f>HYPERLINK("https://etp-aktiv.ru/catalog/materialy/nizkovoltnaya-apparatura-i-zapasnye-chasti/2000535271-W113/","Открыть позицию")</x:f>
        <x:v>Открыть позицию</x:v>
      </x:c>
    </x:row>
    <x:row r="76" ht="28" customHeight="1">
      <x:c r="A76" s="16" t="str">
        <x:v>Бийскэнерго</x:v>
      </x:c>
      <x:c r="B76" s="16" t="str">
        <x:v>2000535349-W113</x:v>
      </x:c>
      <x:c r="C76" s="16" t="str">
        <x:v>АВТОМАТ АП50Б-3МТ-2,5А-10IН-400AC-У2</x:v>
      </x:c>
      <x:c r="D76" s="16" t="str">
        <x:v>Низковол апп-ра и ЗЧ</x:v>
      </x:c>
      <x:c r="E76" s="16" t="str">
        <x:v>ШТ</x:v>
      </x:c>
      <x:c r="F76" s="25" t="n">
        <x:v>4</x:v>
      </x:c>
      <x:c r="G76" s="17" t="n">
        <x:v>146.02179999999998</x:v>
      </x:c>
      <x:c r="H76" s="17" t="n">
        <x:f>G76*F76</x:f>
        <x:v>584.0871999999999</x:v>
      </x:c>
      <x:c r="I76" s="26" t="str">
        <x:f>HYPERLINK("https://etp-aktiv.ru/catalog/materialy/nizkovoltnaya-apparatura-i-zapasnye-chasti/2000535349-W113/","Открыть позицию")</x:f>
        <x:v>Открыть позицию</x:v>
      </x:c>
    </x:row>
    <x:row r="77" ht="28" customHeight="1">
      <x:c r="A77" s="16" t="str">
        <x:v>Бийскэнерго</x:v>
      </x:c>
      <x:c r="B77" s="16" t="str">
        <x:v>2000535355-W113</x:v>
      </x:c>
      <x:c r="C77" s="16" t="str">
        <x:v>АВТОМАТ АП50Б-3МТ-40А-10IH-400АС-УЗ</x:v>
      </x:c>
      <x:c r="D77" s="16" t="str">
        <x:v>Низковол апп-ра и ЗЧ</x:v>
      </x:c>
      <x:c r="E77" s="16" t="str">
        <x:v>ШТ</x:v>
      </x:c>
      <x:c r="F77" s="25" t="n">
        <x:v>1</x:v>
      </x:c>
      <x:c r="G77" s="17" t="n">
        <x:v>880.6936</x:v>
      </x:c>
      <x:c r="H77" s="17" t="n">
        <x:f>G77*F77</x:f>
        <x:v>880.6936</x:v>
      </x:c>
      <x:c r="I77" s="26" t="str">
        <x:f>HYPERLINK("https://etp-aktiv.ru/catalog/materialy/nizkovoltnaya-apparatura-i-zapasnye-chasti/2000535355-W113/","Открыть позицию")</x:f>
        <x:v>Открыть позицию</x:v>
      </x:c>
    </x:row>
    <x:row r="78" ht="28" customHeight="1">
      <x:c r="A78" s="16" t="str">
        <x:v>Бийскэнерго</x:v>
      </x:c>
      <x:c r="B78" s="16" t="str">
        <x:v>2000131133-W113</x:v>
      </x:c>
      <x:c r="C78" s="16" t="str">
        <x:v>АВТОМАТ ВА 47-29 16А 3P C</x:v>
      </x:c>
      <x:c r="D78" s="16" t="str">
        <x:v>Низковол апп-ра и ЗЧ</x:v>
      </x:c>
      <x:c r="E78" s="16" t="str">
        <x:v>ШТ</x:v>
      </x:c>
      <x:c r="F78" s="25" t="n">
        <x:v>16</x:v>
      </x:c>
      <x:c r="G78" s="17" t="n">
        <x:v>56.3518</x:v>
      </x:c>
      <x:c r="H78" s="17" t="n">
        <x:f>G78*F78</x:f>
        <x:v>901.6288</x:v>
      </x:c>
      <x:c r="I78" s="26" t="str">
        <x:f>HYPERLINK("https://etp-aktiv.ru/catalog/materialy/nizkovoltnaya-apparatura-i-zapasnye-chasti/2000131133-W113/","Открыть позицию")</x:f>
        <x:v>Открыть позицию</x:v>
      </x:c>
    </x:row>
    <x:row r="79" ht="28" customHeight="1">
      <x:c r="A79" s="16" t="str">
        <x:v>Бийскэнерго</x:v>
      </x:c>
      <x:c r="B79" s="16" t="str">
        <x:v>2000167606-W113</x:v>
      </x:c>
      <x:c r="C79" s="16" t="str">
        <x:v>АВТОМАТ ВА 47-29 4А 2Р С</x:v>
      </x:c>
      <x:c r="D79" s="16" t="str">
        <x:v>Низковол апп-ра и ЗЧ</x:v>
      </x:c>
      <x:c r="E79" s="16" t="str">
        <x:v>ШТ</x:v>
      </x:c>
      <x:c r="F79" s="25" t="n">
        <x:v>6</x:v>
      </x:c>
      <x:c r="G79" s="17" t="n">
        <x:v>54.4486</x:v>
      </x:c>
      <x:c r="H79" s="17" t="n">
        <x:f>G79*F79</x:f>
        <x:v>326.6916</x:v>
      </x:c>
      <x:c r="I79" s="26" t="str">
        <x:f>HYPERLINK("https://etp-aktiv.ru/catalog/materialy/nizkovoltnaya-apparatura-i-zapasnye-chasti/2000167606-W113/","Открыть позицию")</x:f>
        <x:v>Открыть позицию</x:v>
      </x:c>
    </x:row>
    <x:row r="80" ht="28" customHeight="1">
      <x:c r="A80" s="16" t="str">
        <x:v>Бийскэнерго</x:v>
      </x:c>
      <x:c r="B80" s="16" t="str">
        <x:v>2000176588-W113</x:v>
      </x:c>
      <x:c r="C80" s="16" t="str">
        <x:v>АВТОМАТ ВА 47-29 4А 3Р В</x:v>
      </x:c>
      <x:c r="D80" s="16" t="str">
        <x:v>Низковол апп-ра и ЗЧ</x:v>
      </x:c>
      <x:c r="E80" s="16" t="str">
        <x:v>ШТ</x:v>
      </x:c>
      <x:c r="F80" s="25" t="n">
        <x:v>2</x:v>
      </x:c>
      <x:c r="G80" s="17" t="n">
        <x:v>64.965</x:v>
      </x:c>
      <x:c r="H80" s="17" t="n">
        <x:f>G80*F80</x:f>
        <x:v>129.93</x:v>
      </x:c>
      <x:c r="I80" s="26" t="str">
        <x:f>HYPERLINK("https://etp-aktiv.ru/catalog/materialy/nizkovoltnaya-apparatura-i-zapasnye-chasti/2000176588-W113/","Открыть позицию")</x:f>
        <x:v>Открыть позицию</x:v>
      </x:c>
    </x:row>
    <x:row r="81" ht="28" customHeight="1">
      <x:c r="A81" s="16" t="str">
        <x:v>Бийскэнерго</x:v>
      </x:c>
      <x:c r="B81" s="16" t="str">
        <x:v>2000019014-W113</x:v>
      </x:c>
      <x:c r="C81" s="16" t="str">
        <x:v>АВТОМАТ ВА 52-37 630А</x:v>
      </x:c>
      <x:c r="D81" s="16" t="str">
        <x:v>Низковол апп-ра и ЗЧ</x:v>
      </x:c>
      <x:c r="E81" s="16" t="str">
        <x:v>ШТ</x:v>
      </x:c>
      <x:c r="F81" s="25" t="n">
        <x:v>2</x:v>
      </x:c>
      <x:c r="G81" s="17" t="n">
        <x:v>9073.7866</x:v>
      </x:c>
      <x:c r="H81" s="17" t="n">
        <x:f>G81*F81</x:f>
        <x:v>18147.5732</x:v>
      </x:c>
      <x:c r="I81" s="26" t="str">
        <x:f>HYPERLINK("https://etp-aktiv.ru/catalog/materialy/nizkovoltnaya-apparatura-i-zapasnye-chasti/2000019014-W113/","Открыть позицию")</x:f>
        <x:v>Открыть позицию</x:v>
      </x:c>
    </x:row>
    <x:row r="82" ht="28" customHeight="1">
      <x:c r="A82" s="16" t="str">
        <x:v>Бийскэнерго</x:v>
      </x:c>
      <x:c r="B82" s="16" t="str">
        <x:v>2001055389-W113</x:v>
      </x:c>
      <x:c r="C82" s="16" t="str">
        <x:v>АВТОМАТ ВА57-35-340010-63А630-690 240017</x:v>
      </x:c>
      <x:c r="D82" s="16" t="str">
        <x:v>Низковол апп-ра и ЗЧ</x:v>
      </x:c>
      <x:c r="E82" s="16" t="str">
        <x:v>ШТ</x:v>
      </x:c>
      <x:c r="F82" s="25" t="n">
        <x:v>3</x:v>
      </x:c>
      <x:c r="G82" s="17" t="n">
        <x:v>2735.85</x:v>
      </x:c>
      <x:c r="H82" s="17" t="n">
        <x:f>G82*F82</x:f>
        <x:v>8207.55</x:v>
      </x:c>
      <x:c r="I82" s="26" t="str">
        <x:f>HYPERLINK("https://etp-aktiv.ru/catalog/materialy/nizkovoltnaya-apparatura-i-zapasnye-chasti/2001055389-W113/","Открыть позицию")</x:f>
        <x:v>Открыть позицию</x:v>
      </x:c>
    </x:row>
    <x:row r="83" ht="28" customHeight="1">
      <x:c r="A83" s="16" t="str">
        <x:v>Бийскэнерго</x:v>
      </x:c>
      <x:c r="B83" s="16" t="str">
        <x:v>2000582601-W113</x:v>
      </x:c>
      <x:c r="C83" s="16" t="str">
        <x:v>АЛЬТЕРНАТОР 871-14-0003</x:v>
      </x:c>
      <x:c r="D83" s="16" t="str">
        <x:v>ЗЧ к ДСТ менее 20т</x:v>
      </x:c>
      <x:c r="E83" s="16" t="str">
        <x:v>ШТ</x:v>
      </x:c>
      <x:c r="F83" s="25" t="n">
        <x:v>1</x:v>
      </x:c>
      <x:c r="G83" s="17" t="n">
        <x:v>28021.875</x:v>
      </x:c>
      <x:c r="H83" s="17" t="n">
        <x:f>G83*F83</x:f>
        <x:v>28021.875</x:v>
      </x:c>
      <x:c r="I83" s="26" t="str">
        <x:f>HYPERLINK("https://etp-aktiv.ru/catalog/materialy/zapasnye-chasti-k-dorozhno-stroitelnoj-tekhnike/2000582601-W113/","Открыть позицию")</x:f>
        <x:v>Открыть позицию</x:v>
      </x:c>
    </x:row>
    <x:row r="84" ht="28" customHeight="1">
      <x:c r="A84" s="16" t="str">
        <x:v>Бийскэнерго</x:v>
      </x:c>
      <x:c r="B84" s="16" t="str">
        <x:v>2000588366-W113</x:v>
      </x:c>
      <x:c r="C84" s="16" t="str">
        <x:v>БЛОК КЛАВИШНЫХ ВЫКЛЮЧАТЕЛ 53.3710-07.17</x:v>
      </x:c>
      <x:c r="D84" s="16" t="str">
        <x:v>ЗЧ к ДСТ менее 20т</x:v>
      </x:c>
      <x:c r="E84" s="16" t="str">
        <x:v>ШТ</x:v>
      </x:c>
      <x:c r="F84" s="25" t="n">
        <x:v>1</x:v>
      </x:c>
      <x:c r="G84" s="17" t="n">
        <x:v>829.2218</x:v>
      </x:c>
      <x:c r="H84" s="17" t="n">
        <x:f>G84*F84</x:f>
        <x:v>829.2218</x:v>
      </x:c>
      <x:c r="I84" s="26" t="str">
        <x:f>HYPERLINK("https://etp-aktiv.ru/catalog/materialy/zapasnye-chasti-k-dorozhno-stroitelnoj-tekhnike/2000588366-W113/","Открыть позицию")</x:f>
        <x:v>Открыть позицию</x:v>
      </x:c>
    </x:row>
    <x:row r="85" ht="28" customHeight="1">
      <x:c r="A85" s="16" t="str">
        <x:v>Бийскэнерго</x:v>
      </x:c>
      <x:c r="B85" s="16" t="str">
        <x:v>2000000817-W113</x:v>
      </x:c>
      <x:c r="C85" s="16" t="str">
        <x:v>БОЛТ 12304</x:v>
      </x:c>
      <x:c r="D85" s="16" t="str">
        <x:v>ЗЧ к ДСТ менее 20т</x:v>
      </x:c>
      <x:c r="E85" s="16" t="str">
        <x:v>ШТ</x:v>
      </x:c>
      <x:c r="F85" s="25" t="n">
        <x:v>20</x:v>
      </x:c>
      <x:c r="G85" s="17" t="n">
        <x:v>15.176799999999998</x:v>
      </x:c>
      <x:c r="H85" s="17" t="n">
        <x:f>G85*F85</x:f>
        <x:v>303.53599999999994</x:v>
      </x:c>
      <x:c r="I85" s="26" t="str">
        <x:f>HYPERLINK("https://etp-aktiv.ru/catalog/materialy/zapasnye-chasti-k-dorozhno-stroitelnoj-tekhnike/2000000817-W113/","Открыть позицию")</x:f>
        <x:v>Открыть позицию</x:v>
      </x:c>
    </x:row>
    <x:row r="86" ht="28" customHeight="1">
      <x:c r="A86" s="16" t="str">
        <x:v>Бийскэнерго</x:v>
      </x:c>
      <x:c r="B86" s="16" t="str">
        <x:v>2000593131-W113</x:v>
      </x:c>
      <x:c r="C86" s="16" t="str">
        <x:v>БОЛТ 376-89-1024-0</x:v>
      </x:c>
      <x:c r="D86" s="16" t="str">
        <x:v>ЗЧ к ДСТ менее 20т</x:v>
      </x:c>
      <x:c r="E86" s="16" t="str">
        <x:v>ШТ</x:v>
      </x:c>
      <x:c r="F86" s="25" t="n">
        <x:v>20</x:v>
      </x:c>
      <x:c r="G86" s="17" t="n">
        <x:v>22.362599999999997</x:v>
      </x:c>
      <x:c r="H86" s="17" t="n">
        <x:f>G86*F86</x:f>
        <x:v>447.25199999999995</x:v>
      </x:c>
      <x:c r="I86" s="26" t="str">
        <x:f>HYPERLINK("https://etp-aktiv.ru/catalog/materialy/zapasnye-chasti-k-dorozhno-stroitelnoj-tekhnike/2000593131-W113/","Открыть позицию")</x:f>
        <x:v>Открыть позицию</x:v>
      </x:c>
    </x:row>
    <x:row r="87" ht="28" customHeight="1">
      <x:c r="A87" s="16" t="str">
        <x:v>Бийскэнерго</x:v>
      </x:c>
      <x:c r="B87" s="16" t="str">
        <x:v>2000593156-W113</x:v>
      </x:c>
      <x:c r="C87" s="16" t="str">
        <x:v>БОЛТ 376-89-1171-0</x:v>
      </x:c>
      <x:c r="D87" s="16" t="str">
        <x:v>ЗЧ к ДСТ менее 20т</x:v>
      </x:c>
      <x:c r="E87" s="16" t="str">
        <x:v>ШТ</x:v>
      </x:c>
      <x:c r="F87" s="25" t="n">
        <x:v>20</x:v>
      </x:c>
      <x:c r="G87" s="17" t="n">
        <x:v>32.086</x:v>
      </x:c>
      <x:c r="H87" s="17" t="n">
        <x:f>G87*F87</x:f>
        <x:v>641.72</x:v>
      </x:c>
      <x:c r="I87" s="26" t="str">
        <x:f>HYPERLINK("https://etp-aktiv.ru/catalog/materialy/zapasnye-chasti-k-dorozhno-stroitelnoj-tekhnike/2000593156-W113/","Открыть позицию")</x:f>
        <x:v>Открыть позицию</x:v>
      </x:c>
    </x:row>
    <x:row r="88" ht="28" customHeight="1">
      <x:c r="A88" s="16" t="str">
        <x:v>Бийскэнерго</x:v>
      </x:c>
      <x:c r="B88" s="16" t="str">
        <x:v>2000593127-W113</x:v>
      </x:c>
      <x:c r="C88" s="16" t="str">
        <x:v>БОЛТ 376-89-1176-0</x:v>
      </x:c>
      <x:c r="D88" s="16" t="str">
        <x:v>ЗЧ к ДСТ менее 20т</x:v>
      </x:c>
      <x:c r="E88" s="16" t="str">
        <x:v>ШТ</x:v>
      </x:c>
      <x:c r="F88" s="25" t="n">
        <x:v>20</x:v>
      </x:c>
      <x:c r="G88" s="17" t="n">
        <x:v>31.11</x:v>
      </x:c>
      <x:c r="H88" s="17" t="n">
        <x:f>G88*F88</x:f>
        <x:v>622.2</x:v>
      </x:c>
      <x:c r="I88" s="26" t="str">
        <x:f>HYPERLINK("https://etp-aktiv.ru/catalog/materialy/zapasnye-chasti-k-dorozhno-stroitelnoj-tekhnike/2000593127-W113/","Открыть позицию")</x:f>
        <x:v>Открыть позицию</x:v>
      </x:c>
    </x:row>
    <x:row r="89" ht="28" customHeight="1">
      <x:c r="A89" s="16" t="str">
        <x:v>Бийскэнерго</x:v>
      </x:c>
      <x:c r="B89" s="16" t="str">
        <x:v>2000523706-W113</x:v>
      </x:c>
      <x:c r="C89" s="16" t="str">
        <x:v>БОЛТ 399-14-1016/743124С1</x:v>
      </x:c>
      <x:c r="D89" s="16" t="str">
        <x:v>ЗЧ к ДСТ менее 20т</x:v>
      </x:c>
      <x:c r="E89" s="16" t="str">
        <x:v>ШТ</x:v>
      </x:c>
      <x:c r="F89" s="25" t="n">
        <x:v>30</x:v>
      </x:c>
      <x:c r="G89" s="17" t="n">
        <x:v>686.25</x:v>
      </x:c>
      <x:c r="H89" s="17" t="n">
        <x:f>G89*F89</x:f>
        <x:v>20587.5</x:v>
      </x:c>
      <x:c r="I89" s="26" t="str">
        <x:f>HYPERLINK("https://etp-aktiv.ru/catalog/materialy/zapasnye-chasti-k-dorozhno-stroitelnoj-tekhnike/2000523706-W113/","Открыть позицию")</x:f>
        <x:v>Открыть позицию</x:v>
      </x:c>
    </x:row>
    <x:row r="90" ht="28" customHeight="1">
      <x:c r="A90" s="16" t="str">
        <x:v>Бийскэнерго</x:v>
      </x:c>
      <x:c r="B90" s="16" t="str">
        <x:v>2000002535-W113</x:v>
      </x:c>
      <x:c r="C90" s="16" t="str">
        <x:v>БОЛТ 700-28-2546</x:v>
      </x:c>
      <x:c r="D90" s="16" t="str">
        <x:v>ЗЧ к ДСТ менее 20т</x:v>
      </x:c>
      <x:c r="E90" s="16" t="str">
        <x:v>ШТ</x:v>
      </x:c>
      <x:c r="F90" s="25" t="n">
        <x:v>50</x:v>
      </x:c>
      <x:c r="G90" s="17" t="n">
        <x:v>81.0568</x:v>
      </x:c>
      <x:c r="H90" s="17" t="n">
        <x:f>G90*F90</x:f>
        <x:v>4052.8399999999997</x:v>
      </x:c>
      <x:c r="I90" s="26" t="str">
        <x:f>HYPERLINK("https://etp-aktiv.ru/catalog/materialy/zapasnye-chasti-k-dorozhno-stroitelnoj-tekhnike/2000002535-W113/","Открыть позицию")</x:f>
        <x:v>Открыть позицию</x:v>
      </x:c>
    </x:row>
    <x:row r="91" ht="28" customHeight="1">
      <x:c r="A91" s="16" t="str">
        <x:v>Бийскэнерго</x:v>
      </x:c>
      <x:c r="B91" s="16" t="str">
        <x:v>2000000380-W113</x:v>
      </x:c>
      <x:c r="C91" s="16" t="str">
        <x:v>БОЛТ М12-6G*35 201542</x:v>
      </x:c>
      <x:c r="D91" s="16" t="str">
        <x:v>ЗЧ КарьерТехнБЕЛАЗ</x:v>
      </x:c>
      <x:c r="E91" s="16" t="str">
        <x:v>ШТ</x:v>
      </x:c>
      <x:c r="F91" s="25" t="n">
        <x:v>20</x:v>
      </x:c>
      <x:c r="G91" s="17" t="n">
        <x:v>16.592</x:v>
      </x:c>
      <x:c r="H91" s="17" t="n">
        <x:f>G91*F91</x:f>
        <x:v>331.84</x:v>
      </x:c>
      <x:c r="I91" s="26" t="str">
        <x:f>HYPERLINK("https://etp-aktiv.ru/catalog/materialy/zapasnye-chasti-k-gorno-shahtnomu-oborudovaniyu/2000000380-W113/","Открыть позицию")</x:f>
        <x:v>Открыть позицию</x:v>
      </x:c>
    </x:row>
    <x:row r="92" ht="28" customHeight="1">
      <x:c r="A92" s="16" t="str">
        <x:v>Бийскэнерго</x:v>
      </x:c>
      <x:c r="B92" s="16" t="str">
        <x:v>2000047756-W113</x:v>
      </x:c>
      <x:c r="C92" s="16" t="str">
        <x:v>БОЛТ М20*70 340623</x:v>
      </x:c>
      <x:c r="D92" s="16" t="str">
        <x:v>ЗЧ автотрансп оборуд</x:v>
      </x:c>
      <x:c r="E92" s="16" t="str">
        <x:v>ШТ</x:v>
      </x:c>
      <x:c r="F92" s="25" t="n">
        <x:v>45</x:v>
      </x:c>
      <x:c r="G92" s="17" t="n">
        <x:v>82.35</x:v>
      </x:c>
      <x:c r="H92" s="17" t="n">
        <x:f>G92*F92</x:f>
        <x:v>3705.7499999999995</x:v>
      </x:c>
      <x:c r="I92" s="26" t="str">
        <x:f>HYPERLINK("https://etp-aktiv.ru/catalog/materialy/zapasnye-chasti-k-avtotransportnomu-oborudovaniyu/2000047756-W113/","Открыть позицию")</x:f>
        <x:v>Открыть позицию</x:v>
      </x:c>
    </x:row>
    <x:row r="93" ht="28" customHeight="1">
      <x:c r="A93" s="16" t="str">
        <x:v>Бийскэнерго</x:v>
      </x:c>
      <x:c r="B93" s="16" t="str">
        <x:v>2000010063-W113</x:v>
      </x:c>
      <x:c r="C93" s="16" t="str">
        <x:v>ВЕНЕЦ 60-19-2</x:v>
      </x:c>
      <x:c r="D93" s="16" t="str">
        <x:v>ЗЧ к ДСТ менее 20т</x:v>
      </x:c>
      <x:c r="E93" s="16" t="str">
        <x:v>ШТ</x:v>
      </x:c>
      <x:c r="F93" s="25" t="n">
        <x:v>2</x:v>
      </x:c>
      <x:c r="G93" s="17" t="n">
        <x:v>4214.2582</x:v>
      </x:c>
      <x:c r="H93" s="17" t="n">
        <x:f>G93*F93</x:f>
        <x:v>8428.5164</x:v>
      </x:c>
      <x:c r="I93" s="26" t="str">
        <x:f>HYPERLINK("https://etp-aktiv.ru/catalog/materialy/zapasnye-chasti-k-dorozhno-stroitelnoj-tekhnike/2000010063-W113/","Открыть позицию")</x:f>
        <x:v>Открыть позицию</x:v>
      </x:c>
    </x:row>
    <x:row r="94" ht="28" customHeight="1">
      <x:c r="A94" s="16" t="str">
        <x:v>Бийскэнерго</x:v>
      </x:c>
      <x:c r="B94" s="16" t="str">
        <x:v>2000578447-W113</x:v>
      </x:c>
      <x:c r="C94" s="16" t="str">
        <x:v>ВЕНТИЛЯТОР 855-01-0495</x:v>
      </x:c>
      <x:c r="D94" s="16" t="str">
        <x:v>ЗЧ к ДСТ менее 20т</x:v>
      </x:c>
      <x:c r="E94" s="16" t="str">
        <x:v>ШТ</x:v>
      </x:c>
      <x:c r="F94" s="25" t="n">
        <x:v>1</x:v>
      </x:c>
      <x:c r="G94" s="17" t="n">
        <x:v>10851.338800000001</x:v>
      </x:c>
      <x:c r="H94" s="17" t="n">
        <x:f>G94*F94</x:f>
        <x:v>10851.338800000001</x:v>
      </x:c>
      <x:c r="I94" s="26" t="str">
        <x:f>HYPERLINK("https://etp-aktiv.ru/catalog/materialy/zapasnye-chasti-k-dorozhno-stroitelnoj-tekhnike/2000578447-W113/","Открыть позицию")</x:f>
        <x:v>Открыть позицию</x:v>
      </x:c>
    </x:row>
    <x:row r="95" ht="28" customHeight="1">
      <x:c r="A95" s="16" t="str">
        <x:v>Бийскэнерго</x:v>
      </x:c>
      <x:c r="B95" s="16" t="str">
        <x:v>2000523852-W113</x:v>
      </x:c>
      <x:c r="C95" s="16" t="str">
        <x:v>ВЫКЛЮЧАТЕЛЬ ГЛАВ 871-05-0034</x:v>
      </x:c>
      <x:c r="D95" s="16" t="str">
        <x:v>ЗЧ к ДСТ менее 20т</x:v>
      </x:c>
      <x:c r="E95" s="16" t="str">
        <x:v>ШТ</x:v>
      </x:c>
      <x:c r="F95" s="25" t="n">
        <x:v>1</x:v>
      </x:c>
      <x:c r="G95" s="17" t="n">
        <x:v>10238.85</x:v>
      </x:c>
      <x:c r="H95" s="17" t="n">
        <x:f>G95*F95</x:f>
        <x:v>10238.85</x:v>
      </x:c>
      <x:c r="I95" s="26" t="str">
        <x:f>HYPERLINK("https://etp-aktiv.ru/catalog/materialy/zapasnye-chasti-k-dorozhno-stroitelnoj-tekhnike/2000523852-W113/","Открыть позицию")</x:f>
        <x:v>Открыть позицию</x:v>
      </x:c>
    </x:row>
    <x:row r="96" ht="28" customHeight="1">
      <x:c r="A96" s="16" t="str">
        <x:v>Бийскэнерго</x:v>
      </x:c>
      <x:c r="B96" s="16" t="str">
        <x:v>2000528678-W113</x:v>
      </x:c>
      <x:c r="C96" s="16" t="str">
        <x:v>ВЫКЛЮЧАТЕЛЬ МАССЫ ВК318Б</x:v>
      </x:c>
      <x:c r="D96" s="16" t="str">
        <x:v>ЗЧ автотрансп оборуд</x:v>
      </x:c>
      <x:c r="E96" s="16" t="str">
        <x:v>ШТ</x:v>
      </x:c>
      <x:c r="F96" s="25" t="n">
        <x:v>2</x:v>
      </x:c>
      <x:c r="G96" s="17" t="n">
        <x:v>137.25</x:v>
      </x:c>
      <x:c r="H96" s="17" t="n">
        <x:f>G96*F96</x:f>
        <x:v>274.5</x:v>
      </x:c>
      <x:c r="I96" s="26" t="str">
        <x:f>HYPERLINK("https://etp-aktiv.ru/catalog/materialy/zapasnye-chasti-k-avtotransportnomu-oborudovaniyu/2000528678-W113/","Открыть позицию")</x:f>
        <x:v>Открыть позицию</x:v>
      </x:c>
    </x:row>
    <x:row r="97" ht="28" customHeight="1">
      <x:c r="A97" s="16" t="str">
        <x:v>Бийскэнерго</x:v>
      </x:c>
      <x:c r="B97" s="16" t="str">
        <x:v>2000523698-W113</x:v>
      </x:c>
      <x:c r="C97" s="16" t="str">
        <x:v>ГАЙКА 376-89-1313-0/25531R1</x:v>
      </x:c>
      <x:c r="D97" s="16" t="str">
        <x:v>ЗЧ к ДСТ менее 20т</x:v>
      </x:c>
      <x:c r="E97" s="16" t="str">
        <x:v>ШТ</x:v>
      </x:c>
      <x:c r="F97" s="25" t="n">
        <x:v>50</x:v>
      </x:c>
      <x:c r="G97" s="17" t="n">
        <x:v>348.8468</x:v>
      </x:c>
      <x:c r="H97" s="17" t="n">
        <x:f>G97*F97</x:f>
        <x:v>17442.34</x:v>
      </x:c>
      <x:c r="I97" s="26" t="str">
        <x:f>HYPERLINK("https://etp-aktiv.ru/catalog/materialy/zapasnye-chasti-k-dorozhno-stroitelnoj-tekhnike/2000523698-W113/","Открыть позицию")</x:f>
        <x:v>Открыть позицию</x:v>
      </x:c>
    </x:row>
    <x:row r="98" ht="28" customHeight="1">
      <x:c r="A98" s="16" t="str">
        <x:v>Бийскэнерго</x:v>
      </x:c>
      <x:c r="B98" s="16" t="str">
        <x:v>2000582598-W113</x:v>
      </x:c>
      <x:c r="C98" s="16" t="str">
        <x:v>ГАЙКА 399-08-1023</x:v>
      </x:c>
      <x:c r="D98" s="16" t="str">
        <x:v>ЗЧ к ДСТ менее 20т</x:v>
      </x:c>
      <x:c r="E98" s="16" t="str">
        <x:v>ШТ</x:v>
      </x:c>
      <x:c r="F98" s="25" t="n">
        <x:v>30</x:v>
      </x:c>
      <x:c r="G98" s="17" t="n">
        <x:v>990.7742</x:v>
      </x:c>
      <x:c r="H98" s="17" t="n">
        <x:f>G98*F98</x:f>
        <x:v>29723.226</x:v>
      </x:c>
      <x:c r="I98" s="26" t="str">
        <x:f>HYPERLINK("https://etp-aktiv.ru/catalog/materialy/zapasnye-chasti-k-dorozhno-stroitelnoj-tekhnike/2000582598-W113/","Открыть позицию")</x:f>
        <x:v>Открыть позицию</x:v>
      </x:c>
    </x:row>
    <x:row r="99" ht="28" customHeight="1">
      <x:c r="A99" s="16" t="str">
        <x:v>Бийскэнерго</x:v>
      </x:c>
      <x:c r="B99" s="16" t="str">
        <x:v>2000166654-W113</x:v>
      </x:c>
      <x:c r="C99" s="16" t="str">
        <x:v>ГАЙКА М20 3015</x:v>
      </x:c>
      <x:c r="D99" s="16" t="str">
        <x:v>ЗЧ к ДСТ менее 20т</x:v>
      </x:c>
      <x:c r="E99" s="16" t="str">
        <x:v>ШТ</x:v>
      </x:c>
      <x:c r="F99" s="25" t="n">
        <x:v>50</x:v>
      </x:c>
      <x:c r="G99" s="17" t="n">
        <x:v>17.751</x:v>
      </x:c>
      <x:c r="H99" s="17" t="n">
        <x:f>G99*F99</x:f>
        <x:v>887.5500000000001</x:v>
      </x:c>
      <x:c r="I99" s="26" t="str">
        <x:f>HYPERLINK("https://etp-aktiv.ru/catalog/materialy/zapasnye-chasti-k-dorozhno-stroitelnoj-tekhnike/2000166654-W113/","Открыть позицию")</x:f>
        <x:v>Открыть позицию</x:v>
      </x:c>
    </x:row>
    <x:row r="100" ht="28" customHeight="1">
      <x:c r="A100" s="16" t="str">
        <x:v>Бийскэнерго</x:v>
      </x:c>
      <x:c r="B100" s="16" t="str">
        <x:v>2000721859-W113</x:v>
      </x:c>
      <x:c r="C100" s="16" t="str">
        <x:v>ГЕНЕРАТОР ДВС Г1000В.10.1</x:v>
      </x:c>
      <x:c r="D100" s="16" t="str">
        <x:v>ЗЧ КарьернТехнЧетра</x:v>
      </x:c>
      <x:c r="E100" s="16" t="str">
        <x:v>ШТ</x:v>
      </x:c>
      <x:c r="F100" s="25" t="n">
        <x:v>2</x:v>
      </x:c>
      <x:c r="G100" s="17" t="n">
        <x:v>3977.9563999999996</x:v>
      </x:c>
      <x:c r="H100" s="17" t="n">
        <x:f>G100*F100</x:f>
        <x:v>7955.912799999999</x:v>
      </x:c>
      <x:c r="I100" s="26" t="str">
        <x:f>HYPERLINK("https://etp-aktiv.ru/catalog/materialy/zapasnye-chasti-k-dorozhno-stroitelnoj-tekhnike/2000721859-W113/","Открыть позицию")</x:f>
        <x:v>Открыть позицию</x:v>
      </x:c>
    </x:row>
    <x:row r="101" ht="28" customHeight="1">
      <x:c r="A101" s="16" t="str">
        <x:v>Бийскэнерго</x:v>
      </x:c>
      <x:c r="B101" s="16" t="str">
        <x:v>2000443199-W113</x:v>
      </x:c>
      <x:c r="C101" s="16" t="str">
        <x:v>ДАТЧИК 492147300</x:v>
      </x:c>
      <x:c r="D101" s="16" t="str">
        <x:v>ЗЧ к ДВС Cummins</x:v>
      </x:c>
      <x:c r="E101" s="16" t="str">
        <x:v>ШТ</x:v>
      </x:c>
      <x:c r="F101" s="25" t="n">
        <x:v>1</x:v>
      </x:c>
      <x:c r="G101" s="17" t="n">
        <x:v>2557.9739999999997</x:v>
      </x:c>
      <x:c r="H101" s="17" t="n">
        <x:f>G101*F101</x:f>
        <x:v>2557.9739999999997</x:v>
      </x:c>
      <x:c r="I101" s="26" t="str">
        <x:f>HYPERLINK("https://etp-aktiv.ru/catalog/materialy/zapasnye-chasti-k-dorozhno-stroitelnoj-tekhnike/2000443199-W113/","Открыть позицию")</x:f>
        <x:v>Открыть позицию</x:v>
      </x:c>
    </x:row>
    <x:row r="102" ht="28" customHeight="1">
      <x:c r="A102" s="16" t="str">
        <x:v>Бийскэнерго</x:v>
      </x:c>
      <x:c r="B102" s="16" t="str">
        <x:v>2000443200-W113</x:v>
      </x:c>
      <x:c r="C102" s="16" t="str">
        <x:v>ДАТЧИК 492147500</x:v>
      </x:c>
      <x:c r="D102" s="16" t="str">
        <x:v>ЗЧ к ДВС Cummins</x:v>
      </x:c>
      <x:c r="E102" s="16" t="str">
        <x:v>ШТ</x:v>
      </x:c>
      <x:c r="F102" s="25" t="n">
        <x:v>1</x:v>
      </x:c>
      <x:c r="G102" s="17" t="n">
        <x:v>4052.4496</x:v>
      </x:c>
      <x:c r="H102" s="17" t="n">
        <x:f>G102*F102</x:f>
        <x:v>4052.4496</x:v>
      </x:c>
      <x:c r="I102" s="26" t="str">
        <x:f>HYPERLINK("https://etp-aktiv.ru/catalog/materialy/zapasnye-chasti-k-dorozhno-stroitelnoj-tekhnike/2000443200-W113/","Открыть позицию")</x:f>
        <x:v>Открыть позицию</x:v>
      </x:c>
    </x:row>
    <x:row r="103" ht="28" customHeight="1">
      <x:c r="A103" s="16" t="str">
        <x:v>Бийскэнерго</x:v>
      </x:c>
      <x:c r="B103" s="16" t="str">
        <x:v>2000574397-W113</x:v>
      </x:c>
      <x:c r="C103" s="16" t="str">
        <x:v>ДИСК OFF-ROAD 01 БЕЛ 7*16 5*139 20 108,7</x:v>
      </x:c>
      <x:c r="D103" s="16" t="str">
        <x:v>ЗЧ автотрансп оборуд</x:v>
      </x:c>
      <x:c r="E103" s="16" t="str">
        <x:v>ШТ</x:v>
      </x:c>
      <x:c r="F103" s="25" t="n">
        <x:v>4</x:v>
      </x:c>
      <x:c r="G103" s="17" t="n">
        <x:v>867.3468</x:v>
      </x:c>
      <x:c r="H103" s="17" t="n">
        <x:f>G103*F103</x:f>
        <x:v>3469.3872</x:v>
      </x:c>
      <x:c r="I103" s="26" t="str">
        <x:f>HYPERLINK("https://etp-aktiv.ru/catalog/materialy/zapasnye-chasti-k-avtotransportnomu-oborudovaniyu/2000574397-W113/","Открыть позицию")</x:f>
        <x:v>Открыть позицию</x:v>
      </x:c>
    </x:row>
    <x:row r="104" ht="28" customHeight="1">
      <x:c r="A104" s="16" t="str">
        <x:v>Бийскэнерго</x:v>
      </x:c>
      <x:c r="B104" s="16" t="str">
        <x:v>2000220536-W113</x:v>
      </x:c>
      <x:c r="C104" s="16" t="str">
        <x:v>ЗАМОК-ВЫКЛЮЧАТЕЛЬ ВК-856</x:v>
      </x:c>
      <x:c r="D104" s="16" t="str">
        <x:v>ЗЧ к ДСТ менее 20т</x:v>
      </x:c>
      <x:c r="E104" s="16" t="str">
        <x:v>ШТ</x:v>
      </x:c>
      <x:c r="F104" s="25" t="n">
        <x:v>2</x:v>
      </x:c>
      <x:c r="G104" s="17" t="n">
        <x:v>254.5164</x:v>
      </x:c>
      <x:c r="H104" s="17" t="n">
        <x:f>G104*F104</x:f>
        <x:v>509.0328</x:v>
      </x:c>
      <x:c r="I104" s="26" t="str">
        <x:f>HYPERLINK("https://etp-aktiv.ru/catalog/materialy/zapasnye-chasti-k-dorozhno-stroitelnoj-tekhnike/2000220536-W113/","Открыть позицию")</x:f>
        <x:v>Открыть позицию</x:v>
      </x:c>
    </x:row>
    <x:row r="105" ht="28" customHeight="1">
      <x:c r="A105" s="16" t="str">
        <x:v>Бийскэнерго</x:v>
      </x:c>
      <x:c r="B105" s="16" t="str">
        <x:v>2000529535-W113</x:v>
      </x:c>
      <x:c r="C105" s="16" t="str">
        <x:v>КЛЕММА АКБ 12000286</x:v>
      </x:c>
      <x:c r="D105" s="16" t="str">
        <x:v>ЗЧ автотрансп оборуд</x:v>
      </x:c>
      <x:c r="E105" s="16" t="str">
        <x:v>КМП</x:v>
      </x:c>
      <x:c r="F105" s="25" t="n">
        <x:v>24</x:v>
      </x:c>
      <x:c r="G105" s="17" t="n">
        <x:v>152.7806</x:v>
      </x:c>
      <x:c r="H105" s="17" t="n">
        <x:f>G105*F105</x:f>
        <x:v>3666.7344</x:v>
      </x:c>
      <x:c r="I105" s="26" t="str">
        <x:f>HYPERLINK("https://etp-aktiv.ru/catalog/materialy/zapasnye-chasti-k-avtotransportnomu-oborudovaniyu/2000529535-W113/","Открыть позицию")</x:f>
        <x:v>Открыть позицию</x:v>
      </x:c>
    </x:row>
    <x:row r="106" ht="28" customHeight="1">
      <x:c r="A106" s="16" t="str">
        <x:v>Бийскэнерго</x:v>
      </x:c>
      <x:c r="B106" s="16" t="str">
        <x:v>2000582594-W113</x:v>
      </x:c>
      <x:c r="C106" s="16" t="str">
        <x:v>КОЛЕНО 376-89-0046</x:v>
      </x:c>
      <x:c r="D106" s="16" t="str">
        <x:v>ЗЧ к ДСТ менее 20т</x:v>
      </x:c>
      <x:c r="E106" s="16" t="str">
        <x:v>ШТ</x:v>
      </x:c>
      <x:c r="F106" s="25" t="n">
        <x:v>3</x:v>
      </x:c>
      <x:c r="G106" s="17" t="n">
        <x:v>935.923</x:v>
      </x:c>
      <x:c r="H106" s="17" t="n">
        <x:f>G106*F106</x:f>
        <x:v>2807.7690000000002</x:v>
      </x:c>
      <x:c r="I106" s="26" t="str">
        <x:f>HYPERLINK("https://etp-aktiv.ru/catalog/materialy/zapasnye-chasti-k-dorozhno-stroitelnoj-tekhnike/2000582594-W113/","Открыть позицию")</x:f>
        <x:v>Открыть позицию</x:v>
      </x:c>
    </x:row>
    <x:row r="107" ht="28" customHeight="1">
      <x:c r="A107" s="16" t="str">
        <x:v>Бийскэнерго</x:v>
      </x:c>
      <x:c r="B107" s="16" t="str">
        <x:v>2000058581-W113</x:v>
      </x:c>
      <x:c r="C107" s="16" t="str">
        <x:v>КОЛЬЦО TD25G 881-03-2015 1268179 Н1</x:v>
      </x:c>
      <x:c r="D107" s="16" t="str">
        <x:v>ЗЧ к ДСТ менее 20т</x:v>
      </x:c>
      <x:c r="E107" s="16" t="str">
        <x:v>ШТ</x:v>
      </x:c>
      <x:c r="F107" s="25" t="n">
        <x:v>1</x:v>
      </x:c>
      <x:c r="G107" s="17" t="n">
        <x:v>3304.98</x:v>
      </x:c>
      <x:c r="H107" s="17" t="n">
        <x:f>G107*F107</x:f>
        <x:v>3304.98</x:v>
      </x:c>
      <x:c r="I107" s="26" t="str">
        <x:f>HYPERLINK("https://etp-aktiv.ru/catalog/materialy/zapasnye-chasti-k-dorozhno-stroitelnoj-tekhnike/2000058581-W113/","Открыть позицию")</x:f>
        <x:v>Открыть позицию</x:v>
      </x:c>
    </x:row>
    <x:row r="108" ht="28" customHeight="1">
      <x:c r="A108" s="16" t="str">
        <x:v>Бийскэнерго</x:v>
      </x:c>
      <x:c r="B108" s="16" t="str">
        <x:v>2000523861-W113</x:v>
      </x:c>
      <x:c r="C108" s="16" t="str">
        <x:v>КОЛЬЦО СКОЛЬЗЯЩЕЕ 885-06-0019/322768R1</x:v>
      </x:c>
      <x:c r="D108" s="16" t="str">
        <x:v>ЗЧ к ДСТ менее 20т</x:v>
      </x:c>
      <x:c r="E108" s="16" t="str">
        <x:v>ШТ</x:v>
      </x:c>
      <x:c r="F108" s="25" t="n">
        <x:v>2</x:v>
      </x:c>
      <x:c r="G108" s="17" t="n">
        <x:v>686.25</x:v>
      </x:c>
      <x:c r="H108" s="17" t="n">
        <x:f>G108*F108</x:f>
        <x:v>1372.5</x:v>
      </x:c>
      <x:c r="I108" s="26" t="str">
        <x:f>HYPERLINK("https://etp-aktiv.ru/catalog/materialy/zapasnye-chasti-k-dorozhno-stroitelnoj-tekhnike/2000523861-W113/","Открыть позицию")</x:f>
        <x:v>Открыть позицию</x:v>
      </x:c>
    </x:row>
    <x:row r="109" ht="28" customHeight="1">
      <x:c r="A109" s="16" t="str">
        <x:v>Бийскэнерго</x:v>
      </x:c>
      <x:c r="B109" s="16" t="str">
        <x:v>2000586246-W113</x:v>
      </x:c>
      <x:c r="C109" s="16" t="str">
        <x:v>КОЛЬЦО СКРЕБКОВОЕ 881-07-1011</x:v>
      </x:c>
      <x:c r="D109" s="16" t="str">
        <x:v>ЗЧ к ДСТ менее 20т</x:v>
      </x:c>
      <x:c r="E109" s="16" t="str">
        <x:v>ШТ</x:v>
      </x:c>
      <x:c r="F109" s="25" t="n">
        <x:v>1</x:v>
      </x:c>
      <x:c r="G109" s="17" t="n">
        <x:v>779.702</x:v>
      </x:c>
      <x:c r="H109" s="17" t="n">
        <x:f>G109*F109</x:f>
        <x:v>779.702</x:v>
      </x:c>
      <x:c r="I109" s="26" t="str">
        <x:f>HYPERLINK("https://etp-aktiv.ru/catalog/materialy/zapasnye-chasti-k-dorozhno-stroitelnoj-tekhnike/2000586246-W113/","Открыть позицию")</x:f>
        <x:v>Открыть позицию</x:v>
      </x:c>
    </x:row>
    <x:row r="110" ht="28" customHeight="1">
      <x:c r="A110" s="16" t="str">
        <x:v>Бийскэнерго</x:v>
      </x:c>
      <x:c r="B110" s="16" t="str">
        <x:v>2000246650-W113</x:v>
      </x:c>
      <x:c r="C110" s="16" t="str">
        <x:v>КОЛЬЦО УПЛОТНИТЕЛЬНОЕ 145581</x:v>
      </x:c>
      <x:c r="D110" s="16" t="str">
        <x:v>ЗЧ к ДВС Cummins</x:v>
      </x:c>
      <x:c r="E110" s="16" t="str">
        <x:v>ШТ</x:v>
      </x:c>
      <x:c r="F110" s="25" t="n">
        <x:v>6</x:v>
      </x:c>
      <x:c r="G110" s="17" t="n">
        <x:v>281.9298</x:v>
      </x:c>
      <x:c r="H110" s="17" t="n">
        <x:f>G110*F110</x:f>
        <x:v>1691.5788</x:v>
      </x:c>
      <x:c r="I110" s="26" t="str">
        <x:f>HYPERLINK("https://etp-aktiv.ru/catalog/materialy/zapasnye-chasti-k-dorozhno-stroitelnoj-tekhnike/2000246650-W113/","Открыть позицию")</x:f>
        <x:v>Открыть позицию</x:v>
      </x:c>
    </x:row>
    <x:row r="111" ht="28" customHeight="1">
      <x:c r="A111" s="16" t="str">
        <x:v>Бийскэнерго</x:v>
      </x:c>
      <x:c r="B111" s="16" t="str">
        <x:v>2000003897-W113</x:v>
      </x:c>
      <x:c r="C111" s="16" t="str">
        <x:v>КРАН ПП6-1</x:v>
      </x:c>
      <x:c r="D111" s="16" t="str">
        <x:v>ЗЧ к ДСТ менее 20т</x:v>
      </x:c>
      <x:c r="E111" s="16" t="str">
        <x:v>ШТ</x:v>
      </x:c>
      <x:c r="F111" s="25" t="n">
        <x:v>1</x:v>
      </x:c>
      <x:c r="G111" s="17" t="n">
        <x:v>207.5952</x:v>
      </x:c>
      <x:c r="H111" s="17" t="n">
        <x:f>G111*F111</x:f>
        <x:v>207.5952</x:v>
      </x:c>
      <x:c r="I111" s="26" t="str">
        <x:f>HYPERLINK("https://etp-aktiv.ru/catalog/materialy/zapasnye-chasti-k-dorozhno-stroitelnoj-tekhnike/2000003897-W113/","Открыть позицию")</x:f>
        <x:v>Открыть позицию</x:v>
      </x:c>
    </x:row>
    <x:row r="112" ht="28" customHeight="1">
      <x:c r="A112" s="16" t="str">
        <x:v>Бийскэнерго</x:v>
      </x:c>
      <x:c r="B112" s="16" t="str">
        <x:v>2000523851-W113</x:v>
      </x:c>
      <x:c r="C112" s="16" t="str">
        <x:v>ЛАМПА 871-03-1014</x:v>
      </x:c>
      <x:c r="D112" s="16" t="str">
        <x:v>ЗЧ к ДСТ менее 20т</x:v>
      </x:c>
      <x:c r="E112" s="16" t="str">
        <x:v>ШТ</x:v>
      </x:c>
      <x:c r="F112" s="25" t="n">
        <x:v>10</x:v>
      </x:c>
      <x:c r="G112" s="17" t="n">
        <x:v>2766.4476</x:v>
      </x:c>
      <x:c r="H112" s="17" t="n">
        <x:f>G112*F112</x:f>
        <x:v>27664.476</x:v>
      </x:c>
      <x:c r="I112" s="26" t="str">
        <x:f>HYPERLINK("https://etp-aktiv.ru/catalog/materialy/zapasnye-chasti-k-dorozhno-stroitelnoj-tekhnike/2000523851-W113/","Открыть позицию")</x:f>
        <x:v>Открыть позицию</x:v>
      </x:c>
    </x:row>
    <x:row r="113" ht="28" customHeight="1">
      <x:c r="A113" s="16" t="str">
        <x:v>Бийскэнерго</x:v>
      </x:c>
      <x:c r="B113" s="16" t="str">
        <x:v>2000656006-W113</x:v>
      </x:c>
      <x:c r="C113" s="16" t="str">
        <x:v>НАБОР ПРОКЛАДОК ПД-23 1525</x:v>
      </x:c>
      <x:c r="D113" s="16" t="str">
        <x:v>ЗЧ КарьернТехнЧетра</x:v>
      </x:c>
      <x:c r="E113" s="16" t="str">
        <x:v>ШТ</x:v>
      </x:c>
      <x:c r="F113" s="25" t="n">
        <x:v>2</x:v>
      </x:c>
      <x:c r="G113" s="17" t="n">
        <x:v>961.9821999999999</x:v>
      </x:c>
      <x:c r="H113" s="17" t="n">
        <x:f>G113*F113</x:f>
        <x:v>1923.9643999999998</x:v>
      </x:c>
      <x:c r="I113" s="26" t="str">
        <x:f>HYPERLINK("https://etp-aktiv.ru/catalog/materialy/zapasnye-chasti-k-dorozhno-stroitelnoj-tekhnike/2000656006-W113/","Открыть позицию")</x:f>
        <x:v>Открыть позицию</x:v>
      </x:c>
    </x:row>
    <x:row r="114" ht="28" customHeight="1">
      <x:c r="A114" s="16" t="str">
        <x:v>Бийскэнерго</x:v>
      </x:c>
      <x:c r="B114" s="16" t="str">
        <x:v>2000175047-W113</x:v>
      </x:c>
      <x:c r="C114" s="16" t="str">
        <x:v>ПАТРОН ЛВ211.3714329</x:v>
      </x:c>
      <x:c r="D114" s="16" t="str">
        <x:v>ЗЧ автотрансп оборуд</x:v>
      </x:c>
      <x:c r="E114" s="16" t="str">
        <x:v>ШТ</x:v>
      </x:c>
      <x:c r="F114" s="25" t="n">
        <x:v>5</x:v>
      </x:c>
      <x:c r="G114" s="17" t="n">
        <x:v>34.318599999999996</x:v>
      </x:c>
      <x:c r="H114" s="17" t="n">
        <x:f>G114*F114</x:f>
        <x:v>171.593</x:v>
      </x:c>
      <x:c r="I114" s="26" t="str">
        <x:f>HYPERLINK("https://etp-aktiv.ru/catalog/materialy/zapasnye-chasti-k-avtotransportnomu-oborudovaniyu/2000175047-W113/","Открыть позицию")</x:f>
        <x:v>Открыть позицию</x:v>
      </x:c>
    </x:row>
    <x:row r="115" ht="28" customHeight="1">
      <x:c r="A115" s="16" t="str">
        <x:v>Бийскэнерго</x:v>
      </x:c>
      <x:c r="B115" s="16" t="str">
        <x:v>2000673751-W113</x:v>
      </x:c>
      <x:c r="C115" s="16" t="str">
        <x:v>ПРОКЛАДКА ПОДДОНА 4026684</x:v>
      </x:c>
      <x:c r="D115" s="16" t="str">
        <x:v>ЗЧ к ДВС Cummins</x:v>
      </x:c>
      <x:c r="E115" s="16" t="str">
        <x:v>ШТ</x:v>
      </x:c>
      <x:c r="F115" s="25" t="n">
        <x:v>2</x:v>
      </x:c>
      <x:c r="G115" s="17" t="n">
        <x:v>7806.096799999999</x:v>
      </x:c>
      <x:c r="H115" s="17" t="n">
        <x:f>G115*F115</x:f>
        <x:v>15612.193599999999</x:v>
      </x:c>
      <x:c r="I115" s="26" t="str">
        <x:f>HYPERLINK("https://etp-aktiv.ru/catalog/materialy/zapasnye-chasti-k-dorozhno-stroitelnoj-tekhnike/2000673751-W113/","Открыть позицию")</x:f>
        <x:v>Открыть позицию</x:v>
      </x:c>
    </x:row>
    <x:row r="116" ht="28" customHeight="1">
      <x:c r="A116" s="16" t="str">
        <x:v>Бийскэнерго</x:v>
      </x:c>
      <x:c r="B116" s="16" t="str">
        <x:v>2000563189-W113</x:v>
      </x:c>
      <x:c r="C116" s="16" t="str">
        <x:v>ПРУЖИНА 38461 ЧТЗ</x:v>
      </x:c>
      <x:c r="D116" s="16" t="str">
        <x:v>ЗЧ к ДСТ менее 20т</x:v>
      </x:c>
      <x:c r="E116" s="16" t="str">
        <x:v>ШТ</x:v>
      </x:c>
      <x:c r="F116" s="25" t="n">
        <x:v>8</x:v>
      </x:c>
      <x:c r="G116" s="17" t="n">
        <x:v>58.132999999999996</x:v>
      </x:c>
      <x:c r="H116" s="17" t="n">
        <x:f>G116*F116</x:f>
        <x:v>465.06399999999996</x:v>
      </x:c>
      <x:c r="I116" s="26" t="str">
        <x:f>HYPERLINK("https://etp-aktiv.ru/catalog/materialy/zapasnye-chasti-k-dorozhno-stroitelnoj-tekhnike/2000563189-W113/","Открыть позицию")</x:f>
        <x:v>Открыть позицию</x:v>
      </x:c>
    </x:row>
    <x:row r="117" ht="28" customHeight="1">
      <x:c r="A117" s="16" t="str">
        <x:v>Бийскэнерго</x:v>
      </x:c>
      <x:c r="B117" s="16" t="str">
        <x:v>2000507419-W113</x:v>
      </x:c>
      <x:c r="C117" s="16" t="str">
        <x:v>РОЛИК НАТЯЖНОЙ 310402800</x:v>
      </x:c>
      <x:c r="D117" s="16" t="str">
        <x:v>ЗЧ к ДВС Cummins</x:v>
      </x:c>
      <x:c r="E117" s="16" t="str">
        <x:v>ШТ</x:v>
      </x:c>
      <x:c r="F117" s="25" t="n">
        <x:v>2</x:v>
      </x:c>
      <x:c r="G117" s="17" t="n">
        <x:v>5289.846799999999</x:v>
      </x:c>
      <x:c r="H117" s="17" t="n">
        <x:f>G117*F117</x:f>
        <x:v>10579.693599999999</x:v>
      </x:c>
      <x:c r="I117" s="26" t="str">
        <x:f>HYPERLINK("https://etp-aktiv.ru/catalog/materialy/zapasnye-chasti-k-dorozhno-stroitelnoj-tekhnike/2000507419-W113/","Открыть позицию")</x:f>
        <x:v>Открыть позицию</x:v>
      </x:c>
    </x:row>
    <x:row r="118" ht="28" customHeight="1">
      <x:c r="A118" s="16" t="str">
        <x:v>Бийскэнерго</x:v>
      </x:c>
      <x:c r="B118" s="16" t="str">
        <x:v>2000582605-W113</x:v>
      </x:c>
      <x:c r="C118" s="16" t="str">
        <x:v>ТЕРМОВЫКЛЮЧАТЕЛЬ 15А 871-05-0017</x:v>
      </x:c>
      <x:c r="D118" s="16" t="str">
        <x:v>ЗЧ к ДСТ менее 20т</x:v>
      </x:c>
      <x:c r="E118" s="16" t="str">
        <x:v>ШТ</x:v>
      </x:c>
      <x:c r="F118" s="25" t="n">
        <x:v>1</x:v>
      </x:c>
      <x:c r="G118" s="17" t="n">
        <x:v>2183.9952</x:v>
      </x:c>
      <x:c r="H118" s="17" t="n">
        <x:f>G118*F118</x:f>
        <x:v>2183.9952</x:v>
      </x:c>
      <x:c r="I118" s="26" t="str">
        <x:f>HYPERLINK("https://etp-aktiv.ru/catalog/materialy/zapasnye-chasti-k-dorozhno-stroitelnoj-tekhnike/2000582605-W113/","Открыть позицию")</x:f>
        <x:v>Открыть позицию</x:v>
      </x:c>
    </x:row>
    <x:row r="119" ht="28" customHeight="1">
      <x:c r="A119" s="16" t="str">
        <x:v>Бийскэнерго</x:v>
      </x:c>
      <x:c r="B119" s="16" t="str">
        <x:v>2000000006-W113</x:v>
      </x:c>
      <x:c r="C119" s="16" t="str">
        <x:v>ШАЙБА 10 ОТ 252136</x:v>
      </x:c>
      <x:c r="D119" s="16" t="str">
        <x:v>ЗЧ КарьерТехнБЕЛАЗ</x:v>
      </x:c>
      <x:c r="E119" s="16" t="str">
        <x:v>ШТ</x:v>
      </x:c>
      <x:c r="F119" s="25" t="n">
        <x:v>2000</x:v>
      </x:c>
      <x:c r="G119" s="17" t="n">
        <x:v>8.588799999999999</x:v>
      </x:c>
      <x:c r="H119" s="17" t="n">
        <x:f>G119*F119</x:f>
        <x:v>17177.6</x:v>
      </x:c>
      <x:c r="I119" s="26" t="str">
        <x:f>HYPERLINK("https://etp-aktiv.ru/catalog/materialy/zapasnye-chasti-k-gorno-shahtnomu-oborudovaniyu/2000000006-W113/","Открыть позицию")</x:f>
        <x:v>Открыть позицию</x:v>
      </x:c>
    </x:row>
    <x:row r="120" ht="28" customHeight="1">
      <x:c r="A120" s="16" t="str">
        <x:v>Бийскэнерго</x:v>
      </x:c>
      <x:c r="B120" s="16" t="str">
        <x:v>2000523699-W113</x:v>
      </x:c>
      <x:c r="C120" s="16" t="str">
        <x:v>ШАЙБА 376-89-1880-0/25539R1</x:v>
      </x:c>
      <x:c r="D120" s="16" t="str">
        <x:v>ЗЧ к ДСТ менее 20т</x:v>
      </x:c>
      <x:c r="E120" s="16" t="str">
        <x:v>ШТ</x:v>
      </x:c>
      <x:c r="F120" s="25" t="n">
        <x:v>30</x:v>
      </x:c>
      <x:c r="G120" s="17" t="n">
        <x:v>183</x:v>
      </x:c>
      <x:c r="H120" s="17" t="n">
        <x:f>G120*F120</x:f>
        <x:v>5490</x:v>
      </x:c>
      <x:c r="I120" s="26" t="str">
        <x:f>HYPERLINK("https://etp-aktiv.ru/catalog/materialy/zapasnye-chasti-k-dorozhno-stroitelnoj-tekhnike/2000523699-W113/","Открыть позицию")</x:f>
        <x:v>Открыть позицию</x:v>
      </x:c>
    </x:row>
    <x:row r="121" ht="28" customHeight="1">
      <x:c r="A121" s="16" t="str">
        <x:v>Бийскэнерго</x:v>
      </x:c>
      <x:c r="B121" s="16" t="str">
        <x:v>2000523768-W113</x:v>
      </x:c>
      <x:c r="C121" s="16" t="str">
        <x:v>ШАЙБА 593-07-3529/1299461Н1</x:v>
      </x:c>
      <x:c r="D121" s="16" t="str">
        <x:v>ЗЧ к ДСТ менее 20т</x:v>
      </x:c>
      <x:c r="E121" s="16" t="str">
        <x:v>ШТ</x:v>
      </x:c>
      <x:c r="F121" s="25" t="n">
        <x:v>78</x:v>
      </x:c>
      <x:c r="G121" s="17" t="n">
        <x:v>400.3186</x:v>
      </x:c>
      <x:c r="H121" s="17" t="n">
        <x:f>G121*F121</x:f>
        <x:v>31224.8508</x:v>
      </x:c>
      <x:c r="I121" s="26" t="str">
        <x:f>HYPERLINK("https://etp-aktiv.ru/catalog/materialy/zapasnye-chasti-k-dorozhno-stroitelnoj-tekhnike/2000523768-W113/","Открыть позицию")</x:f>
        <x:v>Открыть позицию</x:v>
      </x:c>
    </x:row>
    <x:row r="122" ht="28" customHeight="1">
      <x:c r="A122" s="16" t="str">
        <x:v>Бийскэнерго</x:v>
      </x:c>
      <x:c r="B122" s="16" t="str">
        <x:v>2000587935-W113</x:v>
      </x:c>
      <x:c r="C122" s="16" t="str">
        <x:v>ШАЙБА 700-31-2470</x:v>
      </x:c>
      <x:c r="D122" s="16" t="str">
        <x:v>ЗЧ КарьернТехнЧетра</x:v>
      </x:c>
      <x:c r="E122" s="16" t="str">
        <x:v>ШТ</x:v>
      </x:c>
      <x:c r="F122" s="25" t="n">
        <x:v>10</x:v>
      </x:c>
      <x:c r="G122" s="17" t="n">
        <x:v>22.875</x:v>
      </x:c>
      <x:c r="H122" s="17" t="n">
        <x:f>G122*F122</x:f>
        <x:v>228.75</x:v>
      </x:c>
      <x:c r="I122" s="26" t="str">
        <x:f>HYPERLINK("https://etp-aktiv.ru/catalog/materialy/zapasnye-chasti-k-dorozhno-stroitelnoj-tekhnike/2000587935-W113/","Открыть позицию")</x:f>
        <x:v>Открыть позицию</x:v>
      </x:c>
    </x:row>
    <x:row r="123" ht="28" customHeight="1">
      <x:c r="A123" s="16" t="str">
        <x:v>Бийскэнерго</x:v>
      </x:c>
      <x:c r="B123" s="16" t="str">
        <x:v>2000583633-W113</x:v>
      </x:c>
      <x:c r="C123" s="16" t="str">
        <x:v>ШЛАНГ 570-07-0203</x:v>
      </x:c>
      <x:c r="D123" s="16" t="str">
        <x:v>ЗЧ к ДСТ менее 20т</x:v>
      </x:c>
      <x:c r="E123" s="16" t="str">
        <x:v>ШТ</x:v>
      </x:c>
      <x:c r="F123" s="25" t="n">
        <x:v>1</x:v>
      </x:c>
      <x:c r="G123" s="17" t="n">
        <x:v>56318.25</x:v>
      </x:c>
      <x:c r="H123" s="17" t="n">
        <x:f>G123*F123</x:f>
        <x:v>56318.25</x:v>
      </x:c>
      <x:c r="I123" s="26" t="str">
        <x:f>HYPERLINK("https://etp-aktiv.ru/catalog/materialy/zapasnye-chasti-k-dorozhno-stroitelnoj-tekhnike/2000583633-W113/","Открыть позицию")</x:f>
        <x:v>Открыть позицию</x:v>
      </x:c>
    </x:row>
    <x:row r="124" ht="28" customHeight="1">
      <x:c r="A124" s="16" t="str">
        <x:v>Бийскэнерго</x:v>
      </x:c>
      <x:c r="B124" s="16" t="str">
        <x:v>2000583636-W113</x:v>
      </x:c>
      <x:c r="C124" s="16" t="str">
        <x:v>ШЛАНГ 785-07-0030</x:v>
      </x:c>
      <x:c r="D124" s="16" t="str">
        <x:v>ЗЧ к ДСТ менее 20т</x:v>
      </x:c>
      <x:c r="E124" s="16" t="str">
        <x:v>ШТ</x:v>
      </x:c>
      <x:c r="F124" s="25" t="n">
        <x:v>1</x:v>
      </x:c>
      <x:c r="G124" s="17" t="n">
        <x:v>14182.5</x:v>
      </x:c>
      <x:c r="H124" s="17" t="n">
        <x:f>G124*F124</x:f>
        <x:v>14182.5</x:v>
      </x:c>
      <x:c r="I124" s="26" t="str">
        <x:f>HYPERLINK("https://etp-aktiv.ru/catalog/materialy/zapasnye-chasti-k-dorozhno-stroitelnoj-tekhnike/2000583636-W113/","Открыть позицию")</x:f>
        <x:v>Открыть позицию</x:v>
      </x:c>
    </x:row>
    <x:row r="125" ht="28" customHeight="1">
      <x:c r="A125" s="16" t="str">
        <x:v>Бийскэнерго</x:v>
      </x:c>
      <x:c r="B125" s="16" t="str">
        <x:v>2000003127-W113</x:v>
      </x:c>
      <x:c r="C125" s="16" t="str">
        <x:v>ШПИЛЬКА 700-29-2369</x:v>
      </x:c>
      <x:c r="D125" s="16" t="str">
        <x:v>ЗЧ КарьернТехнЧетра</x:v>
      </x:c>
      <x:c r="E125" s="16" t="str">
        <x:v>ШТ</x:v>
      </x:c>
      <x:c r="F125" s="25" t="n">
        <x:v>30</x:v>
      </x:c>
      <x:c r="G125" s="17" t="n">
        <x:v>104.005</x:v>
      </x:c>
      <x:c r="H125" s="17" t="n">
        <x:f>G125*F125</x:f>
        <x:v>3120.1499999999996</x:v>
      </x:c>
      <x:c r="I125" s="26" t="str">
        <x:f>HYPERLINK("https://etp-aktiv.ru/catalog/materialy/zapasnye-chasti-k-dorozhno-stroitelnoj-tekhnike/2000003127-W113/","Открыть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900489cb8fa64933"/>
  </x:tableParts>
</x:worksheet>
</file>

<file path=xl/worksheets/sheet16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29" hidden="0" customWidth="1"/>
    <x:col min="2" max="2" width="19" hidden="0" customWidth="1"/>
    <x:col min="3" max="3" width="48" hidden="0" customWidth="1"/>
    <x:col min="4" max="4" width="34" hidden="0" customWidth="1"/>
    <x:col min="5" max="5" width="10" hidden="0" customWidth="1"/>
    <x:col min="6" max="6" width="17" hidden="0" customWidth="1"/>
    <x:col min="7" max="7" width="19" hidden="0" customWidth="1"/>
    <x:col min="8" max="8" width="18" hidden="0" customWidth="1"/>
    <x:col min="9" max="9" width="19" hidden="0" customWidth="1"/>
  </x:cols>
  <x:sheetData>
    <x:row r="1" ht="28" customHeight="1">
      <x:c r="A1" s="2" t="str">
        <x:v>Алтай: Прочие специализированные материалы</x:v>
      </x:c>
    </x:row>
    <x:row r="2" ht="24" customHeight="1">
      <x:c r="A2" s="5" t="str">
        <x:v>Источник: выгрузка неликвидов с ЭТП по БЕ от 15.09.2026. Классификация уточнена 24.09.2026; цена и сумма указаны с НДС.</x:v>
      </x:c>
    </x:row>
    <x:row r="4" ht="28" customHeight="1">
      <x:c r="A4" s="10" t="str">
        <x:v>ПЕ</x:v>
      </x:c>
      <x:c r="B4" s="10" t="str">
        <x:v>Внешний код</x:v>
      </x:c>
      <x:c r="C4" s="10" t="str">
        <x:v>Наименование позиции</x:v>
      </x:c>
      <x:c r="D4" s="10" t="str">
        <x:v>Группа материалов</x:v>
      </x:c>
      <x:c r="E4" s="10" t="str">
        <x:v>Ед. изм.</x:v>
      </x:c>
      <x:c r="F4" s="10" t="str">
        <x:v>Доступное количество</x:v>
      </x:c>
      <x:c r="G4" s="10" t="str">
        <x:v>Цена с НДС, ₽</x:v>
      </x:c>
      <x:c r="H4" s="10" t="str">
        <x:v>Сумма, ₽</x:v>
      </x:c>
      <x:c r="I4" s="10" t="str">
        <x:v>Ссылка на позицию</x:v>
      </x:c>
    </x:row>
    <x:row r="5" ht="28" customHeight="1">
      <x:c r="A5" s="16" t="str">
        <x:v>Барнаульская ТЭЦ-2</x:v>
      </x:c>
      <x:c r="B5" s="16" t="str">
        <x:v>5000018959-W111</x:v>
      </x:c>
      <x:c r="C5" s="16" t="str">
        <x:v>ШКАФ БЕРЛИН В406 90*43*93 ВЕНГЕ</x:v>
      </x:c>
      <x:c r="D5" s="16" t="str">
        <x:v>Мебель и быт техника</x:v>
      </x:c>
      <x:c r="E5" s="16" t="str">
        <x:v>ШТ</x:v>
      </x:c>
      <x:c r="F5" s="25" t="n">
        <x:v>3</x:v>
      </x:c>
      <x:c r="G5" s="17" t="n">
        <x:v>1408.6486000000002</x:v>
      </x:c>
      <x:c r="H5" s="17" t="n">
        <x:f>G5*F5</x:f>
        <x:v>4225.9458</x:v>
      </x:c>
      <x:c r="I5" s="26" t="str">
        <x:f>HYPERLINK("https://etp-aktiv.ru/catalog/materialy/mebel-i-bytovaya-tekhnika/5000018959-W111/","Открыть позицию")</x:f>
        <x:v>Открыть позицию</x:v>
      </x:c>
    </x:row>
  </x:sheetData>
  <x:mergeCells>
    <x:mergeCell ref="A1:I1"/>
    <x:mergeCell ref="A2:I2"/>
  </x:mergeCells>
  <x:pageMargins left="0.7" right="0.7" top="0.75" bottom="0.75" header="0.3" footer="0.3"/>
  <x:tableParts count="1">
    <x:tablePart xmlns:r="http://schemas.openxmlformats.org/officeDocument/2006/relationships" r:id="Rd1d32c391df84c60"/>
  </x:tableParts>
</x:worksheet>
</file>