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7f87a6c3b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a97ba47949164898"/>
    <x:sheet xmlns:r="http://schemas.openxmlformats.org/officeDocument/2006/relationships" name="ЗИП турбогенераторов" sheetId="2" r:id="R004fefd1075d48e0"/>
    <x:sheet xmlns:r="http://schemas.openxmlformats.org/officeDocument/2006/relationships" name="КВО и ЗИП" sheetId="3" r:id="R83b9b916d3504979"/>
    <x:sheet xmlns:r="http://schemas.openxmlformats.org/officeDocument/2006/relationships" name="Турбинное оборудование" sheetId="4" r:id="R09ef70563c8748fa"/>
    <x:sheet xmlns:r="http://schemas.openxmlformats.org/officeDocument/2006/relationships" name="ЖД оборудование и ВСП" sheetId="5" r:id="R546aed3d4ae94e13"/>
    <x:sheet xmlns:r="http://schemas.openxmlformats.org/officeDocument/2006/relationships" name="Промбезопасность" sheetId="6" r:id="R8ad8d478c09b4fdf"/>
    <x:sheet xmlns:r="http://schemas.openxmlformats.org/officeDocument/2006/relationships" name="Строительные материалы" sheetId="7" r:id="R5fe7124939e74e58"/>
    <x:sheet xmlns:r="http://schemas.openxmlformats.org/officeDocument/2006/relationships" name="Трубы и фитинги" sheetId="8" r:id="R92c0dc58e3a3472d"/>
    <x:sheet xmlns:r="http://schemas.openxmlformats.org/officeDocument/2006/relationships" name="Металлопрокат и сварка" sheetId="9" r:id="Rb622045bcb5940eb"/>
    <x:sheet xmlns:r="http://schemas.openxmlformats.org/officeDocument/2006/relationships" name="Кабельно-проводниковая" sheetId="10" r:id="R40878e2effbb49f3"/>
    <x:sheet xmlns:r="http://schemas.openxmlformats.org/officeDocument/2006/relationships" name="Электрооборудование" sheetId="11" r:id="R9364268ac7f74421"/>
    <x:sheet xmlns:r="http://schemas.openxmlformats.org/officeDocument/2006/relationships" name="МРО механика и ЗИП" sheetId="12" r:id="R8cbcd7273d4b40dd"/>
    <x:sheet xmlns:r="http://schemas.openxmlformats.org/officeDocument/2006/relationships" name="Изоляция РТИ огнеупоры" sheetId="13" r:id="R5657ab34d342499a"/>
    <x:sheet xmlns:r="http://schemas.openxmlformats.org/officeDocument/2006/relationships" name="Химматериалы" sheetId="14" r:id="R4c5f386b74c84bb0"/>
    <x:sheet xmlns:r="http://schemas.openxmlformats.org/officeDocument/2006/relationships" name="Авто и спецтехника" sheetId="15" r:id="R03966f64e32f4207"/>
    <x:sheet xmlns:r="http://schemas.openxmlformats.org/officeDocument/2006/relationships" name="Прочие специализированные" sheetId="16" r:id="R07cf5907de7d48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₽&quot;"/>
    <x:numFmt numFmtId="201" formatCode="#,##0"/>
    <x:numFmt numFmtId="202" formatCode="#,##0.##"/>
    <x:numFmt numFmtId="203" formatCode="0.###"/>
  </x:numFmts>
  <x:fonts count="5">
    <x:font>
      <x:sz val="11"/>
      <x:name val="Carlito"/>
    </x:font>
    <x:font>
      <x:b/>
      <x:sz val="16"/>
      <x:color rgb="FF1F2937"/>
      <x:name val="Arial"/>
    </x:font>
    <x:font>
      <x:i/>
      <x:sz val="10"/>
      <x:color rgb="FF5B677A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4" fillId="0" borderId="0" xfId="0" applyNumberFormat="1" applyFont="1" applyFill="1" applyBorder="1"/>
    <x:xf numFmtId="201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202" fontId="0" fillId="0" borderId="0" xfId="0" applyNumberFormat="1" applyFont="1" applyFill="1" applyBorder="1"/>
    <x:xf numFmtId="202" fontId="4" fillId="0" borderId="0" xfId="0" applyNumberFormat="1" applyFont="1" applyFill="1" applyBorder="1"/>
    <x:xf numFmtId="202" fontId="4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203" fontId="4" fillId="0" borderId="0" xfId="0" applyNumberFormat="1" applyFont="1" applyFill="1" applyBorder="1"/>
    <x:xf numFmtId="203" fontId="4" fillId="0" borderId="0" xfId="0" applyNumberFormat="1" applyFont="1" applyFill="1" applyBorder="1" applyAlignment="1">
      <x:alignment wrapText="1"/>
    </x:xf>
    <x:xf numFmtId="203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d5864b2b447bd" /><Relationship Type="http://schemas.openxmlformats.org/officeDocument/2006/relationships/theme" Target="/xl/theme/theme1.xml" Id="Rf80fd98973a447c9" /><Relationship Type="http://schemas.openxmlformats.org/officeDocument/2006/relationships/sharedStrings" Target="/xl/sharedStrings.xml" Id="R7ed4ac617c034b0b" /><Relationship Type="http://schemas.openxmlformats.org/officeDocument/2006/relationships/worksheet" Target="/xl/worksheets/sheet1.xml" Id="Ra97ba47949164898" /><Relationship Type="http://schemas.openxmlformats.org/officeDocument/2006/relationships/worksheet" Target="/xl/worksheets/sheet2.xml" Id="R004fefd1075d48e0" /><Relationship Type="http://schemas.openxmlformats.org/officeDocument/2006/relationships/worksheet" Target="/xl/worksheets/sheet3.xml" Id="R83b9b916d3504979" /><Relationship Type="http://schemas.openxmlformats.org/officeDocument/2006/relationships/worksheet" Target="/xl/worksheets/sheet4.xml" Id="R09ef70563c8748fa" /><Relationship Type="http://schemas.openxmlformats.org/officeDocument/2006/relationships/worksheet" Target="/xl/worksheets/sheet5.xml" Id="R546aed3d4ae94e13" /><Relationship Type="http://schemas.openxmlformats.org/officeDocument/2006/relationships/worksheet" Target="/xl/worksheets/sheet6.xml" Id="R8ad8d478c09b4fdf" /><Relationship Type="http://schemas.openxmlformats.org/officeDocument/2006/relationships/worksheet" Target="/xl/worksheets/sheet7.xml" Id="R5fe7124939e74e58" /><Relationship Type="http://schemas.openxmlformats.org/officeDocument/2006/relationships/worksheet" Target="/xl/worksheets/sheet8.xml" Id="R92c0dc58e3a3472d" /><Relationship Type="http://schemas.openxmlformats.org/officeDocument/2006/relationships/worksheet" Target="/xl/worksheets/sheet9.xml" Id="Rb622045bcb5940eb" /><Relationship Type="http://schemas.openxmlformats.org/officeDocument/2006/relationships/worksheet" Target="/xl/worksheets/sheet10.xml" Id="R40878e2effbb49f3" /><Relationship Type="http://schemas.openxmlformats.org/officeDocument/2006/relationships/worksheet" Target="/xl/worksheets/sheet11.xml" Id="R9364268ac7f74421" /><Relationship Type="http://schemas.openxmlformats.org/officeDocument/2006/relationships/worksheet" Target="/xl/worksheets/sheet12.xml" Id="R8cbcd7273d4b40dd" /><Relationship Type="http://schemas.openxmlformats.org/officeDocument/2006/relationships/worksheet" Target="/xl/worksheets/sheet13.xml" Id="R5657ab34d342499a" /><Relationship Type="http://schemas.openxmlformats.org/officeDocument/2006/relationships/worksheet" Target="/xl/worksheets/sheet14.xml" Id="R4c5f386b74c84bb0" /><Relationship Type="http://schemas.openxmlformats.org/officeDocument/2006/relationships/worksheet" Target="/xl/worksheets/sheet15.xml" Id="R03966f64e32f4207" /><Relationship Type="http://schemas.openxmlformats.org/officeDocument/2006/relationships/worksheet" Target="/xl/worksheets/sheet16.xml" Id="R07cf5907de7d48c2" /></Relationships>
</file>

<file path=xl/tables/table1.xml><?xml version="1.0" encoding="utf-8"?>
<x:table xmlns:x="http://schemas.openxmlformats.org/spreadsheetml/2006/main" id="1" name="CategorySummary" displayName="CategorySummary" ref="A4:F19" headerRowCount="1" totalsRowCount="0" totalsRowShown="0">
  <x:tableColumns count="6">
    <x:tableColumn id="1" name="Товарная категория"/>
    <x:tableColumn id="2" name="Лист"/>
    <x:tableColumn id="3" name="Позиций"/>
    <x:tableColumn id="4" name="ПЕ"/>
    <x:tableColumn id="5" name="Сумма с НДС, ₽"/>
    <x:tableColumn id="6" name="Стату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egory01" displayName="Category01" ref="A4:I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tegory02" displayName="Category02" ref="A4:I2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tegory03" displayName="Category03" ref="A4:I34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tegory04" displayName="Category04" ref="A4:I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tegory05" displayName="Category05" ref="A4:I31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tegory06" displayName="Category06" ref="A4:I79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tegory07" displayName="Category07" ref="A4:I79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ategory08" displayName="Category08" ref="A4:I48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Category09" displayName="Category09" ref="A4:I109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Category10" displayName="Category10" ref="A4:I294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Category11" displayName="Category11" ref="A4:I529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Category12" displayName="Category12" ref="A4:I45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Category13" displayName="Category13" ref="A4:I5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Category14" displayName="Category14" ref="A4:I3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Category15" displayName="Category15" ref="A4:I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31acc1e4b874df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7d5b8dab1c748d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7d79ec711734d8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d969cc8c11e488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d57d5f6962b4e9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5b3aeb44e784483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bd125f0c9a014d3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56df699d9f7a467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36c9d98aaf11401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08a011b98b464f5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e6ef6a24762c424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a5ddcac0b4fe4f1f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f5ca7971a9f54edb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d023875ca18348d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7b9477c6328e458f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0dae2c610fb34473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10" hidden="0" customWidth="1"/>
    <x:col min="4" max="4" width="44" hidden="0" customWidth="1"/>
    <x:col min="5" max="5" width="18" hidden="0" customWidth="1"/>
    <x:col min="6" max="6" width="29" hidden="0" customWidth="1"/>
  </x:cols>
  <x:sheetData>
    <x:row r="1" ht="28" customHeight="1">
      <x:c r="A1" s="2" t="str">
        <x:v>Неликвиды — Красноярск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Товарная категория</x:v>
      </x:c>
      <x:c r="B4" s="10" t="str">
        <x:v>Лист</x:v>
      </x:c>
      <x:c r="C4" s="10" t="str">
        <x:v>Позиций</x:v>
      </x:c>
      <x:c r="D4" s="10" t="str">
        <x:v>ПЕ</x:v>
      </x:c>
      <x:c r="E4" s="10" t="str">
        <x:v>Сумма с НДС, ₽</x:v>
      </x:c>
      <x:c r="F4" s="10" t="str">
        <x:v>Статус</x:v>
      </x:c>
    </x:row>
    <x:row r="5" ht="58" customHeight="1">
      <x:c r="A5" s="16" t="str">
        <x:v>ЗИП турбогенераторов</x:v>
      </x:c>
      <x:c r="B5" s="16" t="str">
        <x:v>ЗИП турбогенераторов</x:v>
      </x:c>
      <x:c r="C5" s="16" t="n">
        <x:v>3</x:v>
      </x:c>
      <x:c r="D5" s="16" t="str">
        <x:v>Красноярская ТЭЦ-2, Назаровская ГРЭС</x:v>
      </x:c>
      <x:c r="E5" s="17" t="n">
        <x:v>39249.54719999999</x:v>
      </x:c>
      <x:c r="F5" s="16" t="str">
        <x:v>Существующая/расширенная группа</x:v>
      </x:c>
    </x:row>
    <x:row r="6" ht="58" customHeight="1">
      <x:c r="A6" s="16" t="str">
        <x:v>Котельно-вспомогательное оборудование и ЗИП</x:v>
      </x:c>
      <x:c r="B6" s="16" t="str">
        <x:v>КВО и ЗИП</x:v>
      </x:c>
      <x:c r="C6" s="16" t="n">
        <x:v>23</x:v>
      </x:c>
      <x:c r="D6" s="16" t="str">
        <x:v>Красноярская ГРЭС-2, Красноярская ТЭЦ-2, Красноярская ТЭЦ-3, Назаровская ГРЭС</x:v>
      </x:c>
      <x:c r="E6" s="17" t="n">
        <x:v>2791880.1226</x:v>
      </x:c>
      <x:c r="F6" s="16" t="str">
        <x:v>Существующая/расширенная группа</x:v>
      </x:c>
    </x:row>
    <x:row r="7" ht="58" customHeight="1">
      <x:c r="A7" s="16" t="str">
        <x:v>Турбинное оборудование и ЗИП</x:v>
      </x:c>
      <x:c r="B7" s="16" t="str">
        <x:v>Турбинное оборудование</x:v>
      </x:c>
      <x:c r="C7" s="16" t="n">
        <x:v>30</x:v>
      </x:c>
      <x:c r="D7" s="16" t="str">
        <x:v>Красноярская ГРЭС-2, Красноярская ТЭЦ-3, Назаровская ГРЭС</x:v>
      </x:c>
      <x:c r="E7" s="17" t="n">
        <x:v>3247301.1605672003</x:v>
      </x:c>
      <x:c r="F7" s="16" t="str">
        <x:v>Новая группа</x:v>
      </x:c>
    </x:row>
    <x:row r="8" ht="58" customHeight="1">
      <x:c r="A8" s="16" t="str">
        <x:v>Железнодорожное оборудование и материалы ВСП</x:v>
      </x:c>
      <x:c r="B8" s="16" t="str">
        <x:v>ЖД оборудование и ВСП</x:v>
      </x:c>
      <x:c r="C8" s="16" t="n">
        <x:v>2</x:v>
      </x:c>
      <x:c r="D8" s="16" t="str">
        <x:v>Красноярская ГРЭС-2, Красноярская ТЭЦ-1</x:v>
      </x:c>
      <x:c r="E8" s="17" t="n">
        <x:v>99529.1785214</x:v>
      </x:c>
      <x:c r="F8" s="16" t="str">
        <x:v>Новая группа</x:v>
      </x:c>
    </x:row>
    <x:row r="9" ht="58" customHeight="1">
      <x:c r="A9" s="16" t="str">
        <x:v>Промышленная безопасность, пожарное оборудование и медицина</x:v>
      </x:c>
      <x:c r="B9" s="16" t="str">
        <x:v>Промбезопасность</x:v>
      </x:c>
      <x:c r="C9" s="16" t="n">
        <x:v>27</x:v>
      </x:c>
      <x:c r="D9" s="16" t="str">
        <x:v>Канская ТЭЦ, Красноярская ГРЭС-2, Красноярская ТЭЦ-1, Минусинская ТЭЦ, Назаровская ГРЭС</x:v>
      </x:c>
      <x:c r="E9" s="17" t="n">
        <x:v>595773.1041999998</x:v>
      </x:c>
      <x:c r="F9" s="16" t="str">
        <x:v>Новая группа</x:v>
      </x:c>
    </x:row>
    <x:row r="10" ht="58" customHeight="1">
      <x:c r="A10" s="16" t="str">
        <x:v>Строительные материалы и ЖБИ</x:v>
      </x:c>
      <x:c r="B10" s="16" t="str">
        <x:v>Строительные материалы</x:v>
      </x:c>
      <x:c r="C10" s="16" t="n">
        <x:v>75</x:v>
      </x:c>
      <x:c r="D10" s="16" t="str">
        <x:v>Канская ТЭЦ, Канская теплосеть, КрасТЭК, Красноярская ГРЭС-2, Красноярская ТЭЦ-1, Красноярская ТЭЦ-2, Красноярская ТЭЦ-3, Минусинская ТЭЦ, Назаровская ГРЭС, Назаровские тепловые сети</x:v>
      </x:c>
      <x:c r="E10" s="17" t="n">
        <x:v>3846160.2913061986</x:v>
      </x:c>
      <x:c r="F10" s="16" t="str">
        <x:v>Существующая/расширенная группа</x:v>
      </x:c>
    </x:row>
    <x:row r="11" ht="58" customHeight="1">
      <x:c r="A11" s="16" t="str">
        <x:v>Трубы, фитинги, трубопроводная арматура и ОПС</x:v>
      </x:c>
      <x:c r="B11" s="16" t="str">
        <x:v>Трубы и фитинги</x:v>
      </x:c>
      <x:c r="C11" s="16" t="n">
        <x:v>792</x:v>
      </x:c>
      <x:c r="D11" s="16" t="str">
        <x:v>Канская ТЭЦ, КрасТЭК, Красноярская ГРЭС-2, Красноярская ТЭЦ-1, Красноярская ТЭЦ-2, Красноярская ТЭЦ-3, Красноярская теплосеть, Минусинская ТЭЦ, Назаровская ГРЭС, Назаровские тепловые сети, РТК-Генерация</x:v>
      </x:c>
      <x:c r="E11" s="17" t="n">
        <x:v>39119795.16375459</x:v>
      </x:c>
      <x:c r="F11" s="16" t="str">
        <x:v>Существующая/расширенная группа</x:v>
      </x:c>
    </x:row>
    <x:row r="12" ht="58" customHeight="1">
      <x:c r="A12" s="16" t="str">
        <x:v>Металлопрокат, металлоконструкции и сварка</x:v>
      </x:c>
      <x:c r="B12" s="16" t="str">
        <x:v>Металлопрокат и сварка</x:v>
      </x:c>
      <x:c r="C12" s="16" t="n">
        <x:v>481</x:v>
      </x:c>
      <x:c r="D12" s="16" t="str">
        <x:v>Канская ТЭЦ, КрасТЭК, Красноярская ГРЭС-2, Красноярская ТЭЦ-1, Красноярская ТЭЦ-2, Красноярская ТЭЦ-3, Красноярская теплосеть, Минусинская ТЭЦ, Назаровская ГРЭС, Назаровские тепловые сети</x:v>
      </x:c>
      <x:c r="E12" s="17" t="n">
        <x:v>11327938.913771199</x:v>
      </x:c>
      <x:c r="F12" s="16" t="str">
        <x:v>Существующая/расширенная группа</x:v>
      </x:c>
    </x:row>
    <x:row r="13" ht="58" customHeight="1">
      <x:c r="A13" s="16" t="str">
        <x:v>Кабельно-проводниковая продукция</x:v>
      </x:c>
      <x:c r="B13" s="16" t="str">
        <x:v>Кабельно-проводниковая</x:v>
      </x:c>
      <x:c r="C13" s="16" t="n">
        <x:v>105</x:v>
      </x:c>
      <x:c r="D13" s="16" t="str">
        <x:v>КрасТЭК, Красноярская ГРЭС-2, Красноярская ТЭЦ-1, Красноярская ТЭЦ-2, Красноярская ТЭЦ-3, Минусинская ТЭЦ, Назаровская ГРЭС</x:v>
      </x:c>
      <x:c r="E13" s="17" t="n">
        <x:v>2281576.6906358004</x:v>
      </x:c>
      <x:c r="F13" s="16" t="str">
        <x:v>Существующая/расширенная группа</x:v>
      </x:c>
    </x:row>
    <x:row r="14" ht="58" customHeight="1">
      <x:c r="A14" s="16" t="str">
        <x:v>Электрооборудование, КИПиА и связь</x:v>
      </x:c>
      <x:c r="B14" s="16" t="str">
        <x:v>Электрооборудование</x:v>
      </x:c>
      <x:c r="C14" s="16" t="n">
        <x:v>290</x:v>
      </x:c>
      <x:c r="D14" s="16" t="str">
        <x:v>Канская ТЭЦ, КрасТЭК, Красноярская ГРЭС-2, Красноярская ТЭЦ-1, Красноярская ТЭЦ-2, Красноярская ТЭЦ-3, Красноярская теплосеть, Минусинская ТЭЦ, Назаровская ГРЭС</x:v>
      </x:c>
      <x:c r="E14" s="17" t="n">
        <x:v>6181172.517256201</x:v>
      </x:c>
      <x:c r="F14" s="16" t="str">
        <x:v>Существующая/расширенная группа</x:v>
      </x:c>
    </x:row>
    <x:row r="15" ht="58" customHeight="1">
      <x:c r="A15" s="16" t="str">
        <x:v>МРО, механическое оборудование и ЗИП</x:v>
      </x:c>
      <x:c r="B15" s="16" t="str">
        <x:v>МРО механика и ЗИП</x:v>
      </x:c>
      <x:c r="C15" s="16" t="n">
        <x:v>525</x:v>
      </x:c>
      <x:c r="D15" s="16" t="str">
        <x:v>Канская ТЭЦ, КрасТЭК, Красноярская ГРЭС-2, Красноярская ТЭЦ-1, Красноярская ТЭЦ-2, Красноярская ТЭЦ-3, Красноярская теплосеть, Минусинская ТЭЦ, Назаровская ГРЭС</x:v>
      </x:c>
      <x:c r="E15" s="17" t="n">
        <x:v>10029627.581824195</x:v>
      </x:c>
      <x:c r="F15" s="16" t="str">
        <x:v>Существующая/расширенная группа</x:v>
      </x:c>
    </x:row>
    <x:row r="16" ht="58" customHeight="1">
      <x:c r="A16" s="16" t="str">
        <x:v>Изоляция, РТИ, огнеупорные и кислотоупорные материалы</x:v>
      </x:c>
      <x:c r="B16" s="16" t="str">
        <x:v>Изоляция РТИ огнеупоры</x:v>
      </x:c>
      <x:c r="C16" s="16" t="n">
        <x:v>453</x:v>
      </x:c>
      <x:c r="D16" s="16" t="str">
        <x:v>Канская ТЭЦ, Красноярская ГРЭС-2, Красноярская ТЭЦ-1, Красноярская ТЭЦ-2, Красноярская ТЭЦ-3, Красноярская теплосеть, Минусинская ТЭЦ, Назаровская ГРЭС</x:v>
      </x:c>
      <x:c r="E16" s="17" t="n">
        <x:v>4040937.9040286</x:v>
      </x:c>
      <x:c r="F16" s="16" t="str">
        <x:v>Существующая/расширенная группа</x:v>
      </x:c>
    </x:row>
    <x:row r="17" ht="58" customHeight="1">
      <x:c r="A17" s="16" t="str">
        <x:v>Химические материалы, ЛКМ и лаборатория</x:v>
      </x:c>
      <x:c r="B17" s="16" t="str">
        <x:v>Химматериалы</x:v>
      </x:c>
      <x:c r="C17" s="16" t="n">
        <x:v>51</x:v>
      </x:c>
      <x:c r="D17" s="16" t="str">
        <x:v>Красноярская ГРЭС-2, Красноярская ТЭЦ-1, Красноярская ТЭЦ-2, Красноярская ТЭЦ-3, Минусинская ТЭЦ, Назаровская ГРЭС</x:v>
      </x:c>
      <x:c r="E17" s="17" t="n">
        <x:v>751354.5004364001</x:v>
      </x:c>
      <x:c r="F17" s="16" t="str">
        <x:v>Существующая/расширенная группа</x:v>
      </x:c>
    </x:row>
    <x:row r="18" ht="58" customHeight="1">
      <x:c r="A18" s="16" t="str">
        <x:v>Авто- и спецтехника: запасные части</x:v>
      </x:c>
      <x:c r="B18" s="16" t="str">
        <x:v>Авто и спецтехника</x:v>
      </x:c>
      <x:c r="C18" s="16" t="n">
        <x:v>31</x:v>
      </x:c>
      <x:c r="D18" s="16" t="str">
        <x:v>КрасТЭК, Красноярская ГРЭС-2, Красноярская ТЭЦ-1, Красноярская ТЭЦ-2, Красноярская ТЭЦ-3, Минусинская ТЭЦ, Назаровская ГРЭС</x:v>
      </x:c>
      <x:c r="E18" s="17" t="n">
        <x:v>419910.7142</x:v>
      </x:c>
      <x:c r="F18" s="16" t="str">
        <x:v>Существующая/расширенная группа</x:v>
      </x:c>
    </x:row>
    <x:row r="19" ht="58" customHeight="1">
      <x:c r="A19" s="16" t="str">
        <x:v>Прочие специализированные материалы</x:v>
      </x:c>
      <x:c r="B19" s="16" t="str">
        <x:v>Прочие специализированные</x:v>
      </x:c>
      <x:c r="C19" s="16" t="n">
        <x:v>3</x:v>
      </x:c>
      <x:c r="D19" s="16" t="str">
        <x:v>Красноярская ГРЭС-2, Красноярская ТЭЦ-3, Минусинская ТЭЦ</x:v>
      </x:c>
      <x:c r="E19" s="17" t="n">
        <x:v>131638.5002</x:v>
      </x:c>
      <x:c r="F19" s="16" t="str">
        <x:v>Существующая/расширенная группа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a31acc1e4b874df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ЗИП турбогенераторов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Красноярская ТЭЦ-2</x:v>
      </x:c>
      <x:c r="B5" s="16" t="str">
        <x:v>2000525648-V113</x:v>
      </x:c>
      <x:c r="C5" s="16" t="str">
        <x:v>КОЛЬЦО БАНДАЖНОЕ 8БС.214.959 ТВФ</x:v>
      </x:c>
      <x:c r="D5" s="16" t="str">
        <x:v>ЗЧ турбогенераторов</x:v>
      </x:c>
      <x:c r="E5" s="16" t="str">
        <x:v>ШТ</x:v>
      </x:c>
      <x:c r="F5" s="21" t="n">
        <x:v>2</x:v>
      </x:c>
      <x:c r="G5" s="17" t="n">
        <x:v>18286.579999999998</x:v>
      </x:c>
      <x:c r="H5" s="17" t="n">
        <x:f>G5*F5</x:f>
        <x:v>36573.159999999996</x:v>
      </x:c>
      <x:c r="I5" s="22" t="str">
        <x:f>HYPERLINK("https://etp-aktiv.ru/catalog/materialy/zapasnye-chasti-osnovnogo-ehnergeticheskogo-oborudovaniya/2000525648-V113/","Открыть позицию")</x:f>
        <x:v>Открыть позицию</x:v>
      </x:c>
    </x:row>
    <x:row r="6" ht="28" customHeight="1">
      <x:c r="A6" s="16" t="str">
        <x:v>Назаровская ГРЭС</x:v>
      </x:c>
      <x:c r="B6" s="16" t="str">
        <x:v>2000562356-V311</x:v>
      </x:c>
      <x:c r="C6" s="16" t="str">
        <x:v>ШАЙБА УПЛОТНИТ 8БС.715.304-06 Т/Г ТВФ</x:v>
      </x:c>
      <x:c r="D6" s="16" t="str">
        <x:v>ЗЧ турбогенераторов</x:v>
      </x:c>
      <x:c r="E6" s="16" t="str">
        <x:v>ШТ</x:v>
      </x:c>
      <x:c r="F6" s="21" t="n">
        <x:v>4</x:v>
      </x:c>
      <x:c r="G6" s="17" t="n">
        <x:v>334.5484</x:v>
      </x:c>
      <x:c r="H6" s="17" t="n">
        <x:f>G6*F6</x:f>
        <x:v>1338.1936</x:v>
      </x:c>
      <x:c r="I6" s="22" t="str">
        <x:f>HYPERLINK("https://etp-aktiv.ru/catalog/materialy/zapasnye-chasti-osnovnogo-ehnergeticheskogo-oborudovaniya/2000562356-V311/","Открыть позицию")</x:f>
        <x:v>Открыть позицию</x:v>
      </x:c>
    </x:row>
    <x:row r="7" ht="28" customHeight="1">
      <x:c r="A7" s="16" t="str">
        <x:v>Назаровская ГРЭС</x:v>
      </x:c>
      <x:c r="B7" s="16" t="str">
        <x:v>2000598173-V311</x:v>
      </x:c>
      <x:c r="C7" s="16" t="str">
        <x:v>ШАЙБА УПЛОТНИТЕЛЬНАЯ 8БС.715.304</x:v>
      </x:c>
      <x:c r="D7" s="16" t="str">
        <x:v>ЗЧ турбогенераторов</x:v>
      </x:c>
      <x:c r="E7" s="16" t="str">
        <x:v>ШТ</x:v>
      </x:c>
      <x:c r="F7" s="21" t="n">
        <x:v>4</x:v>
      </x:c>
      <x:c r="G7" s="17" t="n">
        <x:v>334.5484</x:v>
      </x:c>
      <x:c r="H7" s="17" t="n">
        <x:f>G7*F7</x:f>
        <x:v>1338.1936</x:v>
      </x:c>
      <x:c r="I7" s="22" t="str">
        <x:f>HYPERLINK("https://etp-aktiv.ru/catalog/materialy/zapasnye-chasti-osnovnogo-ehnergeticheskogo-oborudovaniya/2000598173-V311/","Открыть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87d5b8dab1c748d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Котельно-вспомогательное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Красноярская ГРЭС-2</x:v>
      </x:c>
      <x:c r="B5" s="16" t="str">
        <x:v>2000643710-V116</x:v>
      </x:c>
      <x:c r="C5" s="16" t="str">
        <x:v>КОЛЛЕКТОР 42422СБ</x:v>
      </x:c>
      <x:c r="D5" s="16" t="str">
        <x:v>ЗЧ к КВО</x:v>
      </x:c>
      <x:c r="E5" s="16" t="str">
        <x:v>ШТ</x:v>
      </x:c>
      <x:c r="F5" s="21" t="n">
        <x:v>1</x:v>
      </x:c>
      <x:c r="G5" s="17" t="n">
        <x:v>33241.34</x:v>
      </x:c>
      <x:c r="H5" s="17" t="n">
        <x:f>G5*F5</x:f>
        <x:v>33241.34</x:v>
      </x:c>
      <x:c r="I5" s="22" t="str">
        <x:f>HYPERLINK("https://etp-aktiv.ru/catalog/materialy/zapasnye-chasti-osnovnogo-ehnergeticheskogo-oborudovaniya/2000643710-V116/","Открыть позицию")</x:f>
        <x:v>Открыть позицию</x:v>
      </x:c>
    </x:row>
    <x:row r="6" ht="28" customHeight="1">
      <x:c r="A6" s="16" t="str">
        <x:v>Красноярская ГРЭС-2</x:v>
      </x:c>
      <x:c r="B6" s="16" t="str">
        <x:v>2000643717-V116</x:v>
      </x:c>
      <x:c r="C6" s="16" t="str">
        <x:v>КОЛЛЕКТОР К-56995СБ</x:v>
      </x:c>
      <x:c r="D6" s="16" t="str">
        <x:v>ЗЧ к КВО</x:v>
      </x:c>
      <x:c r="E6" s="16" t="str">
        <x:v>ШТ</x:v>
      </x:c>
      <x:c r="F6" s="21" t="n">
        <x:v>1</x:v>
      </x:c>
      <x:c r="G6" s="17" t="n">
        <x:v>19972.437</x:v>
      </x:c>
      <x:c r="H6" s="17" t="n">
        <x:f>G6*F6</x:f>
        <x:v>19972.437</x:v>
      </x:c>
      <x:c r="I6" s="22" t="str">
        <x:f>HYPERLINK("https://etp-aktiv.ru/catalog/materialy/zapasnye-chasti-osnovnogo-ehnergeticheskogo-oborudovaniya/2000643717-V116/","Открыть позицию")</x:f>
        <x:v>Открыть позицию</x:v>
      </x:c>
    </x:row>
    <x:row r="7" ht="28" customHeight="1">
      <x:c r="A7" s="16" t="str">
        <x:v>Красноярская ГРЭС-2</x:v>
      </x:c>
      <x:c r="B7" s="16" t="str">
        <x:v>2000643718-V116</x:v>
      </x:c>
      <x:c r="C7" s="16" t="str">
        <x:v>КОЛЛЕКТОР К-56996СБ</x:v>
      </x:c>
      <x:c r="D7" s="16" t="str">
        <x:v>ЗЧ к КВО</x:v>
      </x:c>
      <x:c r="E7" s="16" t="str">
        <x:v>ШТ</x:v>
      </x:c>
      <x:c r="F7" s="21" t="n">
        <x:v>1</x:v>
      </x:c>
      <x:c r="G7" s="17" t="n">
        <x:v>8715.7898</x:v>
      </x:c>
      <x:c r="H7" s="17" t="n">
        <x:f>G7*F7</x:f>
        <x:v>8715.7898</x:v>
      </x:c>
      <x:c r="I7" s="22" t="str">
        <x:f>HYPERLINK("https://etp-aktiv.ru/catalog/materialy/zapasnye-chasti-osnovnogo-ehnergeticheskogo-oborudovaniya/2000643718-V116/","Открыть позицию")</x:f>
        <x:v>Открыть позицию</x:v>
      </x:c>
    </x:row>
    <x:row r="8" ht="28" customHeight="1">
      <x:c r="A8" s="16" t="str">
        <x:v>Красноярская ГРЭС-2</x:v>
      </x:c>
      <x:c r="B8" s="16" t="str">
        <x:v>2000643719-V116</x:v>
      </x:c>
      <x:c r="C8" s="16" t="str">
        <x:v>КОЛЛЕКТОР К-56997СБ</x:v>
      </x:c>
      <x:c r="D8" s="16" t="str">
        <x:v>ЗЧ к КВО</x:v>
      </x:c>
      <x:c r="E8" s="16" t="str">
        <x:v>ШТ</x:v>
      </x:c>
      <x:c r="F8" s="21" t="n">
        <x:v>1</x:v>
      </x:c>
      <x:c r="G8" s="17" t="n">
        <x:v>8715.7898</x:v>
      </x:c>
      <x:c r="H8" s="17" t="n">
        <x:f>G8*F8</x:f>
        <x:v>8715.7898</x:v>
      </x:c>
      <x:c r="I8" s="22" t="str">
        <x:f>HYPERLINK("https://etp-aktiv.ru/catalog/materialy/zapasnye-chasti-osnovnogo-ehnergeticheskogo-oborudovaniya/2000643719-V116/","Открыть позицию")</x:f>
        <x:v>Открыть позицию</x:v>
      </x:c>
    </x:row>
    <x:row r="9" ht="28" customHeight="1">
      <x:c r="A9" s="16" t="str">
        <x:v>Красноярская ГРЭС-2</x:v>
      </x:c>
      <x:c r="B9" s="16" t="str">
        <x:v>2000643720-V116</x:v>
      </x:c>
      <x:c r="C9" s="16" t="str">
        <x:v>КОЛЛЕКТОР К-56998СБ</x:v>
      </x:c>
      <x:c r="D9" s="16" t="str">
        <x:v>ЗЧ к КВО</x:v>
      </x:c>
      <x:c r="E9" s="16" t="str">
        <x:v>ШТ</x:v>
      </x:c>
      <x:c r="F9" s="21" t="n">
        <x:v>1</x:v>
      </x:c>
      <x:c r="G9" s="17" t="n">
        <x:v>19972.437</x:v>
      </x:c>
      <x:c r="H9" s="17" t="n">
        <x:f>G9*F9</x:f>
        <x:v>19972.437</x:v>
      </x:c>
      <x:c r="I9" s="22" t="str">
        <x:f>HYPERLINK("https://etp-aktiv.ru/catalog/materialy/zapasnye-chasti-osnovnogo-ehnergeticheskogo-oborudovaniya/2000643720-V116/","Открыть позицию")</x:f>
        <x:v>Открыть позицию</x:v>
      </x:c>
    </x:row>
    <x:row r="10" ht="28" customHeight="1">
      <x:c r="A10" s="16" t="str">
        <x:v>Красноярская ТЭЦ-2</x:v>
      </x:c>
      <x:c r="B10" s="16" t="str">
        <x:v>2000882161-V113</x:v>
      </x:c>
      <x:c r="C10" s="16" t="str">
        <x:v>ИНЖЕКТОР-ПИТАТЕЛЬ 295.25.00В</x:v>
      </x:c>
      <x:c r="D10" s="16" t="str">
        <x:v>ЗЧ к КВО</x:v>
      </x:c>
      <x:c r="E10" s="16" t="str">
        <x:v>ШТ</x:v>
      </x:c>
      <x:c r="F10" s="21" t="n">
        <x:v>6</x:v>
      </x:c>
      <x:c r="G10" s="17" t="n">
        <x:v>167315.07</x:v>
      </x:c>
      <x:c r="H10" s="17" t="n">
        <x:f>G10*F10</x:f>
        <x:v>1003890.42</x:v>
      </x:c>
      <x:c r="I10" s="22" t="str">
        <x:f>HYPERLINK("https://etp-aktiv.ru/catalog/materialy/zapasnye-chasti-osnovnogo-ehnergeticheskogo-oborudovaniya/2000882161-V113/","Открыть позицию")</x:f>
        <x:v>Открыть позицию</x:v>
      </x:c>
    </x:row>
    <x:row r="11" ht="28" customHeight="1">
      <x:c r="A11" s="16" t="str">
        <x:v>Красноярская ТЭЦ-2</x:v>
      </x:c>
      <x:c r="B11" s="16" t="str">
        <x:v>2000532330-V113</x:v>
      </x:c>
      <x:c r="C11" s="16" t="str">
        <x:v>СУХАРЬ ТИП 3 318442</x:v>
      </x:c>
      <x:c r="D11" s="16" t="str">
        <x:v>ЗЧ к КВО</x:v>
      </x:c>
      <x:c r="E11" s="16" t="str">
        <x:v>ШТ</x:v>
      </x:c>
      <x:c r="F11" s="21" t="n">
        <x:v>214</x:v>
      </x:c>
      <x:c r="G11" s="17" t="n">
        <x:v>304.4022</x:v>
      </x:c>
      <x:c r="H11" s="17" t="n">
        <x:f>G11*F11</x:f>
        <x:v>65142.0708</x:v>
      </x:c>
      <x:c r="I11" s="22" t="str">
        <x:f>HYPERLINK("https://etp-aktiv.ru/catalog/materialy/zapasnye-chasti-osnovnogo-ehnergeticheskogo-oborudovaniya/2000532330-V113/","Открыть позицию")</x:f>
        <x:v>Открыть позицию</x:v>
      </x:c>
    </x:row>
    <x:row r="12" ht="28" customHeight="1">
      <x:c r="A12" s="16" t="str">
        <x:v>Красноярская ТЭЦ-3</x:v>
      </x:c>
      <x:c r="B12" s="16" t="str">
        <x:v>2000531775-V114</x:v>
      </x:c>
      <x:c r="C12" s="16" t="str">
        <x:v>ГРЕБЕНКА 500841 (03.3456.019)</x:v>
      </x:c>
      <x:c r="D12" s="16" t="str">
        <x:v>ЗЧ котлов</x:v>
      </x:c>
      <x:c r="E12" s="16" t="str">
        <x:v>ШТ</x:v>
      </x:c>
      <x:c r="F12" s="21" t="n">
        <x:v>34</x:v>
      </x:c>
      <x:c r="G12" s="17" t="n">
        <x:v>44.151799999999994</x:v>
      </x:c>
      <x:c r="H12" s="17" t="n">
        <x:f>G12*F12</x:f>
        <x:v>1501.1611999999998</x:v>
      </x:c>
      <x:c r="I12" s="22" t="str">
        <x:f>HYPERLINK("https://etp-aktiv.ru/catalog/materialy/zapasnye-chasti-osnovnogo-ehnergeticheskogo-oborudovaniya/2000531775-V114/","Открыть позицию")</x:f>
        <x:v>Открыть позицию</x:v>
      </x:c>
    </x:row>
    <x:row r="13" ht="28" customHeight="1">
      <x:c r="A13" s="16" t="str">
        <x:v>Красноярская ТЭЦ-3</x:v>
      </x:c>
      <x:c r="B13" s="16" t="str">
        <x:v>2000593182-V114</x:v>
      </x:c>
      <x:c r="C13" s="16" t="str">
        <x:v>КРЫШКА К ДЫМОСОСУ 184796</x:v>
      </x:c>
      <x:c r="D13" s="16" t="str">
        <x:v>ЗЧ к КВО</x:v>
      </x:c>
      <x:c r="E13" s="16" t="str">
        <x:v>ШТ</x:v>
      </x:c>
      <x:c r="F13" s="21" t="n">
        <x:v>1</x:v>
      </x:c>
      <x:c r="G13" s="17" t="n">
        <x:v>24018.75</x:v>
      </x:c>
      <x:c r="H13" s="17" t="n">
        <x:f>G13*F13</x:f>
        <x:v>24018.75</x:v>
      </x:c>
      <x:c r="I13" s="22" t="str">
        <x:f>HYPERLINK("https://etp-aktiv.ru/catalog/materialy/zapasnye-chasti-osnovnogo-ehnergeticheskogo-oborudovaniya/2000593182-V114/","Открыть позицию")</x:f>
        <x:v>Открыть позицию</x:v>
      </x:c>
    </x:row>
    <x:row r="14" ht="28" customHeight="1">
      <x:c r="A14" s="16" t="str">
        <x:v>Красноярская ТЭЦ-3</x:v>
      </x:c>
      <x:c r="B14" s="16" t="str">
        <x:v>2000609524-V114</x:v>
      </x:c>
      <x:c r="C14" s="16" t="str">
        <x:v>ЛЕНТА 221ЭОБ002.01.00.002-01</x:v>
      </x:c>
      <x:c r="D14" s="16" t="str">
        <x:v>ЗЧ к КВО</x:v>
      </x:c>
      <x:c r="E14" s="16" t="str">
        <x:v>ШТ</x:v>
      </x:c>
      <x:c r="F14" s="21" t="n">
        <x:v>16</x:v>
      </x:c>
      <x:c r="G14" s="17" t="n">
        <x:v>3285.5088</x:v>
      </x:c>
      <x:c r="H14" s="17" t="n">
        <x:f>G14*F14</x:f>
        <x:v>52568.1408</x:v>
      </x:c>
      <x:c r="I14" s="22" t="str">
        <x:f>HYPERLINK("https://etp-aktiv.ru/catalog/materialy/zapasnye-chasti-osnovnogo-ehnergeticheskogo-oborudovaniya/2000609524-V114/","Открыть позицию")</x:f>
        <x:v>Открыть позицию</x:v>
      </x:c>
    </x:row>
    <x:row r="15" ht="28" customHeight="1">
      <x:c r="A15" s="16" t="str">
        <x:v>Назаровская ГРЭС</x:v>
      </x:c>
      <x:c r="B15" s="16" t="str">
        <x:v>2000590404-V311</x:v>
      </x:c>
      <x:c r="C15" s="16" t="str">
        <x:v>ГАЙКА 120*76*103 7360 АППАРАТ ОБДУВ VS-H</x:v>
      </x:c>
      <x:c r="D15" s="16" t="str">
        <x:v>ЗЧ к КВО</x:v>
      </x:c>
      <x:c r="E15" s="16" t="str">
        <x:v>ШТ</x:v>
      </x:c>
      <x:c r="F15" s="21" t="n">
        <x:v>4</x:v>
      </x:c>
      <x:c r="G15" s="17" t="n">
        <x:v>85507.3966</x:v>
      </x:c>
      <x:c r="H15" s="17" t="n">
        <x:f>G15*F15</x:f>
        <x:v>342029.5864</x:v>
      </x:c>
      <x:c r="I15" s="22" t="str">
        <x:f>HYPERLINK("https://etp-aktiv.ru/catalog/materialy/zapasnye-chasti-osnovnogo-ehnergeticheskogo-oborudovaniya/2000590404-V311/","Открыть позицию")</x:f>
        <x:v>Открыть позицию</x:v>
      </x:c>
    </x:row>
    <x:row r="16" ht="28" customHeight="1">
      <x:c r="A16" s="16" t="str">
        <x:v>Назаровская ГРЭС</x:v>
      </x:c>
      <x:c r="B16" s="16" t="str">
        <x:v>2000590412-V311</x:v>
      </x:c>
      <x:c r="C16" s="16" t="str">
        <x:v>ЗВЕНО ЦЕПИ 1/2"*5/16" 1844 АППАРАТ WLB90</x:v>
      </x:c>
      <x:c r="D16" s="16" t="str">
        <x:v>ЗЧ к КВО</x:v>
      </x:c>
      <x:c r="E16" s="16" t="str">
        <x:v>ШТ</x:v>
      </x:c>
      <x:c r="F16" s="21" t="n">
        <x:v>4</x:v>
      </x:c>
      <x:c r="G16" s="17" t="n">
        <x:v>1812.2368000000001</x:v>
      </x:c>
      <x:c r="H16" s="17" t="n">
        <x:f>G16*F16</x:f>
        <x:v>7248.9472000000005</x:v>
      </x:c>
      <x:c r="I16" s="22" t="str">
        <x:f>HYPERLINK("https://etp-aktiv.ru/catalog/materialy/zapasnye-chasti-osnovnogo-ehnergeticheskogo-oborudovaniya/2000590412-V311/","Открыть позицию")</x:f>
        <x:v>Открыть позицию</x:v>
      </x:c>
    </x:row>
    <x:row r="17" ht="28" customHeight="1">
      <x:c r="A17" s="16" t="str">
        <x:v>Назаровская ГРЭС</x:v>
      </x:c>
      <x:c r="B17" s="16" t="str">
        <x:v>2000591329-V311</x:v>
      </x:c>
      <x:c r="C17" s="16" t="str">
        <x:v>ЗВЕНО ЦЕПИ КОЛЕНЧАТ 5/8"*3/8" 1836 PS-H</x:v>
      </x:c>
      <x:c r="D17" s="16" t="str">
        <x:v>ЗЧ к КВО</x:v>
      </x:c>
      <x:c r="E17" s="16" t="str">
        <x:v>ШТ</x:v>
      </x:c>
      <x:c r="F17" s="21" t="n">
        <x:v>2</x:v>
      </x:c>
      <x:c r="G17" s="17" t="n">
        <x:v>6101.586</x:v>
      </x:c>
      <x:c r="H17" s="17" t="n">
        <x:f>G17*F17</x:f>
        <x:v>12203.172</x:v>
      </x:c>
      <x:c r="I17" s="22" t="str">
        <x:f>HYPERLINK("https://etp-aktiv.ru/catalog/materialy/zapasnye-chasti-osnovnogo-ehnergeticheskogo-oborudovaniya/2000591329-V311/","Открыть позицию")</x:f>
        <x:v>Открыть позицию</x:v>
      </x:c>
    </x:row>
    <x:row r="18" ht="28" customHeight="1">
      <x:c r="A18" s="16" t="str">
        <x:v>Назаровская ГРЭС</x:v>
      </x:c>
      <x:c r="B18" s="16" t="str">
        <x:v>2000531908-V311</x:v>
      </x:c>
      <x:c r="C18" s="16" t="str">
        <x:v>КЛАПАН DУ500 11 ПГВУ 292-80</x:v>
      </x:c>
      <x:c r="D18" s="16" t="str">
        <x:v>ЗЧ к КВО</x:v>
      </x:c>
      <x:c r="E18" s="16" t="str">
        <x:v>ШТ</x:v>
      </x:c>
      <x:c r="F18" s="21" t="n">
        <x:v>8</x:v>
      </x:c>
      <x:c r="G18" s="17" t="n">
        <x:v>11607.0556</x:v>
      </x:c>
      <x:c r="H18" s="17" t="n">
        <x:f>G18*F18</x:f>
        <x:v>92856.4448</x:v>
      </x:c>
      <x:c r="I18" s="22" t="str">
        <x:f>HYPERLINK("https://etp-aktiv.ru/catalog/materialy/zapasnye-chasti-osnovnogo-ehnergeticheskogo-oborudovaniya/2000531908-V311/","Открыть позицию")</x:f>
        <x:v>Открыть позицию</x:v>
      </x:c>
    </x:row>
    <x:row r="19" ht="28" customHeight="1">
      <x:c r="A19" s="16" t="str">
        <x:v>Назаровская ГРЭС</x:v>
      </x:c>
      <x:c r="B19" s="16" t="str">
        <x:v>2000567163-V311</x:v>
      </x:c>
      <x:c r="C19" s="16" t="str">
        <x:v>КОЛЕСО РАБ ЛЕВ KMZ.159.11.00.000-01 ДРТ</x:v>
      </x:c>
      <x:c r="D19" s="16" t="str">
        <x:v>ЗЧ к КВО</x:v>
      </x:c>
      <x:c r="E19" s="16" t="str">
        <x:v>ШТ</x:v>
      </x:c>
      <x:c r="F19" s="21" t="n">
        <x:v>1</x:v>
      </x:c>
      <x:c r="G19" s="17" t="n">
        <x:v>251087.99259999997</x:v>
      </x:c>
      <x:c r="H19" s="17" t="n">
        <x:f>G19*F19</x:f>
        <x:v>251087.99259999997</x:v>
      </x:c>
      <x:c r="I19" s="22" t="str">
        <x:f>HYPERLINK("https://etp-aktiv.ru/catalog/materialy/zapasnye-chasti-osnovnogo-ehnergeticheskogo-oborudovaniya/2000567163-V311/","Открыть позицию")</x:f>
        <x:v>Открыть позицию</x:v>
      </x:c>
    </x:row>
    <x:row r="20" ht="28" customHeight="1">
      <x:c r="A20" s="16" t="str">
        <x:v>Назаровская ГРЭС</x:v>
      </x:c>
      <x:c r="B20" s="16" t="str">
        <x:v>2000532044-V311</x:v>
      </x:c>
      <x:c r="C20" s="16" t="str">
        <x:v>КОЛЕСО РАБ ПРАВОЕ ДРГ-18.000.000.000СБ</x:v>
      </x:c>
      <x:c r="D20" s="16" t="str">
        <x:v>ЗЧ к КВО</x:v>
      </x:c>
      <x:c r="E20" s="16" t="str">
        <x:v>ШТ</x:v>
      </x:c>
      <x:c r="F20" s="21" t="n">
        <x:v>1</x:v>
      </x:c>
      <x:c r="G20" s="17" t="n">
        <x:v>219600</x:v>
      </x:c>
      <x:c r="H20" s="17" t="n">
        <x:f>G20*F20</x:f>
        <x:v>219600</x:v>
      </x:c>
      <x:c r="I20" s="22" t="str">
        <x:f>HYPERLINK("https://etp-aktiv.ru/catalog/materialy/zapasnye-chasti-osnovnogo-ehnergeticheskogo-oborudovaniya/2000532044-V311/","Открыть позицию")</x:f>
        <x:v>Открыть позицию</x:v>
      </x:c>
    </x:row>
    <x:row r="21" ht="28" customHeight="1">
      <x:c r="A21" s="16" t="str">
        <x:v>Назаровская ГРЭС</x:v>
      </x:c>
      <x:c r="B21" s="16" t="str">
        <x:v>2000590405-V311</x:v>
      </x:c>
      <x:c r="C21" s="16" t="str">
        <x:v>КОЛЬЦО ПРЕДОХРАНИТ 105*4 949 АППАР VS-H</x:v>
      </x:c>
      <x:c r="D21" s="16" t="str">
        <x:v>ЗЧ к КВО</x:v>
      </x:c>
      <x:c r="E21" s="16" t="str">
        <x:v>ШТ</x:v>
      </x:c>
      <x:c r="F21" s="21" t="n">
        <x:v>5</x:v>
      </x:c>
      <x:c r="G21" s="17" t="n">
        <x:v>1828.3408000000002</x:v>
      </x:c>
      <x:c r="H21" s="17" t="n">
        <x:f>G21*F21</x:f>
        <x:v>9141.704000000002</x:v>
      </x:c>
      <x:c r="I21" s="22" t="str">
        <x:f>HYPERLINK("https://etp-aktiv.ru/catalog/materialy/zapasnye-chasti-osnovnogo-ehnergeticheskogo-oborudovaniya/2000590405-V311/","Открыть позицию")</x:f>
        <x:v>Открыть позицию</x:v>
      </x:c>
    </x:row>
    <x:row r="22" ht="28" customHeight="1">
      <x:c r="A22" s="16" t="str">
        <x:v>Назаровская ГРЭС</x:v>
      </x:c>
      <x:c r="B22" s="16" t="str">
        <x:v>2000242261-V311</x:v>
      </x:c>
      <x:c r="C22" s="16" t="str">
        <x:v>ПОКОВКА СТ45 130*1600</x:v>
      </x:c>
      <x:c r="D22" s="16" t="str">
        <x:v>ЗЧ к КВО</x:v>
      </x:c>
      <x:c r="E22" s="16" t="str">
        <x:v>ШТ</x:v>
      </x:c>
      <x:c r="F22" s="21" t="n">
        <x:v>2</x:v>
      </x:c>
      <x:c r="G22" s="17" t="n">
        <x:v>4913.0986</x:v>
      </x:c>
      <x:c r="H22" s="17" t="n">
        <x:f>G22*F22</x:f>
        <x:v>9826.1972</x:v>
      </x:c>
      <x:c r="I22" s="22" t="str">
        <x:f>HYPERLINK("https://etp-aktiv.ru/catalog/materialy/zapasnye-chasti-osnovnogo-ehnergeticheskogo-oborudovaniya/2000242261-V311/","Открыть позицию")</x:f>
        <x:v>Открыть позицию</x:v>
      </x:c>
    </x:row>
    <x:row r="23" ht="28" customHeight="1">
      <x:c r="A23" s="16" t="str">
        <x:v>Назаровская ГРЭС</x:v>
      </x:c>
      <x:c r="B23" s="16" t="str">
        <x:v>2000590407-V311</x:v>
      </x:c>
      <x:c r="C23" s="16" t="str">
        <x:v>ПРОКЛАДКА СПИР DN80PN100/160 132956 VS-H</x:v>
      </x:c>
      <x:c r="D23" s="16" t="str">
        <x:v>ЗЧ к КВО</x:v>
      </x:c>
      <x:c r="E23" s="16" t="str">
        <x:v>ШТ</x:v>
      </x:c>
      <x:c r="F23" s="21" t="n">
        <x:v>9</x:v>
      </x:c>
      <x:c r="G23" s="17" t="n">
        <x:v>7442.0488</x:v>
      </x:c>
      <x:c r="H23" s="17" t="n">
        <x:f>G23*F23</x:f>
        <x:v>66978.4392</x:v>
      </x:c>
      <x:c r="I23" s="22" t="str">
        <x:f>HYPERLINK("https://etp-aktiv.ru/catalog/materialy/zapasnye-chasti-osnovnogo-ehnergeticheskogo-oborudovaniya/2000590407-V311/","Открыть позицию")</x:f>
        <x:v>Открыть позицию</x:v>
      </x:c>
    </x:row>
    <x:row r="24" ht="28" customHeight="1">
      <x:c r="A24" s="16" t="str">
        <x:v>Назаровская ГРЭС</x:v>
      </x:c>
      <x:c r="B24" s="16" t="str">
        <x:v>2000560929-V311</x:v>
      </x:c>
      <x:c r="C24" s="16" t="str">
        <x:v>ТЭН 78 А13/0,5-S-220 Ф2 R30 Д/ВОЗДУХА</x:v>
      </x:c>
      <x:c r="D24" s="16" t="str">
        <x:v>ЗЧ к КВО</x:v>
      </x:c>
      <x:c r="E24" s="16" t="str">
        <x:v>ШТ</x:v>
      </x:c>
      <x:c r="F24" s="21" t="n">
        <x:v>4</x:v>
      </x:c>
      <x:c r="G24" s="17" t="n">
        <x:v>223.1624</x:v>
      </x:c>
      <x:c r="H24" s="17" t="n">
        <x:f>G24*F24</x:f>
        <x:v>892.6496</x:v>
      </x:c>
      <x:c r="I24" s="22" t="str">
        <x:f>HYPERLINK("https://etp-aktiv.ru/catalog/materialy/zapasnye-chasti-osnovnogo-ehnergeticheskogo-oborudovaniya/2000560929-V311/","Открыть позицию")</x:f>
        <x:v>Открыть позицию</x:v>
      </x:c>
    </x:row>
    <x:row r="25" ht="28" customHeight="1">
      <x:c r="A25" s="16" t="str">
        <x:v>Назаровская ГРЭС</x:v>
      </x:c>
      <x:c r="B25" s="16" t="str">
        <x:v>2000590402-V311</x:v>
      </x:c>
      <x:c r="C25" s="16" t="str">
        <x:v>ЦЕПЬ РОЛИКОВАЯ 27636 АППАРАТА ОБДУВ VS-H</x:v>
      </x:c>
      <x:c r="D25" s="16" t="str">
        <x:v>ЗЧ к КВО</x:v>
      </x:c>
      <x:c r="E25" s="16" t="str">
        <x:v>ШТ</x:v>
      </x:c>
      <x:c r="F25" s="21" t="n">
        <x:v>2</x:v>
      </x:c>
      <x:c r="G25" s="17" t="n">
        <x:v>15692.555</x:v>
      </x:c>
      <x:c r="H25" s="17" t="n">
        <x:f>G25*F25</x:f>
        <x:v>31385.11</x:v>
      </x:c>
      <x:c r="I25" s="22" t="str">
        <x:f>HYPERLINK("https://etp-aktiv.ru/catalog/materialy/zapasnye-chasti-osnovnogo-ehnergeticheskogo-oborudovaniya/2000590402-V311/","Открыть позицию")</x:f>
        <x:v>Открыть позицию</x:v>
      </x:c>
    </x:row>
    <x:row r="26" ht="28" customHeight="1">
      <x:c r="A26" s="16" t="str">
        <x:v>Назаровская ГРЭС</x:v>
      </x:c>
      <x:c r="B26" s="16" t="str">
        <x:v>2000590398-V311</x:v>
      </x:c>
      <x:c r="C26" s="16" t="str">
        <x:v>ШЛАНГ ГИБКИЙ 1SN 40 DKOL 22895 WLB90</x:v>
      </x:c>
      <x:c r="D26" s="16" t="str">
        <x:v>ЗЧ к КВО</x:v>
      </x:c>
      <x:c r="E26" s="16" t="str">
        <x:v>ШТ</x:v>
      </x:c>
      <x:c r="F26" s="21" t="n">
        <x:v>2</x:v>
      </x:c>
      <x:c r="G26" s="17" t="n">
        <x:v>74104.70319999999</x:v>
      </x:c>
      <x:c r="H26" s="17" t="n">
        <x:f>G26*F26</x:f>
        <x:v>148209.40639999998</x:v>
      </x:c>
      <x:c r="I26" s="22" t="str">
        <x:f>HYPERLINK("https://etp-aktiv.ru/catalog/materialy/zapasnye-chasti-osnovnogo-ehnergeticheskogo-oborudovaniya/2000590398-V311/","Открыть позицию")</x:f>
        <x:v>Открыть позицию</x:v>
      </x:c>
    </x:row>
    <x:row r="27" ht="28" customHeight="1">
      <x:c r="A27" s="16" t="str">
        <x:v>Назаровская ГРЭС</x:v>
      </x:c>
      <x:c r="B27" s="16" t="str">
        <x:v>2000532427-V311</x:v>
      </x:c>
      <x:c r="C27" s="16" t="str">
        <x:v>ШНЕК 110.26.01.00СБ</x:v>
      </x:c>
      <x:c r="D27" s="16" t="str">
        <x:v>ЗЧ к КВО</x:v>
      </x:c>
      <x:c r="E27" s="16" t="str">
        <x:v>ШТ</x:v>
      </x:c>
      <x:c r="F27" s="21" t="n">
        <x:v>4</x:v>
      </x:c>
      <x:c r="G27" s="17" t="n">
        <x:v>90670.5342</x:v>
      </x:c>
      <x:c r="H27" s="17" t="n">
        <x:f>G27*F27</x:f>
        <x:v>362682.1368</x:v>
      </x:c>
      <x:c r="I27" s="22" t="str">
        <x:f>HYPERLINK("https://etp-aktiv.ru/catalog/materialy/zapasnye-chasti-osnovnogo-ehnergeticheskogo-oborudovaniya/2000532427-V311/","Открыть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7d79ec711734d8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Турбинное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Красноярская ГРЭС-2</x:v>
      </x:c>
      <x:c r="B5" s="16" t="str">
        <x:v>2000643762-V116</x:v>
      </x:c>
      <x:c r="C5" s="16" t="str">
        <x:v>КОЛЬЦО М-365-34-73</x:v>
      </x:c>
      <x:c r="D5" s="16" t="str">
        <x:v>ЗЧ турбин</x:v>
      </x:c>
      <x:c r="E5" s="16" t="str">
        <x:v>ШТ</x:v>
      </x:c>
      <x:c r="F5" s="21" t="n">
        <x:v>3</x:v>
      </x:c>
      <x:c r="G5" s="17" t="n">
        <x:v>27979.0042</x:v>
      </x:c>
      <x:c r="H5" s="17" t="n">
        <x:f>G5*F5</x:f>
        <x:v>83937.0126</x:v>
      </x:c>
      <x:c r="I5" s="22" t="str">
        <x:f>HYPERLINK("https://etp-aktiv.ru/catalog/materialy/zapasnye-chasti-osnovnogo-ehnergeticheskogo-oborudovaniya/2000643762-V116/","Открыть позицию")</x:f>
        <x:v>Открыть позицию</x:v>
      </x:c>
    </x:row>
    <x:row r="6" ht="28" customHeight="1">
      <x:c r="A6" s="16" t="str">
        <x:v>Красноярская ГРЭС-2</x:v>
      </x:c>
      <x:c r="B6" s="16" t="str">
        <x:v>2000836117-V116</x:v>
      </x:c>
      <x:c r="C6" s="16" t="str">
        <x:v>ЛОПАТКА Б-362-20-13 К160 110205 1985ХТГЗ</x:v>
      </x:c>
      <x:c r="D6" s="16" t="str">
        <x:v>ЗЧ турбин</x:v>
      </x:c>
      <x:c r="E6" s="16" t="str">
        <x:v>ШТ</x:v>
      </x:c>
      <x:c r="F6" s="21" t="n">
        <x:v>16</x:v>
      </x:c>
      <x:c r="G6" s="17" t="n">
        <x:v>21992.500799999998</x:v>
      </x:c>
      <x:c r="H6" s="17" t="n">
        <x:f>G6*F6</x:f>
        <x:v>351880.01279999997</x:v>
      </x:c>
      <x:c r="I6" s="22" t="str">
        <x:f>HYPERLINK("https://etp-aktiv.ru/catalog/materialy/zapasnye-chasti-osnovnogo-ehnergeticheskogo-oborudovaniya/2000836117-V116/","Открыть позицию")</x:f>
        <x:v>Открыть позицию</x:v>
      </x:c>
    </x:row>
    <x:row r="7" ht="28" customHeight="1">
      <x:c r="A7" s="16" t="str">
        <x:v>Красноярская ГРЭС-2</x:v>
      </x:c>
      <x:c r="B7" s="16" t="str">
        <x:v>2000835832-V116</x:v>
      </x:c>
      <x:c r="C7" s="16" t="str">
        <x:v>ЛОПАТКА Б-362-20-22 К160 110205 1985ХТГЗ</x:v>
      </x:c>
      <x:c r="D7" s="16" t="str">
        <x:v>ЗЧ турбин</x:v>
      </x:c>
      <x:c r="E7" s="16" t="str">
        <x:v>ШТ</x:v>
      </x:c>
      <x:c r="F7" s="21" t="n">
        <x:v>5</x:v>
      </x:c>
      <x:c r="G7" s="17" t="n">
        <x:v>14661.6672</x:v>
      </x:c>
      <x:c r="H7" s="17" t="n">
        <x:f>G7*F7</x:f>
        <x:v>73308.336</x:v>
      </x:c>
      <x:c r="I7" s="22" t="str">
        <x:f>HYPERLINK("https://etp-aktiv.ru/catalog/materialy/zapasnye-chasti-osnovnogo-ehnergeticheskogo-oborudovaniya/2000835832-V116/","Открыть позицию")</x:f>
        <x:v>Открыть позицию</x:v>
      </x:c>
    </x:row>
    <x:row r="8" ht="28" customHeight="1">
      <x:c r="A8" s="16" t="str">
        <x:v>Красноярская ГРЭС-2</x:v>
      </x:c>
      <x:c r="B8" s="16" t="str">
        <x:v>2000835831-V116</x:v>
      </x:c>
      <x:c r="C8" s="16" t="str">
        <x:v>ЛОПАТКА Б362-20-15А К160 110205 1985ХТГЗ</x:v>
      </x:c>
      <x:c r="D8" s="16" t="str">
        <x:v>ЗЧ турбин</x:v>
      </x:c>
      <x:c r="E8" s="16" t="str">
        <x:v>ШТ</x:v>
      </x:c>
      <x:c r="F8" s="21" t="n">
        <x:v>9</x:v>
      </x:c>
      <x:c r="G8" s="17" t="n">
        <x:v>4129.4316</x:v>
      </x:c>
      <x:c r="H8" s="17" t="n">
        <x:f>G8*F8</x:f>
        <x:v>37164.884399999995</x:v>
      </x:c>
      <x:c r="I8" s="22" t="str">
        <x:f>HYPERLINK("https://etp-aktiv.ru/catalog/materialy/zapasnye-chasti-osnovnogo-ehnergeticheskogo-oborudovaniya/2000835831-V116/","Открыть позицию")</x:f>
        <x:v>Открыть позицию</x:v>
      </x:c>
    </x:row>
    <x:row r="9" ht="28" customHeight="1">
      <x:c r="A9" s="16" t="str">
        <x:v>Красноярская ГРЭС-2</x:v>
      </x:c>
      <x:c r="B9" s="16" t="str">
        <x:v>2000836137-V116</x:v>
      </x:c>
      <x:c r="C9" s="16" t="str">
        <x:v>ЛОПАТКА М-361-20-17 К160 110205 1985ХТГЗ</x:v>
      </x:c>
      <x:c r="D9" s="16" t="str">
        <x:v>ЗЧ турбин</x:v>
      </x:c>
      <x:c r="E9" s="16" t="str">
        <x:v>ШТ</x:v>
      </x:c>
      <x:c r="F9" s="21" t="n">
        <x:v>200</x:v>
      </x:c>
      <x:c r="G9" s="17" t="n">
        <x:v>2443.6234</x:v>
      </x:c>
      <x:c r="H9" s="17" t="n">
        <x:f>G9*F9</x:f>
        <x:v>488724.68</x:v>
      </x:c>
      <x:c r="I9" s="22" t="str">
        <x:f>HYPERLINK("https://etp-aktiv.ru/catalog/materialy/zapasnye-chasti-osnovnogo-ehnergeticheskogo-oborudovaniya/2000836137-V116/","Открыть позицию")</x:f>
        <x:v>Открыть позицию</x:v>
      </x:c>
    </x:row>
    <x:row r="10" ht="28" customHeight="1">
      <x:c r="A10" s="16" t="str">
        <x:v>Красноярская ГРЭС-2</x:v>
      </x:c>
      <x:c r="B10" s="16" t="str">
        <x:v>2000836138-V116</x:v>
      </x:c>
      <x:c r="C10" s="16" t="str">
        <x:v>ЛОПАТКА М-361-20-18 К160 110205 1985ХТГЗ</x:v>
      </x:c>
      <x:c r="D10" s="16" t="str">
        <x:v>ЗЧ турбин</x:v>
      </x:c>
      <x:c r="E10" s="16" t="str">
        <x:v>ШТ</x:v>
      </x:c>
      <x:c r="F10" s="21" t="n">
        <x:v>200</x:v>
      </x:c>
      <x:c r="G10" s="17" t="n">
        <x:v>2687.9772000000003</x:v>
      </x:c>
      <x:c r="H10" s="17" t="n">
        <x:f>G10*F10</x:f>
        <x:v>537595.4400000001</x:v>
      </x:c>
      <x:c r="I10" s="22" t="str">
        <x:f>HYPERLINK("https://etp-aktiv.ru/catalog/materialy/zapasnye-chasti-osnovnogo-ehnergeticheskogo-oborudovaniya/2000836138-V116/","Открыть позицию")</x:f>
        <x:v>Открыть позицию</x:v>
      </x:c>
    </x:row>
    <x:row r="11" ht="28" customHeight="1">
      <x:c r="A11" s="16" t="str">
        <x:v>Красноярская ГРЭС-2</x:v>
      </x:c>
      <x:c r="B11" s="16" t="str">
        <x:v>2000645424-V116</x:v>
      </x:c>
      <x:c r="C11" s="16" t="str">
        <x:v>ОПОРА 457370Л1</x:v>
      </x:c>
      <x:c r="D11" s="16" t="str">
        <x:v>ЗЧ турбин</x:v>
      </x:c>
      <x:c r="E11" s="16" t="str">
        <x:v>Т</x:v>
      </x:c>
      <x:c r="F11" s="26" t="n">
        <x:v>4.424</x:v>
      </x:c>
      <x:c r="G11" s="17" t="n">
        <x:v>14205.2408</x:v>
      </x:c>
      <x:c r="H11" s="17" t="n">
        <x:f>G11*F11</x:f>
        <x:v>62843.9852992</x:v>
      </x:c>
      <x:c r="I11" s="22" t="str">
        <x:f>HYPERLINK("https://etp-aktiv.ru/catalog/materialy/zapasnye-chasti-osnovnogo-ehnergeticheskogo-oborudovaniya/2000645424-V116/","Открыть позицию")</x:f>
        <x:v>Открыть позицию</x:v>
      </x:c>
    </x:row>
    <x:row r="12" ht="28" customHeight="1">
      <x:c r="A12" s="16" t="str">
        <x:v>Красноярская ГРЭС-2</x:v>
      </x:c>
      <x:c r="B12" s="16" t="str">
        <x:v>2000645425-V116</x:v>
      </x:c>
      <x:c r="C12" s="16" t="str">
        <x:v>ОПОРА 457370Л2</x:v>
      </x:c>
      <x:c r="D12" s="16" t="str">
        <x:v>ЗЧ турбин</x:v>
      </x:c>
      <x:c r="E12" s="16" t="str">
        <x:v>Т</x:v>
      </x:c>
      <x:c r="F12" s="26" t="n">
        <x:v>4.38</x:v>
      </x:c>
      <x:c r="G12" s="17" t="n">
        <x:v>14205.228599999999</x:v>
      </x:c>
      <x:c r="H12" s="17" t="n">
        <x:f>G12*F12</x:f>
        <x:v>62218.901267999994</x:v>
      </x:c>
      <x:c r="I12" s="22" t="str">
        <x:f>HYPERLINK("https://etp-aktiv.ru/catalog/materialy/zapasnye-chasti-osnovnogo-ehnergeticheskogo-oborudovaniya/2000645425-V116/","Открыть позицию")</x:f>
        <x:v>Открыть позицию</x:v>
      </x:c>
    </x:row>
    <x:row r="13" ht="28" customHeight="1">
      <x:c r="A13" s="16" t="str">
        <x:v>Красноярская ГРЭС-2</x:v>
      </x:c>
      <x:c r="B13" s="16" t="str">
        <x:v>2000645910-V116</x:v>
      </x:c>
      <x:c r="C13" s="16" t="str">
        <x:v>ПОДВЕСКА С-1023309</x:v>
      </x:c>
      <x:c r="D13" s="16" t="str">
        <x:v>ЗЧ турбин</x:v>
      </x:c>
      <x:c r="E13" s="16" t="str">
        <x:v>ШТ</x:v>
      </x:c>
      <x:c r="F13" s="21" t="n">
        <x:v>1</x:v>
      </x:c>
      <x:c r="G13" s="17" t="n">
        <x:v>11419.199999999999</x:v>
      </x:c>
      <x:c r="H13" s="17" t="n">
        <x:f>G13*F13</x:f>
        <x:v>11419.199999999999</x:v>
      </x:c>
      <x:c r="I13" s="22" t="str">
        <x:f>HYPERLINK("https://etp-aktiv.ru/catalog/materialy/zapasnye-chasti-osnovnogo-ehnergeticheskogo-oborudovaniya/2000645910-V116/","Открыть позицию")</x:f>
        <x:v>Открыть позицию</x:v>
      </x:c>
    </x:row>
    <x:row r="14" ht="28" customHeight="1">
      <x:c r="A14" s="16" t="str">
        <x:v>Красноярская ГРЭС-2</x:v>
      </x:c>
      <x:c r="B14" s="16" t="str">
        <x:v>2000641386-V116</x:v>
      </x:c>
      <x:c r="C14" s="16" t="str">
        <x:v>ПОДВЕСКА С-1023310</x:v>
      </x:c>
      <x:c r="D14" s="16" t="str">
        <x:v>ЗЧ турбин</x:v>
      </x:c>
      <x:c r="E14" s="16" t="str">
        <x:v>ШТ</x:v>
      </x:c>
      <x:c r="F14" s="21" t="n">
        <x:v>1</x:v>
      </x:c>
      <x:c r="G14" s="17" t="n">
        <x:v>38213.6452</x:v>
      </x:c>
      <x:c r="H14" s="17" t="n">
        <x:f>G14*F14</x:f>
        <x:v>38213.6452</x:v>
      </x:c>
      <x:c r="I14" s="22" t="str">
        <x:f>HYPERLINK("https://etp-aktiv.ru/catalog/materialy/zapasnye-chasti-osnovnogo-ehnergeticheskogo-oborudovaniya/2000641386-V116/","Открыть позицию")</x:f>
        <x:v>Открыть позицию</x:v>
      </x:c>
    </x:row>
    <x:row r="15" ht="28" customHeight="1">
      <x:c r="A15" s="16" t="str">
        <x:v>Красноярская ГРЭС-2</x:v>
      </x:c>
      <x:c r="B15" s="16" t="str">
        <x:v>2000641387-V116</x:v>
      </x:c>
      <x:c r="C15" s="16" t="str">
        <x:v>ПОДВЕСКА С-1023311</x:v>
      </x:c>
      <x:c r="D15" s="16" t="str">
        <x:v>ЗЧ турбин</x:v>
      </x:c>
      <x:c r="E15" s="16" t="str">
        <x:v>ШТ</x:v>
      </x:c>
      <x:c r="F15" s="21" t="n">
        <x:v>1</x:v>
      </x:c>
      <x:c r="G15" s="17" t="n">
        <x:v>31469.8878</x:v>
      </x:c>
      <x:c r="H15" s="17" t="n">
        <x:f>G15*F15</x:f>
        <x:v>31469.8878</x:v>
      </x:c>
      <x:c r="I15" s="22" t="str">
        <x:f>HYPERLINK("https://etp-aktiv.ru/catalog/materialy/zapasnye-chasti-osnovnogo-ehnergeticheskogo-oborudovaniya/2000641387-V116/","Открыть позицию")</x:f>
        <x:v>Открыть позицию</x:v>
      </x:c>
    </x:row>
    <x:row r="16" ht="28" customHeight="1">
      <x:c r="A16" s="16" t="str">
        <x:v>Красноярская ГРЭС-2</x:v>
      </x:c>
      <x:c r="B16" s="16" t="str">
        <x:v>2000641388-V116</x:v>
      </x:c>
      <x:c r="C16" s="16" t="str">
        <x:v>ПОДВЕСКА С-1023312</x:v>
      </x:c>
      <x:c r="D16" s="16" t="str">
        <x:v>ЗЧ турбин</x:v>
      </x:c>
      <x:c r="E16" s="16" t="str">
        <x:v>ШТ</x:v>
      </x:c>
      <x:c r="F16" s="21" t="n">
        <x:v>1</x:v>
      </x:c>
      <x:c r="G16" s="17" t="n">
        <x:v>38213.6452</x:v>
      </x:c>
      <x:c r="H16" s="17" t="n">
        <x:f>G16*F16</x:f>
        <x:v>38213.6452</x:v>
      </x:c>
      <x:c r="I16" s="22" t="str">
        <x:f>HYPERLINK("https://etp-aktiv.ru/catalog/materialy/zapasnye-chasti-osnovnogo-ehnergeticheskogo-oborudovaniya/2000641388-V116/","Открыть позицию")</x:f>
        <x:v>Открыть позицию</x:v>
      </x:c>
    </x:row>
    <x:row r="17" ht="28" customHeight="1">
      <x:c r="A17" s="16" t="str">
        <x:v>Красноярская ГРЭС-2</x:v>
      </x:c>
      <x:c r="B17" s="16" t="str">
        <x:v>2000641389-V116</x:v>
      </x:c>
      <x:c r="C17" s="16" t="str">
        <x:v>ПОДВЕСКА С-1023313</x:v>
      </x:c>
      <x:c r="D17" s="16" t="str">
        <x:v>ЗЧ турбин</x:v>
      </x:c>
      <x:c r="E17" s="16" t="str">
        <x:v>ШТ</x:v>
      </x:c>
      <x:c r="F17" s="21" t="n">
        <x:v>1</x:v>
      </x:c>
      <x:c r="G17" s="17" t="n">
        <x:v>14610.8664</x:v>
      </x:c>
      <x:c r="H17" s="17" t="n">
        <x:f>G17*F17</x:f>
        <x:v>14610.8664</x:v>
      </x:c>
      <x:c r="I17" s="22" t="str">
        <x:f>HYPERLINK("https://etp-aktiv.ru/catalog/materialy/zapasnye-chasti-osnovnogo-ehnergeticheskogo-oborudovaniya/2000641389-V116/","Открыть позицию")</x:f>
        <x:v>Открыть позицию</x:v>
      </x:c>
    </x:row>
    <x:row r="18" ht="28" customHeight="1">
      <x:c r="A18" s="16" t="str">
        <x:v>Красноярская ГРЭС-2</x:v>
      </x:c>
      <x:c r="B18" s="16" t="str">
        <x:v>2000641390-V116</x:v>
      </x:c>
      <x:c r="C18" s="16" t="str">
        <x:v>ПОДВЕСКА С-1023368</x:v>
      </x:c>
      <x:c r="D18" s="16" t="str">
        <x:v>ЗЧ турбин</x:v>
      </x:c>
      <x:c r="E18" s="16" t="str">
        <x:v>ШТ</x:v>
      </x:c>
      <x:c r="F18" s="21" t="n">
        <x:v>2</x:v>
      </x:c>
      <x:c r="G18" s="17" t="n">
        <x:v>67436.0856</x:v>
      </x:c>
      <x:c r="H18" s="17" t="n">
        <x:f>G18*F18</x:f>
        <x:v>134872.1712</x:v>
      </x:c>
      <x:c r="I18" s="22" t="str">
        <x:f>HYPERLINK("https://etp-aktiv.ru/catalog/materialy/zapasnye-chasti-osnovnogo-ehnergeticheskogo-oborudovaniya/2000641390-V116/","Открыть позицию")</x:f>
        <x:v>Открыть позицию</x:v>
      </x:c>
    </x:row>
    <x:row r="19" ht="28" customHeight="1">
      <x:c r="A19" s="16" t="str">
        <x:v>Красноярская ГРЭС-2</x:v>
      </x:c>
      <x:c r="B19" s="16" t="str">
        <x:v>2000178032-V116</x:v>
      </x:c>
      <x:c r="C19" s="16" t="str">
        <x:v>СЕДЛО КЛАПАНА D120 М-361-31-02</x:v>
      </x:c>
      <x:c r="D19" s="16" t="str">
        <x:v>ЗЧ турбин</x:v>
      </x:c>
      <x:c r="E19" s="16" t="str">
        <x:v>ШТ</x:v>
      </x:c>
      <x:c r="F19" s="21" t="n">
        <x:v>1</x:v>
      </x:c>
      <x:c r="G19" s="17" t="n">
        <x:v>24693.165999999997</x:v>
      </x:c>
      <x:c r="H19" s="17" t="n">
        <x:f>G19*F19</x:f>
        <x:v>24693.165999999997</x:v>
      </x:c>
      <x:c r="I19" s="22" t="str">
        <x:f>HYPERLINK("https://etp-aktiv.ru/catalog/materialy/zapasnye-chasti-osnovnogo-ehnergeticheskogo-oborudovaniya/2000178032-V116/","Открыть позицию")</x:f>
        <x:v>Открыть позицию</x:v>
      </x:c>
    </x:row>
    <x:row r="20" ht="28" customHeight="1">
      <x:c r="A20" s="16" t="str">
        <x:v>Красноярская ГРЭС-2</x:v>
      </x:c>
      <x:c r="B20" s="16" t="str">
        <x:v>2000836133-V116</x:v>
      </x:c>
      <x:c r="C20" s="16" t="str">
        <x:v>ШПИЛЬКА М-361-03-26 К160 110205 1985ХТГЗ</x:v>
      </x:c>
      <x:c r="D20" s="16" t="str">
        <x:v>ЗЧ турбин</x:v>
      </x:c>
      <x:c r="E20" s="16" t="str">
        <x:v>ШТ</x:v>
      </x:c>
      <x:c r="F20" s="21" t="n">
        <x:v>6</x:v>
      </x:c>
      <x:c r="G20" s="17" t="n">
        <x:v>17105.2784</x:v>
      </x:c>
      <x:c r="H20" s="17" t="n">
        <x:f>G20*F20</x:f>
        <x:v>102631.6704</x:v>
      </x:c>
      <x:c r="I20" s="22" t="str">
        <x:f>HYPERLINK("https://etp-aktiv.ru/catalog/materialy/zapasnye-chasti-osnovnogo-ehnergeticheskogo-oborudovaniya/2000836133-V116/","Открыть позицию")</x:f>
        <x:v>Открыть позицию</x:v>
      </x:c>
    </x:row>
    <x:row r="21" ht="28" customHeight="1">
      <x:c r="A21" s="16" t="str">
        <x:v>Красноярская ТЭЦ-3</x:v>
      </x:c>
      <x:c r="B21" s="16" t="str">
        <x:v>2000527227-V114</x:v>
      </x:c>
      <x:c r="C21" s="16" t="str">
        <x:v>КОЛЬЦО Г-1135134 Т-204/220 2176 1996 ЛМЗ</x:v>
      </x:c>
      <x:c r="D21" s="16" t="str">
        <x:v>ЗЧ турбин</x:v>
      </x:c>
      <x:c r="E21" s="16" t="str">
        <x:v>ШТ</x:v>
      </x:c>
      <x:c r="F21" s="21" t="n">
        <x:v>2</x:v>
      </x:c>
      <x:c r="G21" s="17" t="n">
        <x:v>9164.0422</x:v>
      </x:c>
      <x:c r="H21" s="17" t="n">
        <x:f>G21*F21</x:f>
        <x:v>18328.0844</x:v>
      </x:c>
      <x:c r="I21" s="22" t="str">
        <x:f>HYPERLINK("https://etp-aktiv.ru/catalog/materialy/zapasnye-chasti-osnovnogo-ehnergeticheskogo-oborudovaniya/2000527227-V114/","Открыть позицию")</x:f>
        <x:v>Открыть позицию</x:v>
      </x:c>
    </x:row>
    <x:row r="22" ht="28" customHeight="1">
      <x:c r="A22" s="16" t="str">
        <x:v>Назаровская ГРЭС</x:v>
      </x:c>
      <x:c r="B22" s="16" t="str">
        <x:v>2000527133-V311</x:v>
      </x:c>
      <x:c r="C22" s="16" t="str">
        <x:v>ВИНТ ВУ12*25/1 К-500-240 19001 1968 ХТГЗ</x:v>
      </x:c>
      <x:c r="D22" s="16" t="str">
        <x:v>ЗЧ турбин</x:v>
      </x:c>
      <x:c r="E22" s="16" t="str">
        <x:v>ШТ</x:v>
      </x:c>
      <x:c r="F22" s="21" t="n">
        <x:v>4</x:v>
      </x:c>
      <x:c r="G22" s="17" t="n">
        <x:v>91.80499999999999</x:v>
      </x:c>
      <x:c r="H22" s="17" t="n">
        <x:f>G22*F22</x:f>
        <x:v>367.21999999999997</x:v>
      </x:c>
      <x:c r="I22" s="22" t="str">
        <x:f>HYPERLINK("https://etp-aktiv.ru/catalog/materialy/zapasnye-chasti-osnovnogo-ehnergeticheskogo-oborudovaniya/2000527133-V311/","Открыть позицию")</x:f>
        <x:v>Открыть позицию</x:v>
      </x:c>
    </x:row>
    <x:row r="23" ht="28" customHeight="1">
      <x:c r="A23" s="16" t="str">
        <x:v>Назаровская ГРЭС</x:v>
      </x:c>
      <x:c r="B23" s="16" t="str">
        <x:v>2000725191-V311</x:v>
      </x:c>
      <x:c r="C23" s="16" t="str">
        <x:v>КЛИН М-362-20-47 К160 110206 1986 ХТГЗ</x:v>
      </x:c>
      <x:c r="D23" s="16" t="str">
        <x:v>ЗЧ турбин</x:v>
      </x:c>
      <x:c r="E23" s="16" t="str">
        <x:v>ШТ</x:v>
      </x:c>
      <x:c r="F23" s="21" t="n">
        <x:v>1</x:v>
      </x:c>
      <x:c r="G23" s="17" t="n">
        <x:v>8578.125</x:v>
      </x:c>
      <x:c r="H23" s="17" t="n">
        <x:f>G23*F23</x:f>
        <x:v>8578.125</x:v>
      </x:c>
      <x:c r="I23" s="22" t="str">
        <x:f>HYPERLINK("https://etp-aktiv.ru/catalog/materialy/zapasnye-chasti-osnovnogo-ehnergeticheskogo-oborudovaniya/2000725191-V311/","Открыть позицию")</x:f>
        <x:v>Открыть позицию</x:v>
      </x:c>
    </x:row>
    <x:row r="24" ht="28" customHeight="1">
      <x:c r="A24" s="16" t="str">
        <x:v>Назаровская ГРЭС</x:v>
      </x:c>
      <x:c r="B24" s="16" t="str">
        <x:v>2000527553-V311</x:v>
      </x:c>
      <x:c r="C24" s="16" t="str">
        <x:v>КОЛОДКА 08.02.84.00-031СБ ФРИКЦ ПСМ 1-30</x:v>
      </x:c>
      <x:c r="D24" s="16" t="str">
        <x:v>ЗЧ турб-вспом оборуд</x:v>
      </x:c>
      <x:c r="E24" s="16" t="str">
        <x:v>ШТ</x:v>
      </x:c>
      <x:c r="F24" s="21" t="n">
        <x:v>21</x:v>
      </x:c>
      <x:c r="G24" s="17" t="n">
        <x:v>4429.5882</x:v>
      </x:c>
      <x:c r="H24" s="17" t="n">
        <x:f>G24*F24</x:f>
        <x:v>93021.35220000001</x:v>
      </x:c>
      <x:c r="I24" s="22" t="str">
        <x:f>HYPERLINK("https://etp-aktiv.ru/catalog/materialy/zapasnye-chasti-osnovnogo-ehnergeticheskogo-oborudovaniya/2000527553-V311/","Открыть позицию")</x:f>
        <x:v>Открыть позицию</x:v>
      </x:c>
    </x:row>
    <x:row r="25" ht="28" customHeight="1">
      <x:c r="A25" s="16" t="str">
        <x:v>Назаровская ГРЭС</x:v>
      </x:c>
      <x:c r="B25" s="16" t="str">
        <x:v>2000590255-V311</x:v>
      </x:c>
      <x:c r="C25" s="16" t="str">
        <x:v>КОЛЬЦО С-761-69СБ2 КТ-135 10113 1960ХТГЗ</x:v>
      </x:c>
      <x:c r="D25" s="16" t="str">
        <x:v>ЗЧ турбин</x:v>
      </x:c>
      <x:c r="E25" s="16" t="str">
        <x:v>ШТ</x:v>
      </x:c>
      <x:c r="F25" s="21" t="n">
        <x:v>4</x:v>
      </x:c>
      <x:c r="G25" s="17" t="n">
        <x:v>62215.424999999996</x:v>
      </x:c>
      <x:c r="H25" s="17" t="n">
        <x:f>G25*F25</x:f>
        <x:v>248861.69999999998</x:v>
      </x:c>
      <x:c r="I25" s="22" t="str">
        <x:f>HYPERLINK("https://etp-aktiv.ru/catalog/materialy/zapasnye-chasti-osnovnogo-ehnergeticheskogo-oborudovaniya/2000590255-V311/","Открыть позицию")</x:f>
        <x:v>Открыть позицию</x:v>
      </x:c>
    </x:row>
    <x:row r="26" ht="28" customHeight="1">
      <x:c r="A26" s="16" t="str">
        <x:v>Назаровская ГРЭС</x:v>
      </x:c>
      <x:c r="B26" s="16" t="str">
        <x:v>2000525102-V311</x:v>
      </x:c>
      <x:c r="C26" s="16" t="str">
        <x:v>ПРУЖИНА Г-1162884 К-500 19001 1965 ХТГЗ</x:v>
      </x:c>
      <x:c r="D26" s="16" t="str">
        <x:v>ЗЧ турбин</x:v>
      </x:c>
      <x:c r="E26" s="16" t="str">
        <x:v>ШТ</x:v>
      </x:c>
      <x:c r="F26" s="21" t="n">
        <x:v>9</x:v>
      </x:c>
      <x:c r="G26" s="17" t="n">
        <x:v>7120.407999999999</x:v>
      </x:c>
      <x:c r="H26" s="17" t="n">
        <x:f>G26*F26</x:f>
        <x:v>64083.67199999999</x:v>
      </x:c>
      <x:c r="I26" s="22" t="str">
        <x:f>HYPERLINK("https://etp-aktiv.ru/catalog/materialy/zapasnye-chasti-osnovnogo-ehnergeticheskogo-oborudovaniya/2000525102-V311/","Открыть позицию")</x:f>
        <x:v>Открыть позицию</x:v>
      </x:c>
    </x:row>
    <x:row r="27" ht="28" customHeight="1">
      <x:c r="A27" s="16" t="str">
        <x:v>Назаровская ГРЭС</x:v>
      </x:c>
      <x:c r="B27" s="16" t="str">
        <x:v>2000590253-V311</x:v>
      </x:c>
      <x:c r="C27" s="16" t="str">
        <x:v>ПРУЖИНА М-361-62-20 КТ135 10113 1960ХТГЗ</x:v>
      </x:c>
      <x:c r="D27" s="16" t="str">
        <x:v>ЗЧ турбин</x:v>
      </x:c>
      <x:c r="E27" s="16" t="str">
        <x:v>ШТ</x:v>
      </x:c>
      <x:c r="F27" s="21" t="n">
        <x:v>18</x:v>
      </x:c>
      <x:c r="G27" s="17" t="n">
        <x:v>1374.4397999999999</x:v>
      </x:c>
      <x:c r="H27" s="17" t="n">
        <x:f>G27*F27</x:f>
        <x:v>24739.9164</x:v>
      </x:c>
      <x:c r="I27" s="22" t="str">
        <x:f>HYPERLINK("https://etp-aktiv.ru/catalog/materialy/zapasnye-chasti-osnovnogo-ehnergeticheskogo-oborudovaniya/2000590253-V311/","Открыть позицию")</x:f>
        <x:v>Открыть позицию</x:v>
      </x:c>
    </x:row>
    <x:row r="28" ht="28" customHeight="1">
      <x:c r="A28" s="16" t="str">
        <x:v>Назаровская ГРЭС</x:v>
      </x:c>
      <x:c r="B28" s="16" t="str">
        <x:v>2000527356-V311</x:v>
      </x:c>
      <x:c r="C28" s="16" t="str">
        <x:v>СТЕРЖЕНЬ М-822-20-48 К500 19001 1965ХТГЗ</x:v>
      </x:c>
      <x:c r="D28" s="16" t="str">
        <x:v>ЗЧ турбин</x:v>
      </x:c>
      <x:c r="E28" s="16" t="str">
        <x:v>ШТ</x:v>
      </x:c>
      <x:c r="F28" s="21" t="n">
        <x:v>13</x:v>
      </x:c>
      <x:c r="G28" s="17" t="n">
        <x:v>1163.1358</x:v>
      </x:c>
      <x:c r="H28" s="17" t="n">
        <x:f>G28*F28</x:f>
        <x:v>15120.7654</x:v>
      </x:c>
      <x:c r="I28" s="22" t="str">
        <x:f>HYPERLINK("https://etp-aktiv.ru/catalog/materialy/zapasnye-chasti-osnovnogo-ehnergeticheskogo-oborudovaniya/2000527356-V311/","Открыть позицию")</x:f>
        <x:v>Открыть позицию</x:v>
      </x:c>
    </x:row>
    <x:row r="29" ht="28" customHeight="1">
      <x:c r="A29" s="16" t="str">
        <x:v>Назаровская ГРЭС</x:v>
      </x:c>
      <x:c r="B29" s="16" t="str">
        <x:v>2000527357-V311</x:v>
      </x:c>
      <x:c r="C29" s="16" t="str">
        <x:v>СТОПОР М-382-20-04 К-500 19001 1965 ХТГЗ</x:v>
      </x:c>
      <x:c r="D29" s="16" t="str">
        <x:v>ЗЧ турбин</x:v>
      </x:c>
      <x:c r="E29" s="16" t="str">
        <x:v>ШТ</x:v>
      </x:c>
      <x:c r="F29" s="21" t="n">
        <x:v>104</x:v>
      </x:c>
      <x:c r="G29" s="17" t="n">
        <x:v>174.4722</x:v>
      </x:c>
      <x:c r="H29" s="17" t="n">
        <x:f>G29*F29</x:f>
        <x:v>18145.108799999998</x:v>
      </x:c>
      <x:c r="I29" s="22" t="str">
        <x:f>HYPERLINK("https://etp-aktiv.ru/catalog/materialy/zapasnye-chasti-osnovnogo-ehnergeticheskogo-oborudovaniya/2000527357-V311/","Открыть позицию")</x:f>
        <x:v>Открыть позицию</x:v>
      </x:c>
    </x:row>
    <x:row r="30" ht="28" customHeight="1">
      <x:c r="A30" s="16" t="str">
        <x:v>Назаровская ГРЭС</x:v>
      </x:c>
      <x:c r="B30" s="16" t="str">
        <x:v>2000527358-V311</x:v>
      </x:c>
      <x:c r="C30" s="16" t="str">
        <x:v>СТОПОР М-382-20-76 К-500 19001 1965 ХТГЗ</x:v>
      </x:c>
      <x:c r="D30" s="16" t="str">
        <x:v>ЗЧ турбин</x:v>
      </x:c>
      <x:c r="E30" s="16" t="str">
        <x:v>ШТ</x:v>
      </x:c>
      <x:c r="F30" s="21" t="n">
        <x:v>104</x:v>
      </x:c>
      <x:c r="G30" s="17" t="n">
        <x:v>174.4722</x:v>
      </x:c>
      <x:c r="H30" s="17" t="n">
        <x:f>G30*F30</x:f>
        <x:v>18145.108799999998</x:v>
      </x:c>
      <x:c r="I30" s="22" t="str">
        <x:f>HYPERLINK("https://etp-aktiv.ru/catalog/materialy/zapasnye-chasti-osnovnogo-ehnergeticheskogo-oborudovaniya/2000527358-V311/","Открыть позицию")</x:f>
        <x:v>Открыть позицию</x:v>
      </x:c>
    </x:row>
    <x:row r="31" ht="28" customHeight="1">
      <x:c r="A31" s="16" t="str">
        <x:v>Назаровская ГРЭС</x:v>
      </x:c>
      <x:c r="B31" s="16" t="str">
        <x:v>2001096628-V311</x:v>
      </x:c>
      <x:c r="C31" s="16" t="str">
        <x:v>УПЛОТНЕНИЕ T20P EPDM HT CLIP Т/ОБ T20PFS</x:v>
      </x:c>
      <x:c r="D31" s="16" t="str">
        <x:v>ЗЧ турб-вспом оборуд</x:v>
      </x:c>
      <x:c r="E31" s="16" t="str">
        <x:v>ШТ</x:v>
      </x:c>
      <x:c r="F31" s="21" t="n">
        <x:v>540</x:v>
      </x:c>
      <x:c r="G31" s="17" t="n">
        <x:v>1138.0282</x:v>
      </x:c>
      <x:c r="H31" s="17" t="n">
        <x:f>G31*F31</x:f>
        <x:v>614535.228</x:v>
      </x:c>
      <x:c r="I31" s="22" t="str">
        <x:f>HYPERLINK("https://etp-aktiv.ru/catalog/materialy/zapasnye-chasti-osnovnogo-ehnergeticheskogo-oborudovaniya/2001096628-V311/","Открыть позицию")</x:f>
        <x:v>Открыть позицию</x:v>
      </x:c>
    </x:row>
    <x:row r="32" ht="28" customHeight="1">
      <x:c r="A32" s="16" t="str">
        <x:v>Назаровская ГРЭС</x:v>
      </x:c>
      <x:c r="B32" s="16" t="str">
        <x:v>2000590945-V311</x:v>
      </x:c>
      <x:c r="C32" s="16" t="str">
        <x:v>ШАЙБА М822-20-49 К500-240 19001 1965ХТГЗ</x:v>
      </x:c>
      <x:c r="D32" s="16" t="str">
        <x:v>ЗЧ турбин</x:v>
      </x:c>
      <x:c r="E32" s="16" t="str">
        <x:v>ШТ</x:v>
      </x:c>
      <x:c r="F32" s="21" t="n">
        <x:v>26</x:v>
      </x:c>
      <x:c r="G32" s="17" t="n">
        <x:v>754.875</x:v>
      </x:c>
      <x:c r="H32" s="17" t="n">
        <x:f>G32*F32</x:f>
        <x:v>19626.75</x:v>
      </x:c>
      <x:c r="I32" s="22" t="str">
        <x:f>HYPERLINK("https://etp-aktiv.ru/catalog/materialy/zapasnye-chasti-osnovnogo-ehnergeticheskogo-oborudovaniya/2000590945-V311/","Открыть позицию")</x:f>
        <x:v>Открыть позицию</x:v>
      </x:c>
    </x:row>
    <x:row r="33" ht="28" customHeight="1">
      <x:c r="A33" s="16" t="str">
        <x:v>Назаровская ГРЭС</x:v>
      </x:c>
      <x:c r="B33" s="16" t="str">
        <x:v>2000725194-V311</x:v>
      </x:c>
      <x:c r="C33" s="16" t="str">
        <x:v>ШПОНКА М-362-20-56 К160 110206 1986 ХТГЗ</x:v>
      </x:c>
      <x:c r="D33" s="16" t="str">
        <x:v>ЗЧ турбин</x:v>
      </x:c>
      <x:c r="E33" s="16" t="str">
        <x:v>ШТ</x:v>
      </x:c>
      <x:c r="F33" s="21" t="n">
        <x:v>1</x:v>
      </x:c>
      <x:c r="G33" s="17" t="n">
        <x:v>5146.875</x:v>
      </x:c>
      <x:c r="H33" s="17" t="n">
        <x:f>G33*F33</x:f>
        <x:v>5146.875</x:v>
      </x:c>
      <x:c r="I33" s="22" t="str">
        <x:f>HYPERLINK("https://etp-aktiv.ru/catalog/materialy/zapasnye-chasti-osnovnogo-ehnergeticheskogo-oborudovaniya/2000725194-V311/","Открыть позицию")</x:f>
        <x:v>Открыть позицию</x:v>
      </x:c>
    </x:row>
    <x:row r="34" ht="28" customHeight="1">
      <x:c r="A34" s="16" t="str">
        <x:v>Назаровская ГРЭС</x:v>
      </x:c>
      <x:c r="B34" s="16" t="str">
        <x:v>2000590662-V311</x:v>
      </x:c>
      <x:c r="C34" s="16" t="str">
        <x:v>ШТИФТ 8Н*51М342-20-27К500 19001 1965ХТГЗ</x:v>
      </x:c>
      <x:c r="D34" s="16" t="str">
        <x:v>ЗЧ турбин</x:v>
      </x:c>
      <x:c r="E34" s="16" t="str">
        <x:v>ШТ</x:v>
      </x:c>
      <x:c r="F34" s="21" t="n">
        <x:v>2</x:v>
      </x:c>
      <x:c r="G34" s="17" t="n">
        <x:v>2401.875</x:v>
      </x:c>
      <x:c r="H34" s="17" t="n">
        <x:f>G34*F34</x:f>
        <x:v>4803.75</x:v>
      </x:c>
      <x:c r="I34" s="22" t="str">
        <x:f>HYPERLINK("https://etp-aktiv.ru/catalog/materialy/zapasnye-chasti-osnovnogo-ehnergeticheskogo-oborudovaniya/2000590662-V311/","Открыть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9d969cc8c11e488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Железнодорожное оборудование и материалы ВСП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Красноярская ГРЭС-2</x:v>
      </x:c>
      <x:c r="B5" s="16" t="str">
        <x:v>2000163943-V116</x:v>
      </x:c>
      <x:c r="C5" s="16" t="str">
        <x:v>ШАЙБА М27 ГОСТ19115-91</x:v>
      </x:c>
      <x:c r="D5" s="16" t="str">
        <x:v>Материалы ВСП</x:v>
      </x:c>
      <x:c r="E5" s="16" t="str">
        <x:v>Т</x:v>
      </x:c>
      <x:c r="F5" s="30" t="n">
        <x:v>0.023</x:v>
      </x:c>
      <x:c r="G5" s="17" t="n">
        <x:v>76402.4146</x:v>
      </x:c>
      <x:c r="H5" s="17" t="n">
        <x:f>G5*F5</x:f>
        <x:v>1757.2555358</x:v>
      </x:c>
      <x:c r="I5" s="22" t="str">
        <x:f>HYPERLINK("https://etp-aktiv.ru/catalog/materialy/metalloprodukciya/2000163943-V116/","Открыть позицию")</x:f>
        <x:v>Открыть позицию</x:v>
      </x:c>
    </x:row>
    <x:row r="6" ht="28" customHeight="1">
      <x:c r="A6" s="16" t="str">
        <x:v>Красноярская ТЭЦ-1</x:v>
      </x:c>
      <x:c r="B6" s="16" t="str">
        <x:v>2000556071-V119</x:v>
      </x:c>
      <x:c r="C6" s="16" t="str">
        <x:v>РЕЛЬС КР100-А ГОСТ4121-96</x:v>
      </x:c>
      <x:c r="D6" s="16" t="str">
        <x:v>Материалы ВСП</x:v>
      </x:c>
      <x:c r="E6" s="16" t="str">
        <x:v>Т</x:v>
      </x:c>
      <x:c r="F6" s="26" t="n">
        <x:v>1.296</x:v>
      </x:c>
      <x:c r="G6" s="17" t="n">
        <x:v>75441.2986</x:v>
      </x:c>
      <x:c r="H6" s="17" t="n">
        <x:f>G6*F6</x:f>
        <x:v>97771.9229856</x:v>
      </x:c>
      <x:c r="I6" s="22" t="str">
        <x:f>HYPERLINK("https://etp-aktiv.ru/catalog/materialy/metalloprodukciya/2000556071-V119/","Открыть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2d57d5f6962b4e9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Промышленная безопасность, пожарное оборудование и медицина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Канская ТЭЦ</x:v>
      </x:c>
      <x:c r="B5" s="16" t="str">
        <x:v>2000030231-V141</x:v>
      </x:c>
      <x:c r="C5" s="16" t="str">
        <x:v>МАСКА МЕДИЦИНСКАЯ ОДНОРАЗОВАЯ</x:v>
      </x:c>
      <x:c r="D5" s="16" t="str">
        <x:v>Медикаменты</x:v>
      </x:c>
      <x:c r="E5" s="16" t="str">
        <x:v>ШТ</x:v>
      </x:c>
      <x:c r="F5" s="21" t="n">
        <x:v>11510</x:v>
      </x:c>
      <x:c r="G5" s="17" t="n">
        <x:v>1.037</x:v>
      </x:c>
      <x:c r="H5" s="17" t="n">
        <x:f>G5*F5</x:f>
        <x:v>11935.869999999999</x:v>
      </x:c>
      <x:c r="I5" s="22" t="str">
        <x:f>HYPERLINK("https://etp-aktiv.ru/catalog/materialy/medikamenty-i-produkciya-medicinskogo-naznacheniya/2000030231-V141/","Открыть позицию")</x:f>
        <x:v>Открыть позицию</x:v>
      </x:c>
    </x:row>
    <x:row r="6" ht="28" customHeight="1">
      <x:c r="A6" s="16" t="str">
        <x:v>Красноярская ГРЭС-2</x:v>
      </x:c>
      <x:c r="B6" s="16" t="str">
        <x:v>2000891040-V116</x:v>
      </x:c>
      <x:c r="C6" s="16" t="str">
        <x:v>ЛЕНТА ПРОТИВОПОЖАРНАЯ SPFIRE 10*2*25000</x:v>
      </x:c>
      <x:c r="D6" s="16" t="str">
        <x:v>Противопожар матер-ы</x:v>
      </x:c>
      <x:c r="E6" s="16" t="str">
        <x:v>ШТ</x:v>
      </x:c>
      <x:c r="F6" s="21" t="n">
        <x:v>15</x:v>
      </x:c>
      <x:c r="G6" s="17" t="n">
        <x:v>529.4068</x:v>
      </x:c>
      <x:c r="H6" s="17" t="n">
        <x:f>G6*F6</x:f>
        <x:v>7941.102</x:v>
      </x:c>
      <x:c r="I6" s="22" t="str">
        <x:f>HYPERLINK("https://etp-aktiv.ru/catalog/materialy/protivopozharnye-materialy/2000891040-V116/","Открыть позицию")</x:f>
        <x:v>Открыть позицию</x:v>
      </x:c>
    </x:row>
    <x:row r="7" ht="28" customHeight="1">
      <x:c r="A7" s="16" t="str">
        <x:v>Красноярская ГРЭС-2</x:v>
      </x:c>
      <x:c r="B7" s="16" t="str">
        <x:v>2000844215-V116</x:v>
      </x:c>
      <x:c r="C7" s="16" t="str">
        <x:v>ОГНЕПРЕГРАДИТЕЛЬ ОП-100ААН</x:v>
      </x:c>
      <x:c r="D7" s="16" t="str">
        <x:v>Противопож мат спец</x:v>
      </x:c>
      <x:c r="E7" s="16" t="str">
        <x:v>ШТ</x:v>
      </x:c>
      <x:c r="F7" s="21" t="n">
        <x:v>3</x:v>
      </x:c>
      <x:c r="G7" s="17" t="n">
        <x:v>2875.9548</x:v>
      </x:c>
      <x:c r="H7" s="17" t="n">
        <x:f>G7*F7</x:f>
        <x:v>8627.8644</x:v>
      </x:c>
      <x:c r="I7" s="22" t="str">
        <x:f>HYPERLINK("https://etp-aktiv.ru/catalog/materialy/protivopozharnye-materialy/2000844215-V116/","Открыть позицию")</x:f>
        <x:v>Открыть позицию</x:v>
      </x:c>
    </x:row>
    <x:row r="8" ht="28" customHeight="1">
      <x:c r="A8" s="16" t="str">
        <x:v>Красноярская ГРЭС-2</x:v>
      </x:c>
      <x:c r="B8" s="16" t="str">
        <x:v>2000218835-V116</x:v>
      </x:c>
      <x:c r="C8" s="16" t="str">
        <x:v>ОГНЕТУШИТЕЛЬ ОП-2</x:v>
      </x:c>
      <x:c r="D8" s="16" t="str">
        <x:v>Противопожар матер-ы</x:v>
      </x:c>
      <x:c r="E8" s="16" t="str">
        <x:v>ШТ</x:v>
      </x:c>
      <x:c r="F8" s="21" t="n">
        <x:v>14</x:v>
      </x:c>
      <x:c r="G8" s="17" t="n">
        <x:v>188.0386</x:v>
      </x:c>
      <x:c r="H8" s="17" t="n">
        <x:f>G8*F8</x:f>
        <x:v>2632.5404</x:v>
      </x:c>
      <x:c r="I8" s="22" t="str">
        <x:f>HYPERLINK("https://etp-aktiv.ru/catalog/materialy/protivopozharnye-materialy/2000218835-V116/","Открыть позицию")</x:f>
        <x:v>Открыть позицию</x:v>
      </x:c>
    </x:row>
    <x:row r="9" ht="28" customHeight="1">
      <x:c r="A9" s="16" t="str">
        <x:v>Красноярская ГРЭС-2</x:v>
      </x:c>
      <x:c r="B9" s="16" t="str">
        <x:v>2000774123-V116</x:v>
      </x:c>
      <x:c r="C9" s="16" t="str">
        <x:v>ОГНЕТУШИТЕЛЬ ОП-6(3)-АВСЕ ЗПУ АЛЮМИНИЙ</x:v>
      </x:c>
      <x:c r="D9" s="16" t="str">
        <x:v>Противопожар матер-ы</x:v>
      </x:c>
      <x:c r="E9" s="16" t="str">
        <x:v>ШТ</x:v>
      </x:c>
      <x:c r="F9" s="21" t="n">
        <x:v>3</x:v>
      </x:c>
      <x:c r="G9" s="17" t="n">
        <x:v>347.2486</x:v>
      </x:c>
      <x:c r="H9" s="17" t="n">
        <x:f>G9*F9</x:f>
        <x:v>1041.7458000000001</x:v>
      </x:c>
      <x:c r="I9" s="22" t="str">
        <x:f>HYPERLINK("https://etp-aktiv.ru/catalog/materialy/protivopozharnye-materialy/2000774123-V116/","Открыть позицию")</x:f>
        <x:v>Открыть позицию</x:v>
      </x:c>
    </x:row>
    <x:row r="10" ht="28" customHeight="1">
      <x:c r="A10" s="16" t="str">
        <x:v>Красноярская ГРЭС-2</x:v>
      </x:c>
      <x:c r="B10" s="16" t="str">
        <x:v>2000772140-V116</x:v>
      </x:c>
      <x:c r="C10" s="16" t="str">
        <x:v>ОГНЕТУШИТЕЛЬ ОУ-6(6)-ВСЕ ЗПУ АЛЮМИНИЙ</x:v>
      </x:c>
      <x:c r="D10" s="16" t="str">
        <x:v>Противопож мат спец</x:v>
      </x:c>
      <x:c r="E10" s="16" t="str">
        <x:v>ШТ</x:v>
      </x:c>
      <x:c r="F10" s="21" t="n">
        <x:v>2</x:v>
      </x:c>
      <x:c r="G10" s="17" t="n">
        <x:v>1637.3986</x:v>
      </x:c>
      <x:c r="H10" s="17" t="n">
        <x:f>G10*F10</x:f>
        <x:v>3274.7972</x:v>
      </x:c>
      <x:c r="I10" s="22" t="str">
        <x:f>HYPERLINK("https://etp-aktiv.ru/catalog/materialy/protivopozharnye-materialy/2000772140-V116/","Открыть позицию")</x:f>
        <x:v>Открыть позицию</x:v>
      </x:c>
    </x:row>
    <x:row r="11" ht="28" customHeight="1">
      <x:c r="A11" s="16" t="str">
        <x:v>Красноярская ТЭЦ-1</x:v>
      </x:c>
      <x:c r="B11" s="16" t="str">
        <x:v>2000527088-V119</x:v>
      </x:c>
      <x:c r="C11" s="16" t="str">
        <x:v>КРАН ПОЖАРН УГЛОВОЙ РПТК-50 С ГМ50-1,6ПМ</x:v>
      </x:c>
      <x:c r="D11" s="16" t="str">
        <x:v>ЗЧ противопож оборуд</x:v>
      </x:c>
      <x:c r="E11" s="16" t="str">
        <x:v>КМП</x:v>
      </x:c>
      <x:c r="F11" s="21" t="n">
        <x:v>10</x:v>
      </x:c>
      <x:c r="G11" s="17" t="n">
        <x:v>377.49240000000003</x:v>
      </x:c>
      <x:c r="H11" s="17" t="n">
        <x:f>G11*F11</x:f>
        <x:v>3774.9240000000004</x:v>
      </x:c>
      <x:c r="I11" s="22" t="str">
        <x:f>HYPERLINK("https://etp-aktiv.ru/catalog/materialy/protivopozharnye-materialy/2000527088-V119/","Открыть позицию")</x:f>
        <x:v>Открыть позицию</x:v>
      </x:c>
    </x:row>
    <x:row r="12" ht="28" customHeight="1">
      <x:c r="A12" s="16" t="str">
        <x:v>Красноярская ТЭЦ-1</x:v>
      </x:c>
      <x:c r="B12" s="16" t="str">
        <x:v>2000319841-V119</x:v>
      </x:c>
      <x:c r="C12" s="16" t="str">
        <x:v>ЛЮК ПРОТИВОПОЖАРНЫЙ EI-60</x:v>
      </x:c>
      <x:c r="D12" s="16" t="str">
        <x:v>Противопожар матер-ы</x:v>
      </x:c>
      <x:c r="E12" s="16" t="str">
        <x:v>ШТ</x:v>
      </x:c>
      <x:c r="F12" s="21" t="n">
        <x:v>3</x:v>
      </x:c>
      <x:c r="G12" s="17" t="n">
        <x:v>12211.650999999998</x:v>
      </x:c>
      <x:c r="H12" s="17" t="n">
        <x:f>G12*F12</x:f>
        <x:v>36634.952999999994</x:v>
      </x:c>
      <x:c r="I12" s="22" t="str">
        <x:f>HYPERLINK("https://etp-aktiv.ru/catalog/materialy/protivopozharnye-materialy/2000319841-V119/","Открыть позицию")</x:f>
        <x:v>Открыть позицию</x:v>
      </x:c>
    </x:row>
    <x:row r="13" ht="28" customHeight="1">
      <x:c r="A13" s="16" t="str">
        <x:v>Красноярская ТЭЦ-1</x:v>
      </x:c>
      <x:c r="B13" s="16" t="str">
        <x:v>2000439532-V119</x:v>
      </x:c>
      <x:c r="C13" s="16" t="str">
        <x:v>ПОДСТАВКА Д/ГИДРАНТА ППДФ-150</x:v>
      </x:c>
      <x:c r="D13" s="16" t="str">
        <x:v>ЗЧ противопож оборуд</x:v>
      </x:c>
      <x:c r="E13" s="16" t="str">
        <x:v>ШТ</x:v>
      </x:c>
      <x:c r="F13" s="21" t="n">
        <x:v>2</x:v>
      </x:c>
      <x:c r="G13" s="17" t="n">
        <x:v>4758.8296</x:v>
      </x:c>
      <x:c r="H13" s="17" t="n">
        <x:f>G13*F13</x:f>
        <x:v>9517.6592</x:v>
      </x:c>
      <x:c r="I13" s="22" t="str">
        <x:f>HYPERLINK("https://etp-aktiv.ru/catalog/materialy/protivopozharnye-materialy/2000439532-V119/","Открыть позицию")</x:f>
        <x:v>Открыть позицию</x:v>
      </x:c>
    </x:row>
    <x:row r="14" ht="28" customHeight="1">
      <x:c r="A14" s="16" t="str">
        <x:v>Минусинская ТЭЦ</x:v>
      </x:c>
      <x:c r="B14" s="16" t="str">
        <x:v>2000524210-V112</x:v>
      </x:c>
      <x:c r="C14" s="16" t="str">
        <x:v>КЛАПАН КПЛП50-1 DN50 PN16</x:v>
      </x:c>
      <x:c r="D14" s="16" t="str">
        <x:v>ЗЧ противопож оборуд</x:v>
      </x:c>
      <x:c r="E14" s="16" t="str">
        <x:v>ШТ</x:v>
      </x:c>
      <x:c r="F14" s="21" t="n">
        <x:v>4</x:v>
      </x:c>
      <x:c r="G14" s="17" t="n">
        <x:v>1037.61</x:v>
      </x:c>
      <x:c r="H14" s="17" t="n">
        <x:f>G14*F14</x:f>
        <x:v>4150.44</x:v>
      </x:c>
      <x:c r="I14" s="22" t="str">
        <x:f>HYPERLINK("https://etp-aktiv.ru/catalog/materialy/protivopozharnye-materialy/2000524210-V112/","Открыть позицию")</x:f>
        <x:v>Открыть позицию</x:v>
      </x:c>
    </x:row>
    <x:row r="15" ht="28" customHeight="1">
      <x:c r="A15" s="16" t="str">
        <x:v>Назаровская ГРЭС</x:v>
      </x:c>
      <x:c r="B15" s="16" t="str">
        <x:v>5000116189-V311</x:v>
      </x:c>
      <x:c r="C15" s="16" t="str">
        <x:v>ГИДРОТЕСТЕР ПОЖАРНЫХ КРАНОВ ГТ-1</x:v>
      </x:c>
      <x:c r="D15" s="16" t="str">
        <x:v>Противопожар оборуд</x:v>
      </x:c>
      <x:c r="E15" s="16" t="str">
        <x:v>КМП</x:v>
      </x:c>
      <x:c r="F15" s="21" t="n">
        <x:v>1</x:v>
      </x:c>
      <x:c r="G15" s="17" t="n">
        <x:v>4403.4436</x:v>
      </x:c>
      <x:c r="H15" s="17" t="n">
        <x:f>G15*F15</x:f>
        <x:v>4403.4436</x:v>
      </x:c>
      <x:c r="I15" s="22" t="str">
        <x:f>HYPERLINK("https://etp-aktiv.ru/catalog/materialy/protivopozharnye-materialy/5000116189-V311/","Открыть позицию")</x:f>
        <x:v>Открыть позицию</x:v>
      </x:c>
    </x:row>
    <x:row r="16" ht="28" customHeight="1">
      <x:c r="A16" s="16" t="str">
        <x:v>Назаровская ГРЭС</x:v>
      </x:c>
      <x:c r="B16" s="16" t="str">
        <x:v>2000235971-V311</x:v>
      </x:c>
      <x:c r="C16" s="16" t="str">
        <x:v>МАСКА МЕДИЦИНСКАЯ 3-Х СЛОЙНАЯ ZORRO</x:v>
      </x:c>
      <x:c r="D16" s="16" t="str">
        <x:v>Медикаменты</x:v>
      </x:c>
      <x:c r="E16" s="16" t="str">
        <x:v>ШТ</x:v>
      </x:c>
      <x:c r="F16" s="21" t="n">
        <x:v>143850</x:v>
      </x:c>
      <x:c r="G16" s="17" t="n">
        <x:v>1.8422</x:v>
      </x:c>
      <x:c r="H16" s="17" t="n">
        <x:f>G16*F16</x:f>
        <x:v>265000.47000000003</x:v>
      </x:c>
      <x:c r="I16" s="22" t="str">
        <x:f>HYPERLINK("https://etp-aktiv.ru/catalog/materialy/medikamenty-i-produkciya-medicinskogo-naznacheniya/2000235971-V311/","Открыть позицию")</x:f>
        <x:v>Открыть позицию</x:v>
      </x:c>
    </x:row>
    <x:row r="17" ht="28" customHeight="1">
      <x:c r="A17" s="16" t="str">
        <x:v>Назаровская ГРЭС</x:v>
      </x:c>
      <x:c r="B17" s="16" t="str">
        <x:v>2000808702-V311</x:v>
      </x:c>
      <x:c r="C17" s="16" t="str">
        <x:v>ОРОСИТЕЛЬ ДУS0-ЦПО0,13-G3/4-В/В1 ОЦ-9</x:v>
      </x:c>
      <x:c r="D17" s="16" t="str">
        <x:v>ЗЧ противопож оборуд</x:v>
      </x:c>
      <x:c r="E17" s="16" t="str">
        <x:v>ШТ</x:v>
      </x:c>
      <x:c r="F17" s="21" t="n">
        <x:v>10</x:v>
      </x:c>
      <x:c r="G17" s="17" t="n">
        <x:v>2821.6038</x:v>
      </x:c>
      <x:c r="H17" s="17" t="n">
        <x:f>G17*F17</x:f>
        <x:v>28216.038</x:v>
      </x:c>
      <x:c r="I17" s="22" t="str">
        <x:f>HYPERLINK("https://etp-aktiv.ru/catalog/materialy/protivopozharnye-materialy/2000808702-V311/","Открыть позицию")</x:f>
        <x:v>Открыть позицию</x:v>
      </x:c>
    </x:row>
    <x:row r="18" ht="28" customHeight="1">
      <x:c r="A18" s="16" t="str">
        <x:v>Назаровская ГРЭС</x:v>
      </x:c>
      <x:c r="B18" s="16" t="str">
        <x:v>2000995224-V311</x:v>
      </x:c>
      <x:c r="C18" s="16" t="str">
        <x:v>ОРОСИТЕЛЬ СВО1РГО0,47-R1/2/Р93.В3 СВГ-12</x:v>
      </x:c>
      <x:c r="D18" s="16" t="str">
        <x:v>ЗЧ противопож оборуд</x:v>
      </x:c>
      <x:c r="E18" s="16" t="str">
        <x:v>ШТ</x:v>
      </x:c>
      <x:c r="F18" s="21" t="n">
        <x:v>3</x:v>
      </x:c>
      <x:c r="G18" s="17" t="n">
        <x:v>462.11159999999995</x:v>
      </x:c>
      <x:c r="H18" s="17" t="n">
        <x:f>G18*F18</x:f>
        <x:v>1386.3347999999999</x:v>
      </x:c>
      <x:c r="I18" s="22" t="str">
        <x:f>HYPERLINK("https://etp-aktiv.ru/catalog/materialy/protivopozharnye-materialy/2000995224-V311/","Открыть позицию")</x:f>
        <x:v>Открыть позицию</x:v>
      </x:c>
    </x:row>
    <x:row r="19" ht="28" customHeight="1">
      <x:c r="A19" s="16" t="str">
        <x:v>Назаровская ГРЭС</x:v>
      </x:c>
      <x:c r="B19" s="16" t="str">
        <x:v>2000218370-V311</x:v>
      </x:c>
      <x:c r="C19" s="16" t="str">
        <x:v>ПОДСТАВКА Д/ОГНЕТУШИТЕЛЯ П15</x:v>
      </x:c>
      <x:c r="D19" s="16" t="str">
        <x:v>ЗЧ противопож оборуд</x:v>
      </x:c>
      <x:c r="E19" s="16" t="str">
        <x:v>ШТ</x:v>
      </x:c>
      <x:c r="F19" s="21" t="n">
        <x:v>6</x:v>
      </x:c>
      <x:c r="G19" s="17" t="n">
        <x:v>248.1968</x:v>
      </x:c>
      <x:c r="H19" s="17" t="n">
        <x:f>G19*F19</x:f>
        <x:v>1489.1808</x:v>
      </x:c>
      <x:c r="I19" s="22" t="str">
        <x:f>HYPERLINK("https://etp-aktiv.ru/catalog/materialy/protivopozharnye-materialy/2000218370-V311/","Открыть позицию")</x:f>
        <x:v>Открыть позицию</x:v>
      </x:c>
    </x:row>
    <x:row r="20" ht="28" customHeight="1">
      <x:c r="A20" s="16" t="str">
        <x:v>Назаровская ГРЭС</x:v>
      </x:c>
      <x:c r="B20" s="16" t="str">
        <x:v>5000075248-V311</x:v>
      </x:c>
      <x:c r="C20" s="16" t="str">
        <x:v>РЕЦИРКУЛЯТОР БАКТЕРИЦИД ИСТОК-БРИЗ 120</x:v>
      </x:c>
      <x:c r="D20" s="16" t="str">
        <x:v>Медицинское оборудов</x:v>
      </x:c>
      <x:c r="E20" s="16" t="str">
        <x:v>ШТ</x:v>
      </x:c>
      <x:c r="F20" s="21" t="n">
        <x:v>5</x:v>
      </x:c>
      <x:c r="G20" s="17" t="n">
        <x:v>19495.6</x:v>
      </x:c>
      <x:c r="H20" s="17" t="n">
        <x:f>G20*F20</x:f>
        <x:v>97478</x:v>
      </x:c>
      <x:c r="I20" s="22" t="str">
        <x:f>HYPERLINK("https://etp-aktiv.ru/catalog/oborudovanie/medicinskoe-oborudovanie/5000075248-V311/","Открыть позицию")</x:f>
        <x:v>Открыть позицию</x:v>
      </x:c>
    </x:row>
    <x:row r="21" ht="28" customHeight="1">
      <x:c r="A21" s="16" t="str">
        <x:v>Назаровская ГРЭС</x:v>
      </x:c>
      <x:c r="B21" s="16" t="str">
        <x:v>2000524295-V311</x:v>
      </x:c>
      <x:c r="C21" s="16" t="str">
        <x:v>СИГНАЛИЗАТОР СДУ-М СД 0,02/12/1/G1/2-В</x:v>
      </x:c>
      <x:c r="D21" s="16" t="str">
        <x:v>ЗЧ противопож оборуд</x:v>
      </x:c>
      <x:c r="E21" s="16" t="str">
        <x:v>ШТ</x:v>
      </x:c>
      <x:c r="F21" s="21" t="n">
        <x:v>1</x:v>
      </x:c>
      <x:c r="G21" s="17" t="n">
        <x:v>8976.2232</x:v>
      </x:c>
      <x:c r="H21" s="17" t="n">
        <x:f>G21*F21</x:f>
        <x:v>8976.2232</x:v>
      </x:c>
      <x:c r="I21" s="22" t="str">
        <x:f>HYPERLINK("https://etp-aktiv.ru/catalog/materialy/protivopozharnye-materialy/2000524295-V311/","Открыть позицию")</x:f>
        <x:v>Открыть позицию</x:v>
      </x:c>
    </x:row>
    <x:row r="22" ht="28" customHeight="1">
      <x:c r="A22" s="16" t="str">
        <x:v>Назаровская ГРЭС</x:v>
      </x:c>
      <x:c r="B22" s="16" t="str">
        <x:v>2000218353-V311</x:v>
      </x:c>
      <x:c r="C22" s="16" t="str">
        <x:v>СТВОЛ ПОЖАРНЫЙ РС-50П</x:v>
      </x:c>
      <x:c r="D22" s="16" t="str">
        <x:v>ЗЧ противопож оборуд</x:v>
      </x:c>
      <x:c r="E22" s="16" t="str">
        <x:v>ШТ</x:v>
      </x:c>
      <x:c r="F22" s="21" t="n">
        <x:v>5</x:v>
      </x:c>
      <x:c r="G22" s="17" t="n">
        <x:v>42.150999999999996</x:v>
      </x:c>
      <x:c r="H22" s="17" t="n">
        <x:f>G22*F22</x:f>
        <x:v>210.755</x:v>
      </x:c>
      <x:c r="I22" s="22" t="str">
        <x:f>HYPERLINK("https://etp-aktiv.ru/catalog/materialy/protivopozharnye-materialy/2000218353-V311/","Открыть позицию")</x:f>
        <x:v>Открыть позицию</x:v>
      </x:c>
    </x:row>
    <x:row r="23" ht="28" customHeight="1">
      <x:c r="A23" s="16" t="str">
        <x:v>Назаровская ГРЭС</x:v>
      </x:c>
      <x:c r="B23" s="16" t="str">
        <x:v>2000995326-V311</x:v>
      </x:c>
      <x:c r="C23" s="16" t="str">
        <x:v>УЗЕЛ ДРЕН УУ-Д50/1,7(Г0,14)В ГП WMA1 КР</x:v>
      </x:c>
      <x:c r="D23" s="16" t="str">
        <x:v>ЗЧ проивопож об спец</x:v>
      </x:c>
      <x:c r="E23" s="16" t="str">
        <x:v>ШТ</x:v>
      </x:c>
      <x:c r="F23" s="21" t="n">
        <x:v>1</x:v>
      </x:c>
      <x:c r="G23" s="17" t="n">
        <x:v>49661.8568</x:v>
      </x:c>
      <x:c r="H23" s="17" t="n">
        <x:f>G23*F23</x:f>
        <x:v>49661.8568</x:v>
      </x:c>
      <x:c r="I23" s="22" t="str">
        <x:f>HYPERLINK("https://etp-aktiv.ru/catalog/materialy/protivopozharnye-materialy/2000995326-V311/","Открыть позицию")</x:f>
        <x:v>Открыть позицию</x:v>
      </x:c>
    </x:row>
    <x:row r="24" ht="28" customHeight="1">
      <x:c r="A24" s="16" t="str">
        <x:v>Назаровская ГРЭС</x:v>
      </x:c>
      <x:c r="B24" s="16" t="str">
        <x:v>2000564092-V311</x:v>
      </x:c>
      <x:c r="C24" s="16" t="str">
        <x:v>ФУФАЙКА-СВИТЕР М/Ж ТЕРМ 104-108/194-200</x:v>
      </x:c>
      <x:c r="D24" s="16" t="str">
        <x:v>СИЗ э/дуги СГК</x:v>
      </x:c>
      <x:c r="E24" s="16" t="str">
        <x:v>ШТ</x:v>
      </x:c>
      <x:c r="F24" s="21" t="n">
        <x:v>1</x:v>
      </x:c>
      <x:c r="G24" s="17" t="n">
        <x:v>4870.3132</x:v>
      </x:c>
      <x:c r="H24" s="17" t="n">
        <x:f>G24*F24</x:f>
        <x:v>4870.3132</x:v>
      </x:c>
      <x:c r="I24" s="22" t="str">
        <x:f>HYPERLINK("https://etp-aktiv.ru/catalog/materialy/specodezhda-i-siz/2000564092-V311/","Открыть позицию")</x:f>
        <x:v>Открыть позицию</x:v>
      </x:c>
    </x:row>
    <x:row r="25" ht="28" customHeight="1">
      <x:c r="A25" s="16" t="str">
        <x:v>Назаровская ГРЭС</x:v>
      </x:c>
      <x:c r="B25" s="16" t="str">
        <x:v>2000565824-V311</x:v>
      </x:c>
      <x:c r="C25" s="16" t="str">
        <x:v>ФУФАЙКА-СВИТЕР М/Ж ТЕРМ 112-116/182-188</x:v>
      </x:c>
      <x:c r="D25" s="16" t="str">
        <x:v>СИЗ э/дуги СГК</x:v>
      </x:c>
      <x:c r="E25" s="16" t="str">
        <x:v>ШТ</x:v>
      </x:c>
      <x:c r="F25" s="21" t="n">
        <x:v>1</x:v>
      </x:c>
      <x:c r="G25" s="17" t="n">
        <x:v>4870.3132</x:v>
      </x:c>
      <x:c r="H25" s="17" t="n">
        <x:f>G25*F25</x:f>
        <x:v>4870.3132</x:v>
      </x:c>
      <x:c r="I25" s="22" t="str">
        <x:f>HYPERLINK("https://etp-aktiv.ru/catalog/materialy/specodezhda-i-siz/2000565824-V311/","Открыть позицию")</x:f>
        <x:v>Открыть позицию</x:v>
      </x:c>
    </x:row>
    <x:row r="26" ht="28" customHeight="1">
      <x:c r="A26" s="16" t="str">
        <x:v>Назаровская ГРЭС</x:v>
      </x:c>
      <x:c r="B26" s="16" t="str">
        <x:v>2000565828-V311</x:v>
      </x:c>
      <x:c r="C26" s="16" t="str">
        <x:v>ФУФАЙКА-СВИТЕР М/Ж ТЕРМ 120-124/182-188</x:v>
      </x:c>
      <x:c r="D26" s="16" t="str">
        <x:v>СИЗ э/дуги СГК</x:v>
      </x:c>
      <x:c r="E26" s="16" t="str">
        <x:v>ШТ</x:v>
      </x:c>
      <x:c r="F26" s="21" t="n">
        <x:v>1</x:v>
      </x:c>
      <x:c r="G26" s="17" t="n">
        <x:v>4870.3132</x:v>
      </x:c>
      <x:c r="H26" s="17" t="n">
        <x:f>G26*F26</x:f>
        <x:v>4870.3132</x:v>
      </x:c>
      <x:c r="I26" s="22" t="str">
        <x:f>HYPERLINK("https://etp-aktiv.ru/catalog/materialy/specodezhda-i-siz/2000565828-V311/","Открыть позицию")</x:f>
        <x:v>Открыть позицию</x:v>
      </x:c>
    </x:row>
    <x:row r="27" ht="28" customHeight="1">
      <x:c r="A27" s="16" t="str">
        <x:v>Назаровская ГРЭС</x:v>
      </x:c>
      <x:c r="B27" s="16" t="str">
        <x:v>2000565830-V311</x:v>
      </x:c>
      <x:c r="C27" s="16" t="str">
        <x:v>ФУФАЙКА-СВИТЕР М/Ж ТЕРМ 128-132/170-176</x:v>
      </x:c>
      <x:c r="D27" s="16" t="str">
        <x:v>СИЗ э/дуги СГК</x:v>
      </x:c>
      <x:c r="E27" s="16" t="str">
        <x:v>ШТ</x:v>
      </x:c>
      <x:c r="F27" s="21" t="n">
        <x:v>1</x:v>
      </x:c>
      <x:c r="G27" s="17" t="n">
        <x:v>4870.3132</x:v>
      </x:c>
      <x:c r="H27" s="17" t="n">
        <x:f>G27*F27</x:f>
        <x:v>4870.3132</x:v>
      </x:c>
      <x:c r="I27" s="22" t="str">
        <x:f>HYPERLINK("https://etp-aktiv.ru/catalog/materialy/specodezhda-i-siz/2000565830-V311/","Открыть позицию")</x:f>
        <x:v>Открыть позицию</x:v>
      </x:c>
    </x:row>
    <x:row r="28" ht="28" customHeight="1">
      <x:c r="A28" s="16" t="str">
        <x:v>Назаровская ГРЭС</x:v>
      </x:c>
      <x:c r="B28" s="16" t="str">
        <x:v>2000565815-V311</x:v>
      </x:c>
      <x:c r="C28" s="16" t="str">
        <x:v>ФУФАЙКА-СВИТЕР М/Ж ТЕРМ 80-84/158-164</x:v>
      </x:c>
      <x:c r="D28" s="16" t="str">
        <x:v>СИЗ э/дуги СГК</x:v>
      </x:c>
      <x:c r="E28" s="16" t="str">
        <x:v>ШТ</x:v>
      </x:c>
      <x:c r="F28" s="21" t="n">
        <x:v>2</x:v>
      </x:c>
      <x:c r="G28" s="17" t="n">
        <x:v>4870.3132</x:v>
      </x:c>
      <x:c r="H28" s="17" t="n">
        <x:f>G28*F28</x:f>
        <x:v>9740.6264</x:v>
      </x:c>
      <x:c r="I28" s="22" t="str">
        <x:f>HYPERLINK("https://etp-aktiv.ru/catalog/materialy/specodezhda-i-siz/2000565815-V311/","Открыть позицию")</x:f>
        <x:v>Открыть позицию</x:v>
      </x:c>
    </x:row>
    <x:row r="29" ht="28" customHeight="1">
      <x:c r="A29" s="16" t="str">
        <x:v>Назаровская ГРЭС</x:v>
      </x:c>
      <x:c r="B29" s="16" t="str">
        <x:v>2000564090-V311</x:v>
      </x:c>
      <x:c r="C29" s="16" t="str">
        <x:v>ФУФАЙКА-СВИТЕР М/Ж ТЕРМ 88-92/182-188</x:v>
      </x:c>
      <x:c r="D29" s="16" t="str">
        <x:v>СИЗ э/дуги СГК</x:v>
      </x:c>
      <x:c r="E29" s="16" t="str">
        <x:v>ШТ</x:v>
      </x:c>
      <x:c r="F29" s="21" t="n">
        <x:v>1</x:v>
      </x:c>
      <x:c r="G29" s="17" t="n">
        <x:v>4870.3132</x:v>
      </x:c>
      <x:c r="H29" s="17" t="n">
        <x:f>G29*F29</x:f>
        <x:v>4870.3132</x:v>
      </x:c>
      <x:c r="I29" s="22" t="str">
        <x:f>HYPERLINK("https://etp-aktiv.ru/catalog/materialy/specodezhda-i-siz/2000564090-V311/","Открыть позицию")</x:f>
        <x:v>Открыть позицию</x:v>
      </x:c>
    </x:row>
    <x:row r="30" ht="28" customHeight="1">
      <x:c r="A30" s="16" t="str">
        <x:v>Назаровская ГРЭС</x:v>
      </x:c>
      <x:c r="B30" s="16" t="str">
        <x:v>2000785178-V311</x:v>
      </x:c>
      <x:c r="C30" s="16" t="str">
        <x:v>ЩИТ ПОЖАРНЫЙ ЩП-А ЩПЗ-05 1200*350*700</x:v>
      </x:c>
      <x:c r="D30" s="16" t="str">
        <x:v>Противопожар матер-ы</x:v>
      </x:c>
      <x:c r="E30" s="16" t="str">
        <x:v>ШТ</x:v>
      </x:c>
      <x:c r="F30" s="21" t="n">
        <x:v>2</x:v>
      </x:c>
      <x:c r="G30" s="17" t="n">
        <x:v>3774.375</x:v>
      </x:c>
      <x:c r="H30" s="17" t="n">
        <x:f>G30*F30</x:f>
        <x:v>7548.75</x:v>
      </x:c>
      <x:c r="I30" s="22" t="str">
        <x:f>HYPERLINK("https://etp-aktiv.ru/catalog/materialy/protivopozharnye-materialy/2000785178-V311/","Открыть позицию")</x:f>
        <x:v>Открыть позицию</x:v>
      </x:c>
    </x:row>
    <x:row r="31" ht="28" customHeight="1">
      <x:c r="A31" s="16" t="str">
        <x:v>Назаровская ГРЭС</x:v>
      </x:c>
      <x:c r="B31" s="16" t="str">
        <x:v>2000964993-V311</x:v>
      </x:c>
      <x:c r="C31" s="16" t="str">
        <x:v>ЩИТ ПОЖАРНЫЙ ЩПЗ(Р)-6 1500*1000*400</x:v>
      </x:c>
      <x:c r="D31" s="16" t="str">
        <x:v>ЗЧ противопож оборуд</x:v>
      </x:c>
      <x:c r="E31" s="16" t="str">
        <x:v>ШТ</x:v>
      </x:c>
      <x:c r="F31" s="21" t="n">
        <x:v>2</x:v>
      </x:c>
      <x:c r="G31" s="17" t="n">
        <x:v>3888.9818</x:v>
      </x:c>
      <x:c r="H31" s="17" t="n">
        <x:f>G31*F31</x:f>
        <x:v>7777.9636</x:v>
      </x:c>
      <x:c r="I31" s="22" t="str">
        <x:f>HYPERLINK("https://etp-aktiv.ru/catalog/materialy/protivopozharnye-materialy/2000964993-V311/","Открыть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5b3aeb44e7844835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Строительные материалы и ЖБИ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Канская ТЭЦ</x:v>
      </x:c>
      <x:c r="B5" s="16" t="str">
        <x:v>2000872771-V141</x:v>
      </x:c>
      <x:c r="C5" s="16" t="str">
        <x:v>САМОРЕЗ С ПРЕСС-ШАЙБОЙ 9998 4,2*16 А2</x:v>
      </x:c>
      <x:c r="D5" s="16" t="str">
        <x:v>Проч строит матер-ы</x:v>
      </x:c>
      <x:c r="E5" s="16" t="str">
        <x:v>ШТ</x:v>
      </x:c>
      <x:c r="F5" s="21" t="n">
        <x:v>22</x:v>
      </x:c>
      <x:c r="G5" s="17" t="n">
        <x:v>0.7075999999999999</x:v>
      </x:c>
      <x:c r="H5" s="17" t="n">
        <x:f>G5*F5</x:f>
        <x:v>15.567199999999998</x:v>
      </x:c>
      <x:c r="I5" s="22" t="str">
        <x:f>HYPERLINK("https://etp-aktiv.ru/catalog/materialy/stroitelnye-materialy/2000872771-V141/","Открыть позицию")</x:f>
        <x:v>Открыть позицию</x:v>
      </x:c>
    </x:row>
    <x:row r="6" ht="28" customHeight="1">
      <x:c r="A6" s="16" t="str">
        <x:v>Канская теплосеть</x:v>
      </x:c>
      <x:c r="B6" s="16" t="str">
        <x:v>2000468515-V142</x:v>
      </x:c>
      <x:c r="C6" s="16" t="str">
        <x:v>СВАЯ ЗАБИВНАЯ С50-30.1.1 С.1.011.1-10</x:v>
      </x:c>
      <x:c r="D6" s="16" t="str">
        <x:v>Железобетонные издел</x:v>
      </x:c>
      <x:c r="E6" s="16" t="str">
        <x:v>ШТ</x:v>
      </x:c>
      <x:c r="F6" s="21" t="n">
        <x:v>166</x:v>
      </x:c>
      <x:c r="G6" s="17" t="n">
        <x:v>5030.7676</x:v>
      </x:c>
      <x:c r="H6" s="17" t="n">
        <x:f>G6*F6</x:f>
        <x:v>835107.4216</x:v>
      </x:c>
      <x:c r="I6" s="22" t="str">
        <x:f>HYPERLINK("https://etp-aktiv.ru/catalog/materialy/stroitelnye-materialy/2000468515-V142/","Открыть позицию")</x:f>
        <x:v>Открыть позицию</x:v>
      </x:c>
    </x:row>
    <x:row r="7" ht="28" customHeight="1">
      <x:c r="A7" s="16" t="str">
        <x:v>КрасТЭК</x:v>
      </x:c>
      <x:c r="B7" s="16" t="str">
        <x:v>2000557032-VG11</x:v>
      </x:c>
      <x:c r="C7" s="16" t="str">
        <x:v>КОЛЬЦО КС 10.6 С.3.900.1-14</x:v>
      </x:c>
      <x:c r="D7" s="16" t="str">
        <x:v>Железобетонные издел</x:v>
      </x:c>
      <x:c r="E7" s="16" t="str">
        <x:v>ШТ</x:v>
      </x:c>
      <x:c r="F7" s="21" t="n">
        <x:v>2</x:v>
      </x:c>
      <x:c r="G7" s="17" t="n">
        <x:v>1013.2954000000001</x:v>
      </x:c>
      <x:c r="H7" s="17" t="n">
        <x:f>G7*F7</x:f>
        <x:v>2026.5908000000002</x:v>
      </x:c>
      <x:c r="I7" s="22" t="str">
        <x:f>HYPERLINK("https://etp-aktiv.ru/catalog/materialy/stroitelnye-materialy/2000557032-VG11/","Открыть позицию")</x:f>
        <x:v>Открыть позицию</x:v>
      </x:c>
    </x:row>
    <x:row r="8" ht="28" customHeight="1">
      <x:c r="A8" s="16" t="str">
        <x:v>КрасТЭК</x:v>
      </x:c>
      <x:c r="B8" s="16" t="str">
        <x:v>2000468515-VG11</x:v>
      </x:c>
      <x:c r="C8" s="16" t="str">
        <x:v>СВАЯ ЗАБИВНАЯ С50-30.1.1 С.1.011.1-10</x:v>
      </x:c>
      <x:c r="D8" s="16" t="str">
        <x:v>Железобетонные издел</x:v>
      </x:c>
      <x:c r="E8" s="16" t="str">
        <x:v>ШТ</x:v>
      </x:c>
      <x:c r="F8" s="21" t="n">
        <x:v>10</x:v>
      </x:c>
      <x:c r="G8" s="17" t="n">
        <x:v>5206.8502</x:v>
      </x:c>
      <x:c r="H8" s="17" t="n">
        <x:f>G8*F8</x:f>
        <x:v>52068.502</x:v>
      </x:c>
      <x:c r="I8" s="22" t="str">
        <x:f>HYPERLINK("https://etp-aktiv.ru/catalog/materialy/stroitelnye-materialy/2000468515-VG11/","Открыть позицию")</x:f>
        <x:v>Открыть позицию</x:v>
      </x:c>
    </x:row>
    <x:row r="9" ht="28" customHeight="1">
      <x:c r="A9" s="16" t="str">
        <x:v>Красноярская ГРЭС-2</x:v>
      </x:c>
      <x:c r="B9" s="16" t="str">
        <x:v>2000276138-V116</x:v>
      </x:c>
      <x:c r="C9" s="16" t="str">
        <x:v>ИЗВЕСТЬ НЕГАШЕНАЯ 2СОРТ 4КГ</x:v>
      </x:c>
      <x:c r="D9" s="16" t="str">
        <x:v>Проч строит мат Спец</x:v>
      </x:c>
      <x:c r="E9" s="16" t="str">
        <x:v>ШТ</x:v>
      </x:c>
      <x:c r="F9" s="21" t="n">
        <x:v>1</x:v>
      </x:c>
      <x:c r="G9" s="17" t="n">
        <x:v>63.0496</x:v>
      </x:c>
      <x:c r="H9" s="17" t="n">
        <x:f>G9*F9</x:f>
        <x:v>63.0496</x:v>
      </x:c>
      <x:c r="I9" s="22" t="str">
        <x:f>HYPERLINK("https://etp-aktiv.ru/catalog/materialy/stroitelnye-materialy/2000276138-V116/","Открыть позицию")</x:f>
        <x:v>Открыть позицию</x:v>
      </x:c>
    </x:row>
    <x:row r="10" ht="28" customHeight="1">
      <x:c r="A10" s="16" t="str">
        <x:v>Красноярская ГРЭС-2</x:v>
      </x:c>
      <x:c r="B10" s="16" t="str">
        <x:v>2000324025-V116</x:v>
      </x:c>
      <x:c r="C10" s="16" t="str">
        <x:v>КЛЕЙ TIP-TOP SC4000 700Г</x:v>
      </x:c>
      <x:c r="D10" s="16" t="str">
        <x:v>Проч строит матер-ы</x:v>
      </x:c>
      <x:c r="E10" s="16" t="str">
        <x:v>ШТ</x:v>
      </x:c>
      <x:c r="F10" s="21" t="n">
        <x:v>30</x:v>
      </x:c>
      <x:c r="G10" s="17" t="n">
        <x:v>1681.3186</x:v>
      </x:c>
      <x:c r="H10" s="17" t="n">
        <x:f>G10*F10</x:f>
        <x:v>50439.558000000005</x:v>
      </x:c>
      <x:c r="I10" s="22" t="str">
        <x:f>HYPERLINK("https://etp-aktiv.ru/catalog/materialy/stroitelnye-materialy/2000324025-V116/","Открыть позицию")</x:f>
        <x:v>Открыть позицию</x:v>
      </x:c>
    </x:row>
    <x:row r="11" ht="28" customHeight="1">
      <x:c r="A11" s="16" t="str">
        <x:v>Красноярская ГРЭС-2</x:v>
      </x:c>
      <x:c r="B11" s="16" t="str">
        <x:v>2000643761-V116</x:v>
      </x:c>
      <x:c r="C11" s="16" t="str">
        <x:v>КОЛЬЦО КС-7.2 Г 8020-90</x:v>
      </x:c>
      <x:c r="D11" s="16" t="str">
        <x:v>Проч строит матер-ы</x:v>
      </x:c>
      <x:c r="E11" s="16" t="str">
        <x:v>ШТ</x:v>
      </x:c>
      <x:c r="F11" s="21" t="n">
        <x:v>2</x:v>
      </x:c>
      <x:c r="G11" s="17" t="n">
        <x:v>1999.0919999999999</x:v>
      </x:c>
      <x:c r="H11" s="17" t="n">
        <x:f>G11*F11</x:f>
        <x:v>3998.1839999999997</x:v>
      </x:c>
      <x:c r="I11" s="22" t="str">
        <x:f>HYPERLINK("https://etp-aktiv.ru/catalog/materialy/stroitelnye-materialy/2000643761-V116/","Открыть позицию")</x:f>
        <x:v>Открыть позицию</x:v>
      </x:c>
    </x:row>
    <x:row r="12" ht="28" customHeight="1">
      <x:c r="A12" s="16" t="str">
        <x:v>Красноярская ГРЭС-2</x:v>
      </x:c>
      <x:c r="B12" s="16" t="str">
        <x:v>2000557038-V116</x:v>
      </x:c>
      <x:c r="C12" s="16" t="str">
        <x:v>КОЛЬЦО СТЕНОВОЕ КС 10.09 ГОСТ8020-90</x:v>
      </x:c>
      <x:c r="D12" s="16" t="str">
        <x:v>Железобетонные издел</x:v>
      </x:c>
      <x:c r="E12" s="16" t="str">
        <x:v>ШТ</x:v>
      </x:c>
      <x:c r="F12" s="21" t="n">
        <x:v>4</x:v>
      </x:c>
      <x:c r="G12" s="17" t="n">
        <x:v>4862.0782</x:v>
      </x:c>
      <x:c r="H12" s="17" t="n">
        <x:f>G12*F12</x:f>
        <x:v>19448.3128</x:v>
      </x:c>
      <x:c r="I12" s="22" t="str">
        <x:f>HYPERLINK("https://etp-aktiv.ru/catalog/materialy/stroitelnye-materialy/2000557038-V116/","Открыть позицию")</x:f>
        <x:v>Открыть позицию</x:v>
      </x:c>
    </x:row>
    <x:row r="13" ht="28" customHeight="1">
      <x:c r="A13" s="16" t="str">
        <x:v>Красноярская ГРЭС-2</x:v>
      </x:c>
      <x:c r="B13" s="16" t="str">
        <x:v>2000185601-V116</x:v>
      </x:c>
      <x:c r="C13" s="16" t="str">
        <x:v>ПЕСОК КВАРЦЕВЫЙ 0,5-1ММ</x:v>
      </x:c>
      <x:c r="D13" s="16" t="str">
        <x:v>Щебень, гравий</x:v>
      </x:c>
      <x:c r="E13" s="16" t="str">
        <x:v>КГ</x:v>
      </x:c>
      <x:c r="F13" s="21" t="n">
        <x:v>490</x:v>
      </x:c>
      <x:c r="G13" s="17" t="n">
        <x:v>10.6384</x:v>
      </x:c>
      <x:c r="H13" s="17" t="n">
        <x:f>G13*F13</x:f>
        <x:v>5212.816000000001</x:v>
      </x:c>
      <x:c r="I13" s="22" t="str">
        <x:f>HYPERLINK("https://etp-aktiv.ru/catalog/materialy/stroitelnye-materialy/2000185601-V116/","Открыть позицию")</x:f>
        <x:v>Открыть позицию</x:v>
      </x:c>
    </x:row>
    <x:row r="14" ht="28" customHeight="1">
      <x:c r="A14" s="16" t="str">
        <x:v>Красноярская ГРЭС-2</x:v>
      </x:c>
      <x:c r="B14" s="16" t="str">
        <x:v>2000258834-V116</x:v>
      </x:c>
      <x:c r="C14" s="16" t="str">
        <x:v>ПЕСОК КВАРЦЕВЫЙ 2,5-5ММ</x:v>
      </x:c>
      <x:c r="D14" s="16" t="str">
        <x:v>Щебень, гравий</x:v>
      </x:c>
      <x:c r="E14" s="16" t="str">
        <x:v>КГ</x:v>
      </x:c>
      <x:c r="F14" s="21" t="n">
        <x:v>1000</x:v>
      </x:c>
      <x:c r="G14" s="17" t="n">
        <x:v>26.901</x:v>
      </x:c>
      <x:c r="H14" s="17" t="n">
        <x:f>G14*F14</x:f>
        <x:v>26901</x:v>
      </x:c>
      <x:c r="I14" s="22" t="str">
        <x:f>HYPERLINK("https://etp-aktiv.ru/catalog/materialy/stroitelnye-materialy/2000258834-V116/","Открыть позицию")</x:f>
        <x:v>Открыть позицию</x:v>
      </x:c>
    </x:row>
    <x:row r="15" ht="28" customHeight="1">
      <x:c r="A15" s="16" t="str">
        <x:v>Красноярская ГРЭС-2</x:v>
      </x:c>
      <x:c r="B15" s="16" t="str">
        <x:v>2000463895-V116</x:v>
      </x:c>
      <x:c r="C15" s="16" t="str">
        <x:v>ПРОФИЛЬ ПВХ DOCKE-R БЕЛЫЙ 3000*10ММ</x:v>
      </x:c>
      <x:c r="D15" s="16" t="str">
        <x:v>Проч строит матер-ы</x:v>
      </x:c>
      <x:c r="E15" s="16" t="str">
        <x:v>ШТ</x:v>
      </x:c>
      <x:c r="F15" s="21" t="n">
        <x:v>30</x:v>
      </x:c>
      <x:c r="G15" s="17" t="n">
        <x:v>30.5488</x:v>
      </x:c>
      <x:c r="H15" s="17" t="n">
        <x:f>G15*F15</x:f>
        <x:v>916.4639999999999</x:v>
      </x:c>
      <x:c r="I15" s="22" t="str">
        <x:f>HYPERLINK("https://etp-aktiv.ru/catalog/materialy/stroitelnye-materialy/2000463895-V116/","Открыть позицию")</x:f>
        <x:v>Открыть позицию</x:v>
      </x:c>
    </x:row>
    <x:row r="16" ht="28" customHeight="1">
      <x:c r="A16" s="16" t="str">
        <x:v>Красноярская ГРЭС-2</x:v>
      </x:c>
      <x:c r="B16" s="16" t="str">
        <x:v>2000580853-V116</x:v>
      </x:c>
      <x:c r="C16" s="16" t="str">
        <x:v>РУЧКА ДВЕРНАЯ DOORLOCK V S38KP/F</x:v>
      </x:c>
      <x:c r="D16" s="16" t="str">
        <x:v>Проч строит матер-ы</x:v>
      </x:c>
      <x:c r="E16" s="16" t="str">
        <x:v>ШТ</x:v>
      </x:c>
      <x:c r="F16" s="21" t="n">
        <x:v>10</x:v>
      </x:c>
      <x:c r="G16" s="17" t="n">
        <x:v>551.745</x:v>
      </x:c>
      <x:c r="H16" s="17" t="n">
        <x:f>G16*F16</x:f>
        <x:v>5517.45</x:v>
      </x:c>
      <x:c r="I16" s="22" t="str">
        <x:f>HYPERLINK("https://etp-aktiv.ru/catalog/materialy/stroitelnye-materialy/2000580853-V116/","Открыть позицию")</x:f>
        <x:v>Открыть позицию</x:v>
      </x:c>
    </x:row>
    <x:row r="17" ht="28" customHeight="1">
      <x:c r="A17" s="16" t="str">
        <x:v>Красноярская ТЭЦ-1</x:v>
      </x:c>
      <x:c r="B17" s="16" t="str">
        <x:v>2000572456-V119</x:v>
      </x:c>
      <x:c r="C17" s="16" t="str">
        <x:v>БЛОК ДВЕРНОЙ ПВХ ДПН-Г-П-Ф-ДВ 2350*980</x:v>
      </x:c>
      <x:c r="D17" s="16" t="str">
        <x:v>Проч строит мат Спец</x:v>
      </x:c>
      <x:c r="E17" s="16" t="str">
        <x:v>ШТ</x:v>
      </x:c>
      <x:c r="F17" s="21" t="n">
        <x:v>1</x:v>
      </x:c>
      <x:c r="G17" s="17" t="n">
        <x:v>26599.05</x:v>
      </x:c>
      <x:c r="H17" s="17" t="n">
        <x:f>G17*F17</x:f>
        <x:v>26599.05</x:v>
      </x:c>
      <x:c r="I17" s="22" t="str">
        <x:f>HYPERLINK("https://etp-aktiv.ru/catalog/materialy/stroitelnye-materialy/2000572456-V119/","Открыть позицию")</x:f>
        <x:v>Открыть позицию</x:v>
      </x:c>
    </x:row>
    <x:row r="18" ht="28" customHeight="1">
      <x:c r="A18" s="16" t="str">
        <x:v>Красноярская ТЭЦ-1</x:v>
      </x:c>
      <x:c r="B18" s="16" t="str">
        <x:v>2000551465-V119</x:v>
      </x:c>
      <x:c r="C18" s="16" t="str">
        <x:v>ВИНТ САМОНАРЕЗАЮЩИЙ ШСММ 4,2*16</x:v>
      </x:c>
      <x:c r="D18" s="16" t="str">
        <x:v>Проч строит матер-ы</x:v>
      </x:c>
      <x:c r="E18" s="16" t="str">
        <x:v>ШТ</x:v>
      </x:c>
      <x:c r="F18" s="21" t="n">
        <x:v>700</x:v>
      </x:c>
      <x:c r="G18" s="17" t="n">
        <x:v>1.4029999999999998</x:v>
      </x:c>
      <x:c r="H18" s="17" t="n">
        <x:f>G18*F18</x:f>
        <x:v>982.0999999999999</x:v>
      </x:c>
      <x:c r="I18" s="22" t="str">
        <x:f>HYPERLINK("https://etp-aktiv.ru/catalog/materialy/stroitelnye-materialy/2000551465-V119/","Открыть позицию")</x:f>
        <x:v>Открыть позицию</x:v>
      </x:c>
    </x:row>
    <x:row r="19" ht="28" customHeight="1">
      <x:c r="A19" s="16" t="str">
        <x:v>Красноярская ТЭЦ-1</x:v>
      </x:c>
      <x:c r="B19" s="16" t="str">
        <x:v>2000501454-V119</x:v>
      </x:c>
      <x:c r="C19" s="16" t="str">
        <x:v>ВОРОНКА ВЫПУСКНАЯ ПРЕСТИЖ RAL8017 125*90</x:v>
      </x:c>
      <x:c r="D19" s="16" t="str">
        <x:v>Проч строит матер-ы</x:v>
      </x:c>
      <x:c r="E19" s="16" t="str">
        <x:v>ШТ</x:v>
      </x:c>
      <x:c r="F19" s="21" t="n">
        <x:v>1</x:v>
      </x:c>
      <x:c r="G19" s="17" t="n">
        <x:v>207.79039999999998</x:v>
      </x:c>
      <x:c r="H19" s="17" t="n">
        <x:f>G19*F19</x:f>
        <x:v>207.79039999999998</x:v>
      </x:c>
      <x:c r="I19" s="22" t="str">
        <x:f>HYPERLINK("https://etp-aktiv.ru/catalog/materialy/stroitelnye-materialy/2000501454-V119/","Открыть позицию")</x:f>
        <x:v>Открыть позицию</x:v>
      </x:c>
    </x:row>
    <x:row r="20" ht="28" customHeight="1">
      <x:c r="A20" s="16" t="str">
        <x:v>Красноярская ТЭЦ-1</x:v>
      </x:c>
      <x:c r="B20" s="16" t="str">
        <x:v>2000218303-V119</x:v>
      </x:c>
      <x:c r="C20" s="16" t="str">
        <x:v>ВОРОНКА КРОВЕЛЬ TERMOCLIP 110*450 217569</x:v>
      </x:c>
      <x:c r="D20" s="16" t="str">
        <x:v>Проч строит матер-ы</x:v>
      </x:c>
      <x:c r="E20" s="16" t="str">
        <x:v>ШТ</x:v>
      </x:c>
      <x:c r="F20" s="21" t="n">
        <x:v>4</x:v>
      </x:c>
      <x:c r="G20" s="17" t="n">
        <x:v>361.98619999999994</x:v>
      </x:c>
      <x:c r="H20" s="17" t="n">
        <x:f>G20*F20</x:f>
        <x:v>1447.9447999999998</x:v>
      </x:c>
      <x:c r="I20" s="22" t="str">
        <x:f>HYPERLINK("https://etp-aktiv.ru/catalog/materialy/stroitelnye-materialy/2000218303-V119/","Открыть позицию")</x:f>
        <x:v>Открыть позицию</x:v>
      </x:c>
    </x:row>
    <x:row r="21" ht="28" customHeight="1">
      <x:c r="A21" s="16" t="str">
        <x:v>Красноярская ТЭЦ-1</x:v>
      </x:c>
      <x:c r="B21" s="16" t="str">
        <x:v>2000465237-V119</x:v>
      </x:c>
      <x:c r="C21" s="16" t="str">
        <x:v>ДЕРЖАТЕЛЬ ЖЕЛОБА ПРЕСТИЖ RAL8017 125*320</x:v>
      </x:c>
      <x:c r="D21" s="16" t="str">
        <x:v>Проч строит матер-ы</x:v>
      </x:c>
      <x:c r="E21" s="16" t="str">
        <x:v>ШТ</x:v>
      </x:c>
      <x:c r="F21" s="21" t="n">
        <x:v>37</x:v>
      </x:c>
      <x:c r="G21" s="17" t="n">
        <x:v>94.5012</x:v>
      </x:c>
      <x:c r="H21" s="17" t="n">
        <x:f>G21*F21</x:f>
        <x:v>3496.5443999999998</x:v>
      </x:c>
      <x:c r="I21" s="22" t="str">
        <x:f>HYPERLINK("https://etp-aktiv.ru/catalog/materialy/stroitelnye-materialy/2000465237-V119/","Открыть позицию")</x:f>
        <x:v>Открыть позицию</x:v>
      </x:c>
    </x:row>
    <x:row r="22" ht="28" customHeight="1">
      <x:c r="A22" s="16" t="str">
        <x:v>Красноярская ТЭЦ-1</x:v>
      </x:c>
      <x:c r="B22" s="16" t="str">
        <x:v>2000551414-V119</x:v>
      </x:c>
      <x:c r="C22" s="16" t="str">
        <x:v>ДЮБЕЛЬ-ГВОЗДЬ SM-L 8*60</x:v>
      </x:c>
      <x:c r="D22" s="16" t="str">
        <x:v>Проч строит матер-ы</x:v>
      </x:c>
      <x:c r="E22" s="16" t="str">
        <x:v>ШТ</x:v>
      </x:c>
      <x:c r="F22" s="21" t="n">
        <x:v>1271</x:v>
      </x:c>
      <x:c r="G22" s="17" t="n">
        <x:v>2.1106</x:v>
      </x:c>
      <x:c r="H22" s="17" t="n">
        <x:f>G22*F22</x:f>
        <x:v>2682.5726</x:v>
      </x:c>
      <x:c r="I22" s="22" t="str">
        <x:f>HYPERLINK("https://etp-aktiv.ru/catalog/materialy/stroitelnye-materialy/2000551414-V119/","Открыть позицию")</x:f>
        <x:v>Открыть позицию</x:v>
      </x:c>
    </x:row>
    <x:row r="23" ht="28" customHeight="1">
      <x:c r="A23" s="16" t="str">
        <x:v>Красноярская ТЭЦ-1</x:v>
      </x:c>
      <x:c r="B23" s="16" t="str">
        <x:v>2000801978-V119</x:v>
      </x:c>
      <x:c r="C23" s="16" t="str">
        <x:v>ДЮБЕЛЬ-ГВОЗДЬ SORMAT 9640075661 6*60</x:v>
      </x:c>
      <x:c r="D23" s="16" t="str">
        <x:v>Проч строит матер-ы</x:v>
      </x:c>
      <x:c r="E23" s="16" t="str">
        <x:v>ШТ</x:v>
      </x:c>
      <x:c r="F23" s="21" t="n">
        <x:v>150</x:v>
      </x:c>
      <x:c r="G23" s="17" t="n">
        <x:v>7.0272</x:v>
      </x:c>
      <x:c r="H23" s="17" t="n">
        <x:f>G23*F23</x:f>
        <x:v>1054.08</x:v>
      </x:c>
      <x:c r="I23" s="22" t="str">
        <x:f>HYPERLINK("https://etp-aktiv.ru/catalog/materialy/stroitelnye-materialy/2000801978-V119/","Открыть позицию")</x:f>
        <x:v>Открыть позицию</x:v>
      </x:c>
    </x:row>
    <x:row r="24" ht="28" customHeight="1">
      <x:c r="A24" s="16" t="str">
        <x:v>Красноярская ТЭЦ-1</x:v>
      </x:c>
      <x:c r="B24" s="16" t="str">
        <x:v>2000501452-V119</x:v>
      </x:c>
      <x:c r="C24" s="16" t="str">
        <x:v>ЖЕЛОБ ВОДОСТ ПРЕСТИЖ RAL8017 125*3000</x:v>
      </x:c>
      <x:c r="D24" s="16" t="str">
        <x:v>Проч строит матер-ы</x:v>
      </x:c>
      <x:c r="E24" s="16" t="str">
        <x:v>ШТ</x:v>
      </x:c>
      <x:c r="F24" s="21" t="n">
        <x:v>6</x:v>
      </x:c>
      <x:c r="G24" s="17" t="n">
        <x:v>464.0392</x:v>
      </x:c>
      <x:c r="H24" s="17" t="n">
        <x:f>G24*F24</x:f>
        <x:v>2784.2352</x:v>
      </x:c>
      <x:c r="I24" s="22" t="str">
        <x:f>HYPERLINK("https://etp-aktiv.ru/catalog/materialy/stroitelnye-materialy/2000501452-V119/","Открыть позицию")</x:f>
        <x:v>Открыть позицию</x:v>
      </x:c>
    </x:row>
    <x:row r="25" ht="28" customHeight="1">
      <x:c r="A25" s="16" t="str">
        <x:v>Красноярская ТЭЦ-1</x:v>
      </x:c>
      <x:c r="B25" s="16" t="str">
        <x:v>2000501453-V119</x:v>
      </x:c>
      <x:c r="C25" s="16" t="str">
        <x:v>ЗАГЛУШКА ЖЕЛОБА ПРЕСТИЖ RAL8017 125ММ</x:v>
      </x:c>
      <x:c r="D25" s="16" t="str">
        <x:v>Проч строит матер-ы</x:v>
      </x:c>
      <x:c r="E25" s="16" t="str">
        <x:v>ШТ</x:v>
      </x:c>
      <x:c r="F25" s="21" t="n">
        <x:v>2</x:v>
      </x:c>
      <x:c r="G25" s="17" t="n">
        <x:v>98.0026</x:v>
      </x:c>
      <x:c r="H25" s="17" t="n">
        <x:f>G25*F25</x:f>
        <x:v>196.0052</x:v>
      </x:c>
      <x:c r="I25" s="22" t="str">
        <x:f>HYPERLINK("https://etp-aktiv.ru/catalog/materialy/stroitelnye-materialy/2000501453-V119/","Открыть позицию")</x:f>
        <x:v>Открыть позицию</x:v>
      </x:c>
    </x:row>
    <x:row r="26" ht="28" customHeight="1">
      <x:c r="A26" s="16" t="str">
        <x:v>Красноярская ТЭЦ-1</x:v>
      </x:c>
      <x:c r="B26" s="16" t="str">
        <x:v>2000233929-V119</x:v>
      </x:c>
      <x:c r="C26" s="16" t="str">
        <x:v>КЕРАМОГРАНИТ ТЕХНОГРЕС 300*300*8ММ СЕРЫЙ</x:v>
      </x:c>
      <x:c r="D26" s="16" t="str">
        <x:v>Проч строит матер-ы</x:v>
      </x:c>
      <x:c r="E26" s="16" t="str">
        <x:v>ШТ</x:v>
      </x:c>
      <x:c r="F26" s="21" t="n">
        <x:v>60</x:v>
      </x:c>
      <x:c r="G26" s="17" t="n">
        <x:v>28.535800000000002</x:v>
      </x:c>
      <x:c r="H26" s="17" t="n">
        <x:f>G26*F26</x:f>
        <x:v>1712.1480000000001</x:v>
      </x:c>
      <x:c r="I26" s="22" t="str">
        <x:f>HYPERLINK("https://etp-aktiv.ru/catalog/materialy/stroitelnye-materialy/2000233929-V119/","Открыть позицию")</x:f>
        <x:v>Открыть позицию</x:v>
      </x:c>
    </x:row>
    <x:row r="27" ht="28" customHeight="1">
      <x:c r="A27" s="16" t="str">
        <x:v>Красноярская ТЭЦ-1</x:v>
      </x:c>
      <x:c r="B27" s="16" t="str">
        <x:v>2000584503-V119</x:v>
      </x:c>
      <x:c r="C27" s="16" t="str">
        <x:v>КИРПИЧ ФАСОННЫЙ ША 356-1М-315 ГОСТ390</x:v>
      </x:c>
      <x:c r="D27" s="16" t="str">
        <x:v>Огнеупорные мат-лы</x:v>
      </x:c>
      <x:c r="E27" s="16" t="str">
        <x:v>Т</x:v>
      </x:c>
      <x:c r="F27" s="26" t="n">
        <x:v>2.04</x:v>
      </x:c>
      <x:c r="G27" s="17" t="n">
        <x:v>12339.7998</x:v>
      </x:c>
      <x:c r="H27" s="17" t="n">
        <x:f>G27*F27</x:f>
        <x:v>25173.191592000003</x:v>
      </x:c>
      <x:c r="I27" s="22" t="str">
        <x:f>HYPERLINK("https://etp-aktiv.ru/catalog/materialy/ogneupornye-materialy/2000584503-V119/","Открыть позицию")</x:f>
        <x:v>Открыть позицию</x:v>
      </x:c>
    </x:row>
    <x:row r="28" ht="28" customHeight="1">
      <x:c r="A28" s="16" t="str">
        <x:v>Красноярская ТЭЦ-1</x:v>
      </x:c>
      <x:c r="B28" s="16" t="str">
        <x:v>2000577638-V119</x:v>
      </x:c>
      <x:c r="C28" s="16" t="str">
        <x:v>КИРПИЧ ФАСОННЫЙ ШБ442-2 ГОСТ390-83</x:v>
      </x:c>
      <x:c r="D28" s="16" t="str">
        <x:v>Огнеупорные мат-лы</x:v>
      </x:c>
      <x:c r="E28" s="16" t="str">
        <x:v>Т</x:v>
      </x:c>
      <x:c r="F28" s="26" t="n">
        <x:v>7.11</x:v>
      </x:c>
      <x:c r="G28" s="17" t="n">
        <x:v>37695.7918</x:v>
      </x:c>
      <x:c r="H28" s="17" t="n">
        <x:f>G28*F28</x:f>
        <x:v>268017.079698</x:v>
      </x:c>
      <x:c r="I28" s="22" t="str">
        <x:f>HYPERLINK("https://etp-aktiv.ru/catalog/materialy/ogneupornye-materialy/2000577638-V119/","Открыть позицию")</x:f>
        <x:v>Открыть позицию</x:v>
      </x:c>
    </x:row>
    <x:row r="29" ht="28" customHeight="1">
      <x:c r="A29" s="16" t="str">
        <x:v>Красноярская ТЭЦ-1</x:v>
      </x:c>
      <x:c r="B29" s="16" t="str">
        <x:v>2000481627-V119</x:v>
      </x:c>
      <x:c r="C29" s="16" t="str">
        <x:v>КОЛЕНО СЛИВНОЕ ПРЕСТИЖ RAL8017 D100 60°</x:v>
      </x:c>
      <x:c r="D29" s="16" t="str">
        <x:v>Проч строит матер-ы</x:v>
      </x:c>
      <x:c r="E29" s="16" t="str">
        <x:v>ШТ</x:v>
      </x:c>
      <x:c r="F29" s="21" t="n">
        <x:v>1</x:v>
      </x:c>
      <x:c r="G29" s="17" t="n">
        <x:v>258.99379999999996</x:v>
      </x:c>
      <x:c r="H29" s="17" t="n">
        <x:f>G29*F29</x:f>
        <x:v>258.99379999999996</x:v>
      </x:c>
      <x:c r="I29" s="22" t="str">
        <x:f>HYPERLINK("https://etp-aktiv.ru/catalog/materialy/stroitelnye-materialy/2000481627-V119/","Открыть позицию")</x:f>
        <x:v>Открыть позицию</x:v>
      </x:c>
    </x:row>
    <x:row r="30" ht="28" customHeight="1">
      <x:c r="A30" s="16" t="str">
        <x:v>Красноярская ТЭЦ-1</x:v>
      </x:c>
      <x:c r="B30" s="16" t="str">
        <x:v>2000464606-V119</x:v>
      </x:c>
      <x:c r="C30" s="16" t="str">
        <x:v>ЛЕНТА TYVEK DOUBLE-SIDES БЕСЦВ 0,05*25М</x:v>
      </x:c>
      <x:c r="D30" s="16" t="str">
        <x:v>Проч строит матер-ы</x:v>
      </x:c>
      <x:c r="E30" s="16" t="str">
        <x:v>ШТ</x:v>
      </x:c>
      <x:c r="F30" s="21" t="n">
        <x:v>45</x:v>
      </x:c>
      <x:c r="G30" s="17" t="n">
        <x:v>664.9731999999999</x:v>
      </x:c>
      <x:c r="H30" s="17" t="n">
        <x:f>G30*F30</x:f>
        <x:v>29923.793999999994</x:v>
      </x:c>
      <x:c r="I30" s="22" t="str">
        <x:f>HYPERLINK("https://etp-aktiv.ru/catalog/materialy/stroitelnye-materialy/2000464606-V119/","Открыть позицию")</x:f>
        <x:v>Открыть позицию</x:v>
      </x:c>
    </x:row>
    <x:row r="31" ht="28" customHeight="1">
      <x:c r="A31" s="16" t="str">
        <x:v>Красноярская ТЭЦ-1</x:v>
      </x:c>
      <x:c r="B31" s="16" t="str">
        <x:v>2000139501-V119</x:v>
      </x:c>
      <x:c r="C31" s="16" t="str">
        <x:v>МАСТИКА НЕФТЕБИТУМНАЯ МБ-70</x:v>
      </x:c>
      <x:c r="D31" s="16" t="str">
        <x:v>Проч строит матер-ы</x:v>
      </x:c>
      <x:c r="E31" s="16" t="str">
        <x:v>КГ</x:v>
      </x:c>
      <x:c r="F31" s="21" t="n">
        <x:v>510</x:v>
      </x:c>
      <x:c r="G31" s="17" t="n">
        <x:v>52.5088</x:v>
      </x:c>
      <x:c r="H31" s="17" t="n">
        <x:f>G31*F31</x:f>
        <x:v>26779.488</x:v>
      </x:c>
      <x:c r="I31" s="22" t="str">
        <x:f>HYPERLINK("https://etp-aktiv.ru/catalog/materialy/stroitelnye-materialy/2000139501-V119/","Открыть позицию")</x:f>
        <x:v>Открыть позицию</x:v>
      </x:c>
    </x:row>
    <x:row r="32" ht="28" customHeight="1">
      <x:c r="A32" s="16" t="str">
        <x:v>Красноярская ТЭЦ-1</x:v>
      </x:c>
      <x:c r="B32" s="16" t="str">
        <x:v>2000921790-V119</x:v>
      </x:c>
      <x:c r="C32" s="16" t="str">
        <x:v>МАТЕРИАЛ ГИДР ТЕХНОЭЛАСТМОСТ Б ЭМП 8*1М</x:v>
      </x:c>
      <x:c r="D32" s="16" t="str">
        <x:v>Проч строит матер-ы</x:v>
      </x:c>
      <x:c r="E32" s="16" t="str">
        <x:v>ШТ</x:v>
      </x:c>
      <x:c r="F32" s="21" t="n">
        <x:v>173</x:v>
      </x:c>
      <x:c r="G32" s="17" t="n">
        <x:v>2764.8982</x:v>
      </x:c>
      <x:c r="H32" s="17" t="n">
        <x:f>G32*F32</x:f>
        <x:v>478327.3886</x:v>
      </x:c>
      <x:c r="I32" s="22" t="str">
        <x:f>HYPERLINK("https://etp-aktiv.ru/catalog/materialy/stroitelnye-materialy/2000921790-V119/","Открыть позицию")</x:f>
        <x:v>Открыть позицию</x:v>
      </x:c>
    </x:row>
    <x:row r="33" ht="28" customHeight="1">
      <x:c r="A33" s="16" t="str">
        <x:v>Красноярская ТЭЦ-1</x:v>
      </x:c>
      <x:c r="B33" s="16" t="str">
        <x:v>2000557050-V119</x:v>
      </x:c>
      <x:c r="C33" s="16" t="str">
        <x:v>ПЕРЕМЫЧКА 1ПБ 13-1 С.1.038.1-1</x:v>
      </x:c>
      <x:c r="D33" s="16" t="str">
        <x:v>Железобетонные издел</x:v>
      </x:c>
      <x:c r="E33" s="16" t="str">
        <x:v>ШТ</x:v>
      </x:c>
      <x:c r="F33" s="21" t="n">
        <x:v>4</x:v>
      </x:c>
      <x:c r="G33" s="17" t="n">
        <x:v>184.19559999999998</x:v>
      </x:c>
      <x:c r="H33" s="17" t="n">
        <x:f>G33*F33</x:f>
        <x:v>736.7823999999999</x:v>
      </x:c>
      <x:c r="I33" s="22" t="str">
        <x:f>HYPERLINK("https://etp-aktiv.ru/catalog/materialy/stroitelnye-materialy/2000557050-V119/","Открыть позицию")</x:f>
        <x:v>Открыть позицию</x:v>
      </x:c>
    </x:row>
    <x:row r="34" ht="28" customHeight="1">
      <x:c r="A34" s="16" t="str">
        <x:v>Красноярская ТЭЦ-1</x:v>
      </x:c>
      <x:c r="B34" s="16" t="str">
        <x:v>2000557053-V119</x:v>
      </x:c>
      <x:c r="C34" s="16" t="str">
        <x:v>ПЕРЕМЫЧКА 2ПБ 10-1 С.1.038.1-1 В.1</x:v>
      </x:c>
      <x:c r="D34" s="16" t="str">
        <x:v>Железобетонные издел</x:v>
      </x:c>
      <x:c r="E34" s="16" t="str">
        <x:v>ШТ</x:v>
      </x:c>
      <x:c r="F34" s="21" t="n">
        <x:v>2</x:v>
      </x:c>
      <x:c r="G34" s="17" t="n">
        <x:v>524.9782</x:v>
      </x:c>
      <x:c r="H34" s="17" t="n">
        <x:f>G34*F34</x:f>
        <x:v>1049.9564</x:v>
      </x:c>
      <x:c r="I34" s="22" t="str">
        <x:f>HYPERLINK("https://etp-aktiv.ru/catalog/materialy/stroitelnye-materialy/2000557053-V119/","Открыть позицию")</x:f>
        <x:v>Открыть позицию</x:v>
      </x:c>
    </x:row>
    <x:row r="35" ht="28" customHeight="1">
      <x:c r="A35" s="16" t="str">
        <x:v>Красноярская ТЭЦ-1</x:v>
      </x:c>
      <x:c r="B35" s="16" t="str">
        <x:v>2000250736-V119</x:v>
      </x:c>
      <x:c r="C35" s="16" t="str">
        <x:v>ПЛИТА THERMIT XPS 35 50*600*1200L</x:v>
      </x:c>
      <x:c r="D35" s="16" t="str">
        <x:v>Проч строит матер-ы</x:v>
      </x:c>
      <x:c r="E35" s="16" t="str">
        <x:v>М3</x:v>
      </x:c>
      <x:c r="F35" s="26" t="n">
        <x:v>24.728</x:v>
      </x:c>
      <x:c r="G35" s="17" t="n">
        <x:v>3931.6452</x:v>
      </x:c>
      <x:c r="H35" s="17" t="n">
        <x:f>G35*F35</x:f>
        <x:v>97221.7225056</x:v>
      </x:c>
      <x:c r="I35" s="22" t="str">
        <x:f>HYPERLINK("https://etp-aktiv.ru/catalog/materialy/stroitelnye-materialy/2000250736-V119/","Открыть позицию")</x:f>
        <x:v>Открыть позицию</x:v>
      </x:c>
    </x:row>
    <x:row r="36" ht="28" customHeight="1">
      <x:c r="A36" s="16" t="str">
        <x:v>Красноярская ТЭЦ-1</x:v>
      </x:c>
      <x:c r="B36" s="16" t="str">
        <x:v>2000500100-V119</x:v>
      </x:c>
      <x:c r="C36" s="16" t="str">
        <x:v>ПРАЙМЕР КТТРОН</x:v>
      </x:c>
      <x:c r="D36" s="16" t="str">
        <x:v>Проч строит матер-ы</x:v>
      </x:c>
      <x:c r="E36" s="16" t="str">
        <x:v>КГ</x:v>
      </x:c>
      <x:c r="F36" s="26" t="n">
        <x:v>10.961</x:v>
      </x:c>
      <x:c r="G36" s="17" t="n">
        <x:v>146.5464</x:v>
      </x:c>
      <x:c r="H36" s="17" t="n">
        <x:f>G36*F36</x:f>
        <x:v>1606.2950904000002</x:v>
      </x:c>
      <x:c r="I36" s="22" t="str">
        <x:f>HYPERLINK("https://etp-aktiv.ru/catalog/materialy/stroitelnye-materialy/2000500100-V119/","Открыть позицию")</x:f>
        <x:v>Открыть позицию</x:v>
      </x:c>
    </x:row>
    <x:row r="37" ht="28" customHeight="1">
      <x:c r="A37" s="16" t="str">
        <x:v>Красноярская ТЭЦ-1</x:v>
      </x:c>
      <x:c r="B37" s="16" t="str">
        <x:v>2000488768-V119</x:v>
      </x:c>
      <x:c r="C37" s="16" t="str">
        <x:v>ПРОФИЛЬ АЛБЕС Т-24 NORMA БЕЛЫЙ 3700ММ</x:v>
      </x:c>
      <x:c r="D37" s="16" t="str">
        <x:v>Проч строит матер-ы</x:v>
      </x:c>
      <x:c r="E37" s="16" t="str">
        <x:v>ШТ</x:v>
      </x:c>
      <x:c r="F37" s="21" t="n">
        <x:v>8</x:v>
      </x:c>
      <x:c r="G37" s="17" t="n">
        <x:v>87.4984</x:v>
      </x:c>
      <x:c r="H37" s="17" t="n">
        <x:f>G37*F37</x:f>
        <x:v>699.9872</x:v>
      </x:c>
      <x:c r="I37" s="22" t="str">
        <x:f>HYPERLINK("https://etp-aktiv.ru/catalog/materialy/stroitelnye-materialy/2000488768-V119/","Открыть позицию")</x:f>
        <x:v>Открыть позицию</x:v>
      </x:c>
    </x:row>
    <x:row r="38" ht="28" customHeight="1">
      <x:c r="A38" s="16" t="str">
        <x:v>Красноярская ТЭЦ-1</x:v>
      </x:c>
      <x:c r="B38" s="16" t="str">
        <x:v>2000695897-V119</x:v>
      </x:c>
      <x:c r="C38" s="16" t="str">
        <x:v>РЕЙКА ТЕХНОНИКОЛЬ 476654 3000*31*1,5</x:v>
      </x:c>
      <x:c r="D38" s="16" t="str">
        <x:v>Проч строит матер-ы</x:v>
      </x:c>
      <x:c r="E38" s="16" t="str">
        <x:v>М</x:v>
      </x:c>
      <x:c r="F38" s="21" t="n">
        <x:v>195</x:v>
      </x:c>
      <x:c r="G38" s="17" t="n">
        <x:v>86.54679999999999</x:v>
      </x:c>
      <x:c r="H38" s="17" t="n">
        <x:f>G38*F38</x:f>
        <x:v>16876.625999999997</x:v>
      </x:c>
      <x:c r="I38" s="22" t="str">
        <x:f>HYPERLINK("https://etp-aktiv.ru/catalog/materialy/stroitelnye-materialy/2000695897-V119/","Открыть позицию")</x:f>
        <x:v>Открыть позицию</x:v>
      </x:c>
    </x:row>
    <x:row r="39" ht="28" customHeight="1">
      <x:c r="A39" s="16" t="str">
        <x:v>Красноярская ТЭЦ-1</x:v>
      </x:c>
      <x:c r="B39" s="16" t="str">
        <x:v>2000500089-V119</x:v>
      </x:c>
      <x:c r="C39" s="16" t="str">
        <x:v>СМЕСЬ КТТРОН-3 Т500</x:v>
      </x:c>
      <x:c r="D39" s="16" t="str">
        <x:v>Проч строит матер-ы</x:v>
      </x:c>
      <x:c r="E39" s="16" t="str">
        <x:v>КГ</x:v>
      </x:c>
      <x:c r="F39" s="26" t="n">
        <x:v>1422.095</x:v>
      </x:c>
      <x:c r="G39" s="17" t="n">
        <x:v>31.756600000000002</x:v>
      </x:c>
      <x:c r="H39" s="17" t="n">
        <x:f>G39*F39</x:f>
        <x:v>45160.902077000006</x:v>
      </x:c>
      <x:c r="I39" s="22" t="str">
        <x:f>HYPERLINK("https://etp-aktiv.ru/catalog/materialy/stroitelnye-materialy/2000500089-V119/","Открыть позицию")</x:f>
        <x:v>Открыть позицию</x:v>
      </x:c>
    </x:row>
    <x:row r="40" ht="28" customHeight="1">
      <x:c r="A40" s="16" t="str">
        <x:v>Красноярская ТЭЦ-1</x:v>
      </x:c>
      <x:c r="B40" s="16" t="str">
        <x:v>2000302147-V119</x:v>
      </x:c>
      <x:c r="C40" s="16" t="str">
        <x:v>СОЕДИНИТЕЛЬ ПРОФИЛ С-000075285 60*60*27</x:v>
      </x:c>
      <x:c r="D40" s="16" t="str">
        <x:v>Проч строит матер-ы</x:v>
      </x:c>
      <x:c r="E40" s="16" t="str">
        <x:v>ШТ</x:v>
      </x:c>
      <x:c r="F40" s="21" t="n">
        <x:v>26</x:v>
      </x:c>
      <x:c r="G40" s="17" t="n">
        <x:v>14.701</x:v>
      </x:c>
      <x:c r="H40" s="17" t="n">
        <x:f>G40*F40</x:f>
        <x:v>382.226</x:v>
      </x:c>
      <x:c r="I40" s="22" t="str">
        <x:f>HYPERLINK("https://etp-aktiv.ru/catalog/materialy/stroitelnye-materialy/2000302147-V119/","Открыть позицию")</x:f>
        <x:v>Открыть позицию</x:v>
      </x:c>
    </x:row>
    <x:row r="41" ht="28" customHeight="1">
      <x:c r="A41" s="16" t="str">
        <x:v>Красноярская ТЭЦ-1</x:v>
      </x:c>
      <x:c r="B41" s="16" t="str">
        <x:v>2000695612-V119</x:v>
      </x:c>
      <x:c r="C41" s="16" t="str">
        <x:v>СОСТАВ КТТРОН МИКРОЛИТ</x:v>
      </x:c>
      <x:c r="D41" s="16" t="str">
        <x:v>Проч строит матер-ы</x:v>
      </x:c>
      <x:c r="E41" s="16" t="str">
        <x:v>КГ</x:v>
      </x:c>
      <x:c r="F41" s="21" t="n">
        <x:v>380</x:v>
      </x:c>
      <x:c r="G41" s="17" t="n">
        <x:v>43.980999999999995</x:v>
      </x:c>
      <x:c r="H41" s="17" t="n">
        <x:f>G41*F41</x:f>
        <x:v>16712.78</x:v>
      </x:c>
      <x:c r="I41" s="22" t="str">
        <x:f>HYPERLINK("https://etp-aktiv.ru/catalog/materialy/stroitelnye-materialy/2000695612-V119/","Открыть позицию")</x:f>
        <x:v>Открыть позицию</x:v>
      </x:c>
    </x:row>
    <x:row r="42" ht="28" customHeight="1">
      <x:c r="A42" s="16" t="str">
        <x:v>Красноярская ТЭЦ-1</x:v>
      </x:c>
      <x:c r="B42" s="16" t="str">
        <x:v>2000696440-V119</x:v>
      </x:c>
      <x:c r="C42" s="16" t="str">
        <x:v>СОСТАВ РЕМОНТ PLANITOP HDM MAXI 31,25КГ</x:v>
      </x:c>
      <x:c r="D42" s="16" t="str">
        <x:v>Проч строит матер-ы</x:v>
      </x:c>
      <x:c r="E42" s="16" t="str">
        <x:v>ШТ</x:v>
      </x:c>
      <x:c r="F42" s="21" t="n">
        <x:v>9</x:v>
      </x:c>
      <x:c r="G42" s="17" t="n">
        <x:v>8029.6251999999995</x:v>
      </x:c>
      <x:c r="H42" s="17" t="n">
        <x:f>G42*F42</x:f>
        <x:v>72266.6268</x:v>
      </x:c>
      <x:c r="I42" s="22" t="str">
        <x:f>HYPERLINK("https://etp-aktiv.ru/catalog/materialy/stroitelnye-materialy/2000696440-V119/","Открыть позицию")</x:f>
        <x:v>Открыть позицию</x:v>
      </x:c>
    </x:row>
    <x:row r="43" ht="28" customHeight="1">
      <x:c r="A43" s="16" t="str">
        <x:v>Красноярская ТЭЦ-1</x:v>
      </x:c>
      <x:c r="B43" s="16" t="str">
        <x:v>2000041435-V119</x:v>
      </x:c>
      <x:c r="C43" s="16" t="str">
        <x:v>СТЕКЛО ОКОННОЕ 4ММ</x:v>
      </x:c>
      <x:c r="D43" s="16" t="str">
        <x:v>Проч строит мат Спец</x:v>
      </x:c>
      <x:c r="E43" s="16" t="str">
        <x:v>М2</x:v>
      </x:c>
      <x:c r="F43" s="26" t="n">
        <x:v>92.24</x:v>
      </x:c>
      <x:c r="G43" s="17" t="n">
        <x:v>1135.21</x:v>
      </x:c>
      <x:c r="H43" s="17" t="n">
        <x:f>G43*F43</x:f>
        <x:v>104711.7704</x:v>
      </x:c>
      <x:c r="I43" s="22" t="str">
        <x:f>HYPERLINK("https://etp-aktiv.ru/catalog/materialy/stroitelnye-materialy/2000041435-V119/","Открыть позицию")</x:f>
        <x:v>Открыть позицию</x:v>
      </x:c>
    </x:row>
    <x:row r="44" ht="28" customHeight="1">
      <x:c r="A44" s="16" t="str">
        <x:v>Красноярская ТЭЦ-1</x:v>
      </x:c>
      <x:c r="B44" s="16" t="str">
        <x:v>2000875746-V119</x:v>
      </x:c>
      <x:c r="C44" s="16" t="str">
        <x:v>УГОЛ НАРУЖНЫЙ Ф-1 RAL9010 530*0,5</x:v>
      </x:c>
      <x:c r="D44" s="16" t="str">
        <x:v>Проч строит матер-ы</x:v>
      </x:c>
      <x:c r="E44" s="16" t="str">
        <x:v>ПМ</x:v>
      </x:c>
      <x:c r="F44" s="21" t="n">
        <x:v>34</x:v>
      </x:c>
      <x:c r="G44" s="17" t="n">
        <x:v>297.9728</x:v>
      </x:c>
      <x:c r="H44" s="17" t="n">
        <x:f>G44*F44</x:f>
        <x:v>10131.0752</x:v>
      </x:c>
      <x:c r="I44" s="22" t="str">
        <x:f>HYPERLINK("https://etp-aktiv.ru/catalog/materialy/stroitelnye-materialy/2000875746-V119/","Открыть позицию")</x:f>
        <x:v>Открыть позицию</x:v>
      </x:c>
    </x:row>
    <x:row r="45" ht="28" customHeight="1">
      <x:c r="A45" s="16" t="str">
        <x:v>Красноярская ТЭЦ-1</x:v>
      </x:c>
      <x:c r="B45" s="16" t="str">
        <x:v>2000296318-V119</x:v>
      </x:c>
      <x:c r="C45" s="16" t="str">
        <x:v>ФАНЕРА ЛИСТВЕННИЦА СОРТ2 16*1500*1500</x:v>
      </x:c>
      <x:c r="D45" s="16" t="str">
        <x:v>Проч строит матер-ы</x:v>
      </x:c>
      <x:c r="E45" s="16" t="str">
        <x:v>ШТ</x:v>
      </x:c>
      <x:c r="F45" s="21" t="n">
        <x:v>14</x:v>
      </x:c>
      <x:c r="G45" s="17" t="n">
        <x:v>1138.0282</x:v>
      </x:c>
      <x:c r="H45" s="17" t="n">
        <x:f>G45*F45</x:f>
        <x:v>15932.3948</x:v>
      </x:c>
      <x:c r="I45" s="22" t="str">
        <x:f>HYPERLINK("https://etp-aktiv.ru/catalog/materialy/stroitelnye-materialy/2000296318-V119/","Открыть позицию")</x:f>
        <x:v>Открыть позицию</x:v>
      </x:c>
    </x:row>
    <x:row r="46" ht="28" customHeight="1">
      <x:c r="A46" s="16" t="str">
        <x:v>Красноярская ТЭЦ-1</x:v>
      </x:c>
      <x:c r="B46" s="16" t="str">
        <x:v>2000635954-V119</x:v>
      </x:c>
      <x:c r="C46" s="16" t="str">
        <x:v>ШТУКАТУРКА КТТРОН-6</x:v>
      </x:c>
      <x:c r="D46" s="16" t="str">
        <x:v>Проч строит матер-ы</x:v>
      </x:c>
      <x:c r="E46" s="16" t="str">
        <x:v>КГ</x:v>
      </x:c>
      <x:c r="F46" s="26" t="n">
        <x:v>1058.18</x:v>
      </x:c>
      <x:c r="G46" s="17" t="n">
        <x:v>34.172200000000004</x:v>
      </x:c>
      <x:c r="H46" s="17" t="n">
        <x:f>G46*F46</x:f>
        <x:v>36160.33859600001</x:v>
      </x:c>
      <x:c r="I46" s="22" t="str">
        <x:f>HYPERLINK("https://etp-aktiv.ru/catalog/materialy/stroitelnye-materialy/2000635954-V119/","Открыть позицию")</x:f>
        <x:v>Открыть позицию</x:v>
      </x:c>
    </x:row>
    <x:row r="47" ht="28" customHeight="1">
      <x:c r="A47" s="16" t="str">
        <x:v>Красноярская ТЭЦ-2</x:v>
      </x:c>
      <x:c r="B47" s="16" t="str">
        <x:v>2000448232-V113</x:v>
      </x:c>
      <x:c r="C47" s="16" t="str">
        <x:v>АЭРАТОР ТЕХНОНИКОЛЬ ЧЕРНЫЙ 160*460ММ</x:v>
      </x:c>
      <x:c r="D47" s="16" t="str">
        <x:v>Проч строит мат Спец</x:v>
      </x:c>
      <x:c r="E47" s="16" t="str">
        <x:v>ШТ</x:v>
      </x:c>
      <x:c r="F47" s="21" t="n">
        <x:v>18</x:v>
      </x:c>
      <x:c r="G47" s="17" t="n">
        <x:v>391.11979999999994</x:v>
      </x:c>
      <x:c r="H47" s="17" t="n">
        <x:f>G47*F47</x:f>
        <x:v>7040.156399999999</x:v>
      </x:c>
      <x:c r="I47" s="22" t="str">
        <x:f>HYPERLINK("https://etp-aktiv.ru/catalog/materialy/stroitelnye-materialy/2000448232-V113/","Открыть позицию")</x:f>
        <x:v>Открыть позицию</x:v>
      </x:c>
    </x:row>
    <x:row r="48" ht="28" customHeight="1">
      <x:c r="A48" s="16" t="str">
        <x:v>Красноярская ТЭЦ-2</x:v>
      </x:c>
      <x:c r="B48" s="16" t="str">
        <x:v>2000550577-V113</x:v>
      </x:c>
      <x:c r="C48" s="16" t="str">
        <x:v>ЗАМОК ДВЕРНОЙ ОМЕГА ЗН-3</x:v>
      </x:c>
      <x:c r="D48" s="16" t="str">
        <x:v>Проч строит матер-ы</x:v>
      </x:c>
      <x:c r="E48" s="16" t="str">
        <x:v>ШТ</x:v>
      </x:c>
      <x:c r="F48" s="21" t="n">
        <x:v>5</x:v>
      </x:c>
      <x:c r="G48" s="17" t="n">
        <x:v>771.0034</x:v>
      </x:c>
      <x:c r="H48" s="17" t="n">
        <x:f>G48*F48</x:f>
        <x:v>3855.0170000000003</x:v>
      </x:c>
      <x:c r="I48" s="22" t="str">
        <x:f>HYPERLINK("https://etp-aktiv.ru/catalog/materialy/stroitelnye-materialy/2000550577-V113/","Открыть позицию")</x:f>
        <x:v>Открыть позицию</x:v>
      </x:c>
    </x:row>
    <x:row r="49" ht="28" customHeight="1">
      <x:c r="A49" s="16" t="str">
        <x:v>Красноярская ТЭЦ-2</x:v>
      </x:c>
      <x:c r="B49" s="16" t="str">
        <x:v>2000901634-V113</x:v>
      </x:c>
      <x:c r="C49" s="16" t="str">
        <x:v>ЛЕНТА ГЕРМЕТИЗИРУЮЩАЯ ГЕРЛЕН-Т 100*3ММ</x:v>
      </x:c>
      <x:c r="D49" s="16" t="str">
        <x:v>Проч строит матер-ы</x:v>
      </x:c>
      <x:c r="E49" s="16" t="str">
        <x:v>ПМ</x:v>
      </x:c>
      <x:c r="F49" s="21" t="n">
        <x:v>11</x:v>
      </x:c>
      <x:c r="G49" s="17" t="n">
        <x:v>226.46859999999998</x:v>
      </x:c>
      <x:c r="H49" s="17" t="n">
        <x:f>G49*F49</x:f>
        <x:v>2491.1546</x:v>
      </x:c>
      <x:c r="I49" s="22" t="str">
        <x:f>HYPERLINK("https://etp-aktiv.ru/catalog/materialy/stroitelnye-materialy/2000901634-V113/","Открыть позицию")</x:f>
        <x:v>Открыть позицию</x:v>
      </x:c>
    </x:row>
    <x:row r="50" ht="28" customHeight="1">
      <x:c r="A50" s="16" t="str">
        <x:v>Красноярская ТЭЦ-2</x:v>
      </x:c>
      <x:c r="B50" s="16" t="str">
        <x:v>2000561922-V113</x:v>
      </x:c>
      <x:c r="C50" s="16" t="str">
        <x:v>ПЛАНКА RAL 1014 СЛОН КОСТЬ 75*75*3000</x:v>
      </x:c>
      <x:c r="D50" s="16" t="str">
        <x:v>Проч строит матер-ы</x:v>
      </x:c>
      <x:c r="E50" s="16" t="str">
        <x:v>ШТ</x:v>
      </x:c>
      <x:c r="F50" s="21" t="n">
        <x:v>4</x:v>
      </x:c>
      <x:c r="G50" s="17" t="n">
        <x:v>324.2638</x:v>
      </x:c>
      <x:c r="H50" s="17" t="n">
        <x:f>G50*F50</x:f>
        <x:v>1297.0552</x:v>
      </x:c>
      <x:c r="I50" s="22" t="str">
        <x:f>HYPERLINK("https://etp-aktiv.ru/catalog/materialy/stroitelnye-materialy/2000561922-V113/","Открыть позицию")</x:f>
        <x:v>Открыть позицию</x:v>
      </x:c>
    </x:row>
    <x:row r="51" ht="28" customHeight="1">
      <x:c r="A51" s="16" t="str">
        <x:v>Красноярская ТЭЦ-2</x:v>
      </x:c>
      <x:c r="B51" s="16" t="str">
        <x:v>2000284132-V113</x:v>
      </x:c>
      <x:c r="C51" s="16" t="str">
        <x:v>ПЛАНКА УГЛА НАР ОЦ ПУН БЕЛЫЙ 50*50*3000</x:v>
      </x:c>
      <x:c r="D51" s="16" t="str">
        <x:v>Проч строит матер-ы</x:v>
      </x:c>
      <x:c r="E51" s="16" t="str">
        <x:v>ШТ</x:v>
      </x:c>
      <x:c r="F51" s="21" t="n">
        <x:v>9</x:v>
      </x:c>
      <x:c r="G51" s="17" t="n">
        <x:v>324.2638</x:v>
      </x:c>
      <x:c r="H51" s="17" t="n">
        <x:f>G51*F51</x:f>
        <x:v>2918.3742</x:v>
      </x:c>
      <x:c r="I51" s="22" t="str">
        <x:f>HYPERLINK("https://etp-aktiv.ru/catalog/materialy/stroitelnye-materialy/2000284132-V113/","Открыть позицию")</x:f>
        <x:v>Открыть позицию</x:v>
      </x:c>
    </x:row>
    <x:row r="52" ht="28" customHeight="1">
      <x:c r="A52" s="16" t="str">
        <x:v>Красноярская ТЭЦ-3</x:v>
      </x:c>
      <x:c r="B52" s="16" t="str">
        <x:v>2000551533-V114</x:v>
      </x:c>
      <x:c r="C52" s="16" t="str">
        <x:v>ЛЕНТА ФУМ-3 10ММ*10М</x:v>
      </x:c>
      <x:c r="D52" s="16" t="str">
        <x:v>Проч строит матер-ы</x:v>
      </x:c>
      <x:c r="E52" s="16" t="str">
        <x:v>КГ</x:v>
      </x:c>
      <x:c r="F52" s="26" t="n">
        <x:v>1.25</x:v>
      </x:c>
      <x:c r="G52" s="17" t="n">
        <x:v>1047.1626</x:v>
      </x:c>
      <x:c r="H52" s="17" t="n">
        <x:f>G52*F52</x:f>
        <x:v>1308.95325</x:v>
      </x:c>
      <x:c r="I52" s="22" t="str">
        <x:f>HYPERLINK("https://etp-aktiv.ru/catalog/materialy/stroitelnye-materialy/2000551533-V114/","Открыть позицию")</x:f>
        <x:v>Открыть позицию</x:v>
      </x:c>
    </x:row>
    <x:row r="53" ht="28" customHeight="1">
      <x:c r="A53" s="16" t="str">
        <x:v>Красноярская ТЭЦ-3</x:v>
      </x:c>
      <x:c r="B53" s="16" t="str">
        <x:v>2000583992-V114</x:v>
      </x:c>
      <x:c r="C53" s="16" t="str">
        <x:v>МЕМБРАНА ПВХ LOGICROOF V-SR 1,5ММ СЕРЫЙ</x:v>
      </x:c>
      <x:c r="D53" s="16" t="str">
        <x:v>Проч строит матер-ы</x:v>
      </x:c>
      <x:c r="E53" s="16" t="str">
        <x:v>М2</x:v>
      </x:c>
      <x:c r="F53" s="21" t="n">
        <x:v>1531</x:v>
      </x:c>
      <x:c r="G53" s="17" t="n">
        <x:v>931.47</x:v>
      </x:c>
      <x:c r="H53" s="17" t="n">
        <x:f>G53*F53</x:f>
        <x:v>1426080.57</x:v>
      </x:c>
      <x:c r="I53" s="22" t="str">
        <x:f>HYPERLINK("https://etp-aktiv.ru/catalog/materialy/stroitelnye-materialy/2000583992-V114/","Открыть позицию")</x:f>
        <x:v>Открыть позицию</x:v>
      </x:c>
    </x:row>
    <x:row r="54" ht="28" customHeight="1">
      <x:c r="A54" s="16" t="str">
        <x:v>Минусинская ТЭЦ</x:v>
      </x:c>
      <x:c r="B54" s="16" t="str">
        <x:v>2000551375-V112</x:v>
      </x:c>
      <x:c r="C54" s="16" t="str">
        <x:v>АНКЕР-ШПИЛЬКА HST 371598 20/М20*170/30</x:v>
      </x:c>
      <x:c r="D54" s="16" t="str">
        <x:v>Проч строит матер-ы</x:v>
      </x:c>
      <x:c r="E54" s="16" t="str">
        <x:v>ШТ</x:v>
      </x:c>
      <x:c r="F54" s="21" t="n">
        <x:v>2</x:v>
      </x:c>
      <x:c r="G54" s="17" t="n">
        <x:v>708.21</x:v>
      </x:c>
      <x:c r="H54" s="17" t="n">
        <x:f>G54*F54</x:f>
        <x:v>1416.42</x:v>
      </x:c>
      <x:c r="I54" s="22" t="str">
        <x:f>HYPERLINK("https://etp-aktiv.ru/catalog/materialy/stroitelnye-materialy/2000551375-V112/","Открыть позицию")</x:f>
        <x:v>Открыть позицию</x:v>
      </x:c>
    </x:row>
    <x:row r="55" ht="28" customHeight="1">
      <x:c r="A55" s="16" t="str">
        <x:v>Минусинская ТЭЦ</x:v>
      </x:c>
      <x:c r="B55" s="16" t="str">
        <x:v>2000551455-V112</x:v>
      </x:c>
      <x:c r="C55" s="16" t="str">
        <x:v>ВИНТ САМОНАРЕЗАЮЩИЙ ШСГД 3,5*41</x:v>
      </x:c>
      <x:c r="D55" s="16" t="str">
        <x:v>Проч строит матер-ы</x:v>
      </x:c>
      <x:c r="E55" s="16" t="str">
        <x:v>ШТ</x:v>
      </x:c>
      <x:c r="F55" s="21" t="n">
        <x:v>300</x:v>
      </x:c>
      <x:c r="G55" s="17" t="n">
        <x:v>0.2928</x:v>
      </x:c>
      <x:c r="H55" s="17" t="n">
        <x:f>G55*F55</x:f>
        <x:v>87.84</x:v>
      </x:c>
      <x:c r="I55" s="22" t="str">
        <x:f>HYPERLINK("https://etp-aktiv.ru/catalog/materialy/stroitelnye-materialy/2000551455-V112/","Открыть позицию")</x:f>
        <x:v>Открыть позицию</x:v>
      </x:c>
    </x:row>
    <x:row r="56" ht="28" customHeight="1">
      <x:c r="A56" s="16" t="str">
        <x:v>Минусинская ТЭЦ</x:v>
      </x:c>
      <x:c r="B56" s="16" t="str">
        <x:v>2000581172-V112</x:v>
      </x:c>
      <x:c r="C56" s="16" t="str">
        <x:v>ВИНТ САМОНАРЕЗАЮЩИЙ ШСГМ 3,8*64</x:v>
      </x:c>
      <x:c r="D56" s="16" t="str">
        <x:v>Проч строит матер-ы</x:v>
      </x:c>
      <x:c r="E56" s="16" t="str">
        <x:v>ШТ</x:v>
      </x:c>
      <x:c r="F56" s="21" t="n">
        <x:v>250</x:v>
      </x:c>
      <x:c r="G56" s="17" t="n">
        <x:v>0.5612</x:v>
      </x:c>
      <x:c r="H56" s="17" t="n">
        <x:f>G56*F56</x:f>
        <x:v>140.3</x:v>
      </x:c>
      <x:c r="I56" s="22" t="str">
        <x:f>HYPERLINK("https://etp-aktiv.ru/catalog/materialy/stroitelnye-materialy/2000581172-V112/","Открыть позицию")</x:f>
        <x:v>Открыть позицию</x:v>
      </x:c>
    </x:row>
    <x:row r="57" ht="28" customHeight="1">
      <x:c r="A57" s="16" t="str">
        <x:v>Минусинская ТЭЦ</x:v>
      </x:c>
      <x:c r="B57" s="16" t="str">
        <x:v>2000500100-V112</x:v>
      </x:c>
      <x:c r="C57" s="16" t="str">
        <x:v>ПРАЙМЕР КТТРОН</x:v>
      </x:c>
      <x:c r="D57" s="16" t="str">
        <x:v>Проч строит матер-ы</x:v>
      </x:c>
      <x:c r="E57" s="16" t="str">
        <x:v>КГ</x:v>
      </x:c>
      <x:c r="F57" s="21" t="n">
        <x:v>2</x:v>
      </x:c>
      <x:c r="G57" s="17" t="n">
        <x:v>199.5798</x:v>
      </x:c>
      <x:c r="H57" s="17" t="n">
        <x:f>G57*F57</x:f>
        <x:v>399.1596</x:v>
      </x:c>
      <x:c r="I57" s="22" t="str">
        <x:f>HYPERLINK("https://etp-aktiv.ru/catalog/materialy/stroitelnye-materialy/2000500100-V112/","Открыть позицию")</x:f>
        <x:v>Открыть позицию</x:v>
      </x:c>
    </x:row>
    <x:row r="58" ht="28" customHeight="1">
      <x:c r="A58" s="16" t="str">
        <x:v>Минусинская ТЭЦ</x:v>
      </x:c>
      <x:c r="B58" s="16" t="str">
        <x:v>2000814336-V112</x:v>
      </x:c>
      <x:c r="C58" s="16" t="str">
        <x:v>САМОРЕЗ С ПРЕСС-ШАЙБОЙ CM274025 4,2*25</x:v>
      </x:c>
      <x:c r="D58" s="16" t="str">
        <x:v>Проч строит матер-ы</x:v>
      </x:c>
      <x:c r="E58" s="16" t="str">
        <x:v>ШТ</x:v>
      </x:c>
      <x:c r="F58" s="21" t="n">
        <x:v>100</x:v>
      </x:c>
      <x:c r="G58" s="17" t="n">
        <x:v>0.6344</x:v>
      </x:c>
      <x:c r="H58" s="17" t="n">
        <x:f>G58*F58</x:f>
        <x:v>63.44</x:v>
      </x:c>
      <x:c r="I58" s="22" t="str">
        <x:f>HYPERLINK("https://etp-aktiv.ru/catalog/materialy/stroitelnye-materialy/2000814336-V112/","Открыть позицию")</x:f>
        <x:v>Открыть позицию</x:v>
      </x:c>
    </x:row>
    <x:row r="59" ht="28" customHeight="1">
      <x:c r="A59" s="16" t="str">
        <x:v>Минусинская ТЭЦ</x:v>
      </x:c>
      <x:c r="B59" s="16" t="str">
        <x:v>2000132523-V112</x:v>
      </x:c>
      <x:c r="C59" s="16" t="str">
        <x:v>СОЕДИНИТЕЛЬ DOLLKEN ВИШНЯ АНТИК 655</x:v>
      </x:c>
      <x:c r="D59" s="16" t="str">
        <x:v>Проч строит матер-ы</x:v>
      </x:c>
      <x:c r="E59" s="16" t="str">
        <x:v>ШТ</x:v>
      </x:c>
      <x:c r="F59" s="21" t="n">
        <x:v>16</x:v>
      </x:c>
      <x:c r="G59" s="17" t="n">
        <x:v>8.5522</x:v>
      </x:c>
      <x:c r="H59" s="17" t="n">
        <x:f>G59*F59</x:f>
        <x:v>136.8352</x:v>
      </x:c>
      <x:c r="I59" s="22" t="str">
        <x:f>HYPERLINK("https://etp-aktiv.ru/catalog/materialy/stroitelnye-materialy/2000132523-V112/","Открыть позицию")</x:f>
        <x:v>Открыть позицию</x:v>
      </x:c>
    </x:row>
    <x:row r="60" ht="28" customHeight="1">
      <x:c r="A60" s="16" t="str">
        <x:v>Минусинская ТЭЦ</x:v>
      </x:c>
      <x:c r="B60" s="16" t="str">
        <x:v>2000577355-V112</x:v>
      </x:c>
      <x:c r="C60" s="16" t="str">
        <x:v>УПЛОТНИТЕЛЬ САМОКЛ REMONTIX 9*8ММ</x:v>
      </x:c>
      <x:c r="D60" s="16" t="str">
        <x:v>Проч строит матер-ы</x:v>
      </x:c>
      <x:c r="E60" s="16" t="str">
        <x:v>М</x:v>
      </x:c>
      <x:c r="F60" s="21" t="n">
        <x:v>42</x:v>
      </x:c>
      <x:c r="G60" s="17" t="n">
        <x:v>16.348</x:v>
      </x:c>
      <x:c r="H60" s="17" t="n">
        <x:f>G60*F60</x:f>
        <x:v>686.616</x:v>
      </x:c>
      <x:c r="I60" s="22" t="str">
        <x:f>HYPERLINK("https://etp-aktiv.ru/catalog/materialy/stroitelnye-materialy/2000577355-V112/","Открыть позицию")</x:f>
        <x:v>Открыть позицию</x:v>
      </x:c>
    </x:row>
    <x:row r="61" ht="28" customHeight="1">
      <x:c r="A61" s="16" t="str">
        <x:v>Назаровская ГРЭС</x:v>
      </x:c>
      <x:c r="B61" s="16" t="str">
        <x:v>2000551340-V311</x:v>
      </x:c>
      <x:c r="C61" s="16" t="str">
        <x:v>АНКЕР SZ 12-30 16125301 М8 L=110ММ</x:v>
      </x:c>
      <x:c r="D61" s="16" t="str">
        <x:v>Проч строит матер-ы</x:v>
      </x:c>
      <x:c r="E61" s="16" t="str">
        <x:v>ШТ</x:v>
      </x:c>
      <x:c r="F61" s="21" t="n">
        <x:v>20</x:v>
      </x:c>
      <x:c r="G61" s="17" t="n">
        <x:v>411.75</x:v>
      </x:c>
      <x:c r="H61" s="17" t="n">
        <x:f>G61*F61</x:f>
        <x:v>8235</x:v>
      </x:c>
      <x:c r="I61" s="22" t="str">
        <x:f>HYPERLINK("https://etp-aktiv.ru/catalog/materialy/stroitelnye-materialy/2000551340-V311/","Открыть позицию")</x:f>
        <x:v>Открыть позицию</x:v>
      </x:c>
    </x:row>
    <x:row r="62" ht="28" customHeight="1">
      <x:c r="A62" s="16" t="str">
        <x:v>Назаровская ГРЭС</x:v>
      </x:c>
      <x:c r="B62" s="16" t="str">
        <x:v>2000581169-V311</x:v>
      </x:c>
      <x:c r="C62" s="16" t="str">
        <x:v>БОЛТ АНКЕРНЫЙ HBM 8*45</x:v>
      </x:c>
      <x:c r="D62" s="16" t="str">
        <x:v>Проч строит матер-ы</x:v>
      </x:c>
      <x:c r="E62" s="16" t="str">
        <x:v>ШТ</x:v>
      </x:c>
      <x:c r="F62" s="21" t="n">
        <x:v>3</x:v>
      </x:c>
      <x:c r="G62" s="17" t="n">
        <x:v>6.8686</x:v>
      </x:c>
      <x:c r="H62" s="17" t="n">
        <x:f>G62*F62</x:f>
        <x:v>20.6058</x:v>
      </x:c>
      <x:c r="I62" s="22" t="str">
        <x:f>HYPERLINK("https://etp-aktiv.ru/catalog/materialy/stroitelnye-materialy/2000581169-V311/","Открыть позицию")</x:f>
        <x:v>Открыть позицию</x:v>
      </x:c>
    </x:row>
    <x:row r="63" ht="28" customHeight="1">
      <x:c r="A63" s="16" t="str">
        <x:v>Назаровская ГРЭС</x:v>
      </x:c>
      <x:c r="B63" s="16" t="str">
        <x:v>2000551384-V311</x:v>
      </x:c>
      <x:c r="C63" s="16" t="str">
        <x:v>БОЛТ АНКЕРНЫЙ HNM 8*100</x:v>
      </x:c>
      <x:c r="D63" s="16" t="str">
        <x:v>Проч строит матер-ы</x:v>
      </x:c>
      <x:c r="E63" s="16" t="str">
        <x:v>ШТ</x:v>
      </x:c>
      <x:c r="F63" s="21" t="n">
        <x:v>60</x:v>
      </x:c>
      <x:c r="G63" s="17" t="n">
        <x:v>7.271199999999999</x:v>
      </x:c>
      <x:c r="H63" s="17" t="n">
        <x:f>G63*F63</x:f>
        <x:v>436.272</x:v>
      </x:c>
      <x:c r="I63" s="22" t="str">
        <x:f>HYPERLINK("https://etp-aktiv.ru/catalog/materialy/stroitelnye-materialy/2000551384-V311/","Открыть позицию")</x:f>
        <x:v>Открыть позицию</x:v>
      </x:c>
    </x:row>
    <x:row r="64" ht="28" customHeight="1">
      <x:c r="A64" s="16" t="str">
        <x:v>Назаровская ГРЭС</x:v>
      </x:c>
      <x:c r="B64" s="16" t="str">
        <x:v>2000551381-V311</x:v>
      </x:c>
      <x:c r="C64" s="16" t="str">
        <x:v>БОЛТ АНКЕРНЫЙ OMAX 8*85</x:v>
      </x:c>
      <x:c r="D64" s="16" t="str">
        <x:v>Проч строит матер-ы</x:v>
      </x:c>
      <x:c r="E64" s="16" t="str">
        <x:v>ШТ</x:v>
      </x:c>
      <x:c r="F64" s="21" t="n">
        <x:v>0</x:v>
      </x:c>
      <x:c r="G64" s="17" t="n">
        <x:v>6.356199999999999</x:v>
      </x:c>
      <x:c r="H64" s="17" t="n">
        <x:f>G64*F64</x:f>
        <x:v>0</x:v>
      </x:c>
      <x:c r="I64" s="22" t="str">
        <x:f>HYPERLINK("https://etp-aktiv.ru/catalog/materialy/stroitelnye-materialy/2000551381-V311/","Открыть позицию")</x:f>
        <x:v>Открыть позицию</x:v>
      </x:c>
    </x:row>
    <x:row r="65" ht="28" customHeight="1">
      <x:c r="A65" s="16" t="str">
        <x:v>Назаровская ГРЭС</x:v>
      </x:c>
      <x:c r="B65" s="16" t="str">
        <x:v>2000581171-V311</x:v>
      </x:c>
      <x:c r="C65" s="16" t="str">
        <x:v>БОЛТ БСР 8*85</x:v>
      </x:c>
      <x:c r="D65" s="16" t="str">
        <x:v>Проч строит матер-ы</x:v>
      </x:c>
      <x:c r="E65" s="16" t="str">
        <x:v>ШТ</x:v>
      </x:c>
      <x:c r="F65" s="21" t="n">
        <x:v>18</x:v>
      </x:c>
      <x:c r="G65" s="17" t="n">
        <x:v>171.5686</x:v>
      </x:c>
      <x:c r="H65" s="17" t="n">
        <x:f>G65*F65</x:f>
        <x:v>3088.2348</x:v>
      </x:c>
      <x:c r="I65" s="22" t="str">
        <x:f>HYPERLINK("https://etp-aktiv.ru/catalog/materialy/stroitelnye-materialy/2000581171-V311/","Открыть позицию")</x:f>
        <x:v>Открыть позицию</x:v>
      </x:c>
    </x:row>
    <x:row r="66" ht="28" customHeight="1">
      <x:c r="A66" s="16" t="str">
        <x:v>Назаровская ГРЭС</x:v>
      </x:c>
      <x:c r="B66" s="16" t="str">
        <x:v>2000551393-V311</x:v>
      </x:c>
      <x:c r="C66" s="16" t="str">
        <x:v>БОЛТ БСР У3 М16*150</x:v>
      </x:c>
      <x:c r="D66" s="16" t="str">
        <x:v>Проч строит матер-ы</x:v>
      </x:c>
      <x:c r="E66" s="16" t="str">
        <x:v>ШТ</x:v>
      </x:c>
      <x:c r="F66" s="21" t="n">
        <x:v>7</x:v>
      </x:c>
      <x:c r="G66" s="17" t="n">
        <x:v>67.1732</x:v>
      </x:c>
      <x:c r="H66" s="17" t="n">
        <x:f>G66*F66</x:f>
        <x:v>470.21239999999995</x:v>
      </x:c>
      <x:c r="I66" s="22" t="str">
        <x:f>HYPERLINK("https://etp-aktiv.ru/catalog/materialy/stroitelnye-materialy/2000551393-V311/","Открыть позицию")</x:f>
        <x:v>Открыть позицию</x:v>
      </x:c>
    </x:row>
    <x:row r="67" ht="28" customHeight="1">
      <x:c r="A67" s="16" t="str">
        <x:v>Назаровская ГРЭС</x:v>
      </x:c>
      <x:c r="B67" s="16" t="str">
        <x:v>2000551394-V311</x:v>
      </x:c>
      <x:c r="C67" s="16" t="str">
        <x:v>БОЛТ БСР У3 М20*200</x:v>
      </x:c>
      <x:c r="D67" s="16" t="str">
        <x:v>Проч строит матер-ы</x:v>
      </x:c>
      <x:c r="E67" s="16" t="str">
        <x:v>ШТ</x:v>
      </x:c>
      <x:c r="F67" s="21" t="n">
        <x:v>45</x:v>
      </x:c>
      <x:c r="G67" s="17" t="n">
        <x:v>83.4968</x:v>
      </x:c>
      <x:c r="H67" s="17" t="n">
        <x:f>G67*F67</x:f>
        <x:v>3757.3559999999998</x:v>
      </x:c>
      <x:c r="I67" s="22" t="str">
        <x:f>HYPERLINK("https://etp-aktiv.ru/catalog/materialy/stroitelnye-materialy/2000551394-V311/","Открыть позицию")</x:f>
        <x:v>Открыть позицию</x:v>
      </x:c>
    </x:row>
    <x:row r="68" ht="28" customHeight="1">
      <x:c r="A68" s="16" t="str">
        <x:v>Назаровская ГРЭС</x:v>
      </x:c>
      <x:c r="B68" s="16" t="str">
        <x:v>2000870627-V311</x:v>
      </x:c>
      <x:c r="C68" s="16" t="str">
        <x:v>БОЛТ РАСПОРНЫЙ БСР УЗ М8*85 ГОСТ28778-90</x:v>
      </x:c>
      <x:c r="D68" s="16" t="str">
        <x:v>Проч строит матер-ы</x:v>
      </x:c>
      <x:c r="E68" s="16" t="str">
        <x:v>ШТ</x:v>
      </x:c>
      <x:c r="F68" s="21" t="n">
        <x:v>20</x:v>
      </x:c>
      <x:c r="G68" s="17" t="n">
        <x:v>78.92179999999999</x:v>
      </x:c>
      <x:c r="H68" s="17" t="n">
        <x:f>G68*F68</x:f>
        <x:v>1578.4359999999997</x:v>
      </x:c>
      <x:c r="I68" s="22" t="str">
        <x:f>HYPERLINK("https://etp-aktiv.ru/catalog/materialy/stroitelnye-materialy/2000870627-V311/","Открыть позицию")</x:f>
        <x:v>Открыть позицию</x:v>
      </x:c>
    </x:row>
    <x:row r="69" ht="28" customHeight="1">
      <x:c r="A69" s="16" t="str">
        <x:v>Назаровская ГРЭС</x:v>
      </x:c>
      <x:c r="B69" s="16" t="str">
        <x:v>2000578040-V311</x:v>
      </x:c>
      <x:c r="C69" s="16" t="str">
        <x:v>КИРПИЧ ОГНЕУПОРНЫЙ ШЛ-1,3 К-1244</x:v>
      </x:c>
      <x:c r="D69" s="16" t="str">
        <x:v>Огнеупорные мат-лы</x:v>
      </x:c>
      <x:c r="E69" s="16" t="str">
        <x:v>Т</x:v>
      </x:c>
      <x:c r="F69" s="26" t="n">
        <x:v>4.58</x:v>
      </x:c>
      <x:c r="G69" s="17" t="n">
        <x:v>11070.4874</x:v>
      </x:c>
      <x:c r="H69" s="17" t="n">
        <x:f>G69*F69</x:f>
        <x:v>50702.832292</x:v>
      </x:c>
      <x:c r="I69" s="22" t="str">
        <x:f>HYPERLINK("https://etp-aktiv.ru/catalog/materialy/ogneupornye-materialy/2000578040-V311/","Открыть позицию")</x:f>
        <x:v>Открыть позицию</x:v>
      </x:c>
    </x:row>
    <x:row r="70" ht="28" customHeight="1">
      <x:c r="A70" s="16" t="str">
        <x:v>Назаровская ГРЭС</x:v>
      </x:c>
      <x:c r="B70" s="16" t="str">
        <x:v>2000618307-V311</x:v>
      </x:c>
      <x:c r="C70" s="16" t="str">
        <x:v>КРАН ШАРОВОЙ VT.807.N.0404 1/2*1/2</x:v>
      </x:c>
      <x:c r="D70" s="16" t="str">
        <x:v>Проч строит матер-ы</x:v>
      </x:c>
      <x:c r="E70" s="16" t="str">
        <x:v>ШТ</x:v>
      </x:c>
      <x:c r="F70" s="21" t="n">
        <x:v>8</x:v>
      </x:c>
      <x:c r="G70" s="17" t="n">
        <x:v>355.48359999999997</x:v>
      </x:c>
      <x:c r="H70" s="17" t="n">
        <x:f>G70*F70</x:f>
        <x:v>2843.8687999999997</x:v>
      </x:c>
      <x:c r="I70" s="22" t="str">
        <x:f>HYPERLINK("https://etp-aktiv.ru/catalog/materialy/stroitelnye-materialy/2000618307-V311/","Открыть позицию")</x:f>
        <x:v>Открыть позицию</x:v>
      </x:c>
    </x:row>
    <x:row r="71" ht="28" customHeight="1">
      <x:c r="A71" s="16" t="str">
        <x:v>Назаровская ГРЭС</x:v>
      </x:c>
      <x:c r="B71" s="16" t="str">
        <x:v>2000133781-V311</x:v>
      </x:c>
      <x:c r="C71" s="16" t="str">
        <x:v>КРЫШКА КОЛОДЦА КЦП 1-15-1 1500*90*600</x:v>
      </x:c>
      <x:c r="D71" s="16" t="str">
        <x:v>Железобетонные издел</x:v>
      </x:c>
      <x:c r="E71" s="16" t="str">
        <x:v>ШТ</x:v>
      </x:c>
      <x:c r="F71" s="21" t="n">
        <x:v>1</x:v>
      </x:c>
      <x:c r="G71" s="17" t="n">
        <x:v>6910.4338</x:v>
      </x:c>
      <x:c r="H71" s="17" t="n">
        <x:f>G71*F71</x:f>
        <x:v>6910.4338</x:v>
      </x:c>
      <x:c r="I71" s="22" t="str">
        <x:f>HYPERLINK("https://etp-aktiv.ru/catalog/materialy/stroitelnye-materialy/2000133781-V311/","Открыть позицию")</x:f>
        <x:v>Открыть позицию</x:v>
      </x:c>
    </x:row>
    <x:row r="72" ht="28" customHeight="1">
      <x:c r="A72" s="16" t="str">
        <x:v>Назаровская ГРЭС</x:v>
      </x:c>
      <x:c r="B72" s="16" t="str">
        <x:v>2000557331-V311</x:v>
      </x:c>
      <x:c r="C72" s="16" t="str">
        <x:v>ЛОТОК Л8-8/2 С.3.006.1-2.87.1-15</x:v>
      </x:c>
      <x:c r="D72" s="16" t="str">
        <x:v>Железобетонные издел</x:v>
      </x:c>
      <x:c r="E72" s="16" t="str">
        <x:v>ШТ</x:v>
      </x:c>
      <x:c r="F72" s="21" t="n">
        <x:v>3</x:v>
      </x:c>
      <x:c r="G72" s="17" t="n">
        <x:v>5012.8824</x:v>
      </x:c>
      <x:c r="H72" s="17" t="n">
        <x:f>G72*F72</x:f>
        <x:v>15038.647200000001</x:v>
      </x:c>
      <x:c r="I72" s="22" t="str">
        <x:f>HYPERLINK("https://etp-aktiv.ru/catalog/materialy/stroitelnye-materialy/2000557331-V311/","Открыть позицию")</x:f>
        <x:v>Открыть позицию</x:v>
      </x:c>
    </x:row>
    <x:row r="73" ht="28" customHeight="1">
      <x:c r="A73" s="16" t="str">
        <x:v>Назаровская ГРЭС</x:v>
      </x:c>
      <x:c r="B73" s="16" t="str">
        <x:v>2000310028-V311</x:v>
      </x:c>
      <x:c r="C73" s="16" t="str">
        <x:v>МАСТИКА ГИДРОИЗ.БИТУМ. ХОЛОД. AQUAMAST</x:v>
      </x:c>
      <x:c r="D73" s="16" t="str">
        <x:v>Проч строит матер-ы</x:v>
      </x:c>
      <x:c r="E73" s="16" t="str">
        <x:v>КГ</x:v>
      </x:c>
      <x:c r="F73" s="26" t="n">
        <x:v>1.6</x:v>
      </x:c>
      <x:c r="G73" s="17" t="n">
        <x:v>205.875</x:v>
      </x:c>
      <x:c r="H73" s="17" t="n">
        <x:f>G73*F73</x:f>
        <x:v>329.40000000000003</x:v>
      </x:c>
      <x:c r="I73" s="22" t="str">
        <x:f>HYPERLINK("https://etp-aktiv.ru/catalog/materialy/stroitelnye-materialy/2000310028-V311/","Открыть позицию")</x:f>
        <x:v>Открыть позицию</x:v>
      </x:c>
    </x:row>
    <x:row r="74" ht="28" customHeight="1">
      <x:c r="A74" s="16" t="str">
        <x:v>Назаровская ГРЭС</x:v>
      </x:c>
      <x:c r="B74" s="16" t="str">
        <x:v>2000973424-V311</x:v>
      </x:c>
      <x:c r="C74" s="16" t="str">
        <x:v>МАСТИКА ПОЛИМЕРНО-БИТУМНАЯ ПБМ-2</x:v>
      </x:c>
      <x:c r="D74" s="16" t="str">
        <x:v>Проч строит матер-ы</x:v>
      </x:c>
      <x:c r="E74" s="16" t="str">
        <x:v>КГ</x:v>
      </x:c>
      <x:c r="F74" s="21" t="n">
        <x:v>6</x:v>
      </x:c>
      <x:c r="G74" s="17" t="n">
        <x:v>130.3936</x:v>
      </x:c>
      <x:c r="H74" s="17" t="n">
        <x:f>G74*F74</x:f>
        <x:v>782.3616</x:v>
      </x:c>
      <x:c r="I74" s="22" t="str">
        <x:f>HYPERLINK("https://etp-aktiv.ru/catalog/materialy/stroitelnye-materialy/2000973424-V311/","Открыть позицию")</x:f>
        <x:v>Открыть позицию</x:v>
      </x:c>
    </x:row>
    <x:row r="75" ht="28" customHeight="1">
      <x:c r="A75" s="16" t="str">
        <x:v>Назаровская ГРЭС</x:v>
      </x:c>
      <x:c r="B75" s="16" t="str">
        <x:v>2000590125-V311</x:v>
      </x:c>
      <x:c r="C75" s="16" t="str">
        <x:v>СМЕСЬ СУХАЯ ВЕРМИКУЛИТОБЕТОН ССВБ-600</x:v>
      </x:c>
      <x:c r="D75" s="16" t="str">
        <x:v>Проч строит матер-ы</x:v>
      </x:c>
      <x:c r="E75" s="16" t="str">
        <x:v>Т</x:v>
      </x:c>
      <x:c r="F75" s="30" t="n">
        <x:v>0.042</x:v>
      </x:c>
      <x:c r="G75" s="17" t="n">
        <x:v>70247.6488</x:v>
      </x:c>
      <x:c r="H75" s="17" t="n">
        <x:f>G75*F75</x:f>
        <x:v>2950.4012496</x:v>
      </x:c>
      <x:c r="I75" s="22" t="str">
        <x:f>HYPERLINK("https://etp-aktiv.ru/catalog/materialy/stroitelnye-materialy/2000590125-V311/","Открыть позицию")</x:f>
        <x:v>Открыть позицию</x:v>
      </x:c>
    </x:row>
    <x:row r="76" ht="28" customHeight="1">
      <x:c r="A76" s="16" t="str">
        <x:v>Назаровская ГРЭС</x:v>
      </x:c>
      <x:c r="B76" s="16" t="str">
        <x:v>2000557793-V311</x:v>
      </x:c>
      <x:c r="C76" s="16" t="str">
        <x:v>ЦЕМЕНТ ГЛИНОЗЕМИСТЫЙ ГЦ-50 ГОСТ969-91</x:v>
      </x:c>
      <x:c r="D76" s="16" t="str">
        <x:v>Цемент,бетон,раствор</x:v>
      </x:c>
      <x:c r="E76" s="16" t="str">
        <x:v>Т</x:v>
      </x:c>
      <x:c r="F76" s="30" t="n">
        <x:v>0.033</x:v>
      </x:c>
      <x:c r="G76" s="17" t="n">
        <x:v>30231.1852</x:v>
      </x:c>
      <x:c r="H76" s="17" t="n">
        <x:f>G76*F76</x:f>
        <x:v>997.6291116</x:v>
      </x:c>
      <x:c r="I76" s="22" t="str">
        <x:f>HYPERLINK("https://etp-aktiv.ru/catalog/materialy/stroitelnye-materialy/2000557793-V311/","Открыть позицию")</x:f>
        <x:v>Открыть позицию</x:v>
      </x:c>
    </x:row>
    <x:row r="77" ht="28" customHeight="1">
      <x:c r="A77" s="16" t="str">
        <x:v>Назаровская ГРЭС</x:v>
      </x:c>
      <x:c r="B77" s="16" t="str">
        <x:v>2000930099-V311</x:v>
      </x:c>
      <x:c r="C77" s="16" t="str">
        <x:v>ЦЕМЕНТ РПЦ-10 М500</x:v>
      </x:c>
      <x:c r="D77" s="16" t="str">
        <x:v>Цемент,бетон,раствор</x:v>
      </x:c>
      <x:c r="E77" s="16" t="str">
        <x:v>КГ</x:v>
      </x:c>
      <x:c r="F77" s="21" t="n">
        <x:v>100</x:v>
      </x:c>
      <x:c r="G77" s="17" t="n">
        <x:v>17.153200000000002</x:v>
      </x:c>
      <x:c r="H77" s="17" t="n">
        <x:f>G77*F77</x:f>
        <x:v>1715.3200000000002</x:v>
      </x:c>
      <x:c r="I77" s="22" t="str">
        <x:f>HYPERLINK("https://etp-aktiv.ru/catalog/materialy/stroitelnye-materialy/2000930099-V311/","Открыть позицию")</x:f>
        <x:v>Открыть позицию</x:v>
      </x:c>
    </x:row>
    <x:row r="78" ht="28" customHeight="1">
      <x:c r="A78" s="16" t="str">
        <x:v>Назаровская ГРЭС</x:v>
      </x:c>
      <x:c r="B78" s="16" t="str">
        <x:v>2000919604-V311</x:v>
      </x:c>
      <x:c r="C78" s="16" t="str">
        <x:v>ШПИЛЬКА SMR S-SH SA 31810 100ШТ М8*100</x:v>
      </x:c>
      <x:c r="D78" s="16" t="str">
        <x:v>Проч строит матер-ы</x:v>
      </x:c>
      <x:c r="E78" s="16" t="str">
        <x:v>УПК</x:v>
      </x:c>
      <x:c r="F78" s="30" t="n">
        <x:v>0.93</x:v>
      </x:c>
      <x:c r="G78" s="17" t="n">
        <x:v>597.0436</x:v>
      </x:c>
      <x:c r="H78" s="17" t="n">
        <x:f>G78*F78</x:f>
        <x:v>555.250548</x:v>
      </x:c>
      <x:c r="I78" s="22" t="str">
        <x:f>HYPERLINK("https://etp-aktiv.ru/catalog/materialy/stroitelnye-materialy/2000919604-V311/","Открыть позицию")</x:f>
        <x:v>Открыть позицию</x:v>
      </x:c>
    </x:row>
    <x:row r="79" ht="28" customHeight="1">
      <x:c r="A79" s="16" t="str">
        <x:v>Назаровские тепловые сети</x:v>
      </x:c>
      <x:c r="B79" s="16" t="str">
        <x:v>2000121732-V321</x:v>
      </x:c>
      <x:c r="C79" s="16" t="str">
        <x:v>ЩЕБЕНЬ ОТСЕВ БАЗАЛЬТ М1000 0-5ММ</x:v>
      </x:c>
      <x:c r="D79" s="16" t="str">
        <x:v>Щебень, гравий</x:v>
      </x:c>
      <x:c r="E79" s="16" t="str">
        <x:v>М3</x:v>
      </x:c>
      <x:c r="F79" s="26" t="n">
        <x:v>10.11</x:v>
      </x:c>
      <x:c r="G79" s="17" t="n">
        <x:v>674.5136</x:v>
      </x:c>
      <x:c r="H79" s="17" t="n">
        <x:f>G79*F79</x:f>
        <x:v>6819.332496</x:v>
      </x:c>
      <x:c r="I79" s="22" t="str">
        <x:f>HYPERLINK("https://etp-aktiv.ru/catalog/materialy/stroitelnye-materialy/2000121732-V321/","Открыть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bd125f0c9a014d3d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Трубы, фитинги, трубопроводная арматура и ОПС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Канская ТЭЦ</x:v>
      </x:c>
      <x:c r="B5" s="16" t="str">
        <x:v>2000560301-V141</x:v>
      </x:c>
      <x:c r="C5" s="16" t="str">
        <x:v>ТРУБА СТ20 76*9 ГОСТ8731-74</x:v>
      </x:c>
      <x:c r="D5" s="16" t="str">
        <x:v>Трубы черные бесшов</x:v>
      </x:c>
      <x:c r="E5" s="16" t="str">
        <x:v>Т</x:v>
      </x:c>
      <x:c r="F5" s="30" t="n">
        <x:v>0.051</x:v>
      </x:c>
      <x:c r="G5" s="17" t="n">
        <x:v>179171.2618</x:v>
      </x:c>
      <x:c r="H5" s="17" t="n">
        <x:f>G5*F5</x:f>
        <x:v>9137.7343518</x:v>
      </x:c>
      <x:c r="I5" s="22" t="str">
        <x:f>HYPERLINK("https://etp-aktiv.ru/catalog/materialy/truby-stalnye-i-polimernye/2000560301-V141/","Открыть позицию")</x:f>
        <x:v>Открыть позицию</x:v>
      </x:c>
    </x:row>
    <x:row r="6" ht="28" customHeight="1">
      <x:c r="A6" s="16" t="str">
        <x:v>КрасТЭК</x:v>
      </x:c>
      <x:c r="B6" s="16" t="str">
        <x:v>2000144149-VG11</x:v>
      </x:c>
      <x:c r="C6" s="16" t="str">
        <x:v>ЗАДВИЖКА 30Ч6БР DN200 PN16</x:v>
      </x:c>
      <x:c r="D6" s="16" t="str">
        <x:v>ЧугунАрмат (кр.затв)</x:v>
      </x:c>
      <x:c r="E6" s="16" t="str">
        <x:v>ШТ</x:v>
      </x:c>
      <x:c r="F6" s="21" t="n">
        <x:v>1</x:v>
      </x:c>
      <x:c r="G6" s="17" t="n">
        <x:v>7285.583799999999</x:v>
      </x:c>
      <x:c r="H6" s="17" t="n">
        <x:f>G6*F6</x:f>
        <x:v>7285.583799999999</x:v>
      </x:c>
      <x:c r="I6" s="22" t="str">
        <x:f>HYPERLINK("https://etp-aktiv.ru/catalog/materialy/truboprovodnaya-armatura-i-komplektuyushchie/2000144149-VG11/","Открыть позицию")</x:f>
        <x:v>Открыть позицию</x:v>
      </x:c>
    </x:row>
    <x:row r="7" ht="28" customHeight="1">
      <x:c r="A7" s="16" t="str">
        <x:v>КрасТЭК</x:v>
      </x:c>
      <x:c r="B7" s="16" t="str">
        <x:v>2000739104-VG11</x:v>
      </x:c>
      <x:c r="C7" s="16" t="str">
        <x:v>ЗАТВОР 2Н 250/25 09Г2С НЖ НЖ/НЖ ПП Р</x:v>
      </x:c>
      <x:c r="D7" s="16" t="str">
        <x:v>ЗатворСтальнПповорот</x:v>
      </x:c>
      <x:c r="E7" s="16" t="str">
        <x:v>ШТ</x:v>
      </x:c>
      <x:c r="F7" s="21" t="n">
        <x:v>2</x:v>
      </x:c>
      <x:c r="G7" s="17" t="n">
        <x:v>58433.046800000004</x:v>
      </x:c>
      <x:c r="H7" s="17" t="n">
        <x:f>G7*F7</x:f>
        <x:v>116866.09360000001</x:v>
      </x:c>
      <x:c r="I7" s="22" t="str">
        <x:f>HYPERLINK("https://etp-aktiv.ru/catalog/materialy/truboprovodnaya-armatura-i-komplektuyushchie/2000739104-VG11/","Открыть позицию")</x:f>
        <x:v>Открыть позицию</x:v>
      </x:c>
    </x:row>
    <x:row r="8" ht="28" customHeight="1">
      <x:c r="A8" s="16" t="str">
        <x:v>КрасТЭК</x:v>
      </x:c>
      <x:c r="B8" s="16" t="str">
        <x:v>2000819321-VG11</x:v>
      </x:c>
      <x:c r="C8" s="16" t="str">
        <x:v>ЗАТВОР 2Н 350/16 09Г2С НЖ НЖ/НЖ ФЛ ЭП</x:v>
      </x:c>
      <x:c r="D8" s="16" t="str">
        <x:v>ЗатворСтальнПповорот</x:v>
      </x:c>
      <x:c r="E8" s="16" t="str">
        <x:v>ШТ</x:v>
      </x:c>
      <x:c r="F8" s="21" t="n">
        <x:v>4</x:v>
      </x:c>
      <x:c r="G8" s="17" t="n">
        <x:v>97259.1808</x:v>
      </x:c>
      <x:c r="H8" s="17" t="n">
        <x:f>G8*F8</x:f>
        <x:v>389036.7232</x:v>
      </x:c>
      <x:c r="I8" s="22" t="str">
        <x:f>HYPERLINK("https://etp-aktiv.ru/catalog/materialy/truboprovodnaya-armatura-i-komplektuyushchie/2000819321-VG11/","Открыть позицию")</x:f>
        <x:v>Открыть позицию</x:v>
      </x:c>
    </x:row>
    <x:row r="9" ht="28" customHeight="1">
      <x:c r="A9" s="16" t="str">
        <x:v>КрасТЭК</x:v>
      </x:c>
      <x:c r="B9" s="16" t="str">
        <x:v>2000879902-VG11</x:v>
      </x:c>
      <x:c r="C9" s="16" t="str">
        <x:v>ЗАТВОР ДИСК СИМ 250/16 ВЧ НЖ EPDM МФ Р</x:v>
      </x:c>
      <x:c r="D9" s="16" t="str">
        <x:v>ЗатворЧугунПоворотн</x:v>
      </x:c>
      <x:c r="E9" s="16" t="str">
        <x:v>ШТ</x:v>
      </x:c>
      <x:c r="F9" s="21" t="n">
        <x:v>2</x:v>
      </x:c>
      <x:c r="G9" s="17" t="n">
        <x:v>11843.820999999998</x:v>
      </x:c>
      <x:c r="H9" s="17" t="n">
        <x:f>G9*F9</x:f>
        <x:v>23687.641999999996</x:v>
      </x:c>
      <x:c r="I9" s="22" t="str">
        <x:f>HYPERLINK("https://etp-aktiv.ru/catalog/materialy/truboprovodnaya-armatura-i-komplektuyushchie/2000879902-VG11/","Открыть позицию")</x:f>
        <x:v>Открыть позицию</x:v>
      </x:c>
    </x:row>
    <x:row r="10" ht="28" customHeight="1">
      <x:c r="A10" s="16" t="str">
        <x:v>КрасТЭК</x:v>
      </x:c>
      <x:c r="B10" s="16" t="str">
        <x:v>2000588190-VG11</x:v>
      </x:c>
      <x:c r="C10" s="16" t="str">
        <x:v>ЗАТВОР СИМ 150/16 ВЧ НЖ EPDM ФЛ РП</x:v>
      </x:c>
      <x:c r="D10" s="16" t="str">
        <x:v>ЗатворЧугунПоворотн</x:v>
      </x:c>
      <x:c r="E10" s="16" t="str">
        <x:v>ШТ</x:v>
      </x:c>
      <x:c r="F10" s="21" t="n">
        <x:v>5</x:v>
      </x:c>
      <x:c r="G10" s="17" t="n">
        <x:v>3512.99</x:v>
      </x:c>
      <x:c r="H10" s="17" t="n">
        <x:f>G10*F10</x:f>
        <x:v>17564.949999999997</x:v>
      </x:c>
      <x:c r="I10" s="22" t="str">
        <x:f>HYPERLINK("https://etp-aktiv.ru/catalog/materialy/truboprovodnaya-armatura-i-komplektuyushchie/2000588190-VG11/","Открыть позицию")</x:f>
        <x:v>Открыть позицию</x:v>
      </x:c>
    </x:row>
    <x:row r="11" ht="28" customHeight="1">
      <x:c r="A11" s="16" t="str">
        <x:v>КрасТЭК</x:v>
      </x:c>
      <x:c r="B11" s="16" t="str">
        <x:v>2000673775-VG11</x:v>
      </x:c>
      <x:c r="C11" s="16" t="str">
        <x:v>ЗАТВОР СИМ 300/16 ВЧ НЖ EPDM МФ Р</x:v>
      </x:c>
      <x:c r="D11" s="16" t="str">
        <x:v>ЗатворЧугунПоворотн</x:v>
      </x:c>
      <x:c r="E11" s="16" t="str">
        <x:v>ШТ</x:v>
      </x:c>
      <x:c r="F11" s="21" t="n">
        <x:v>3</x:v>
      </x:c>
      <x:c r="G11" s="17" t="n">
        <x:v>6851.3492</x:v>
      </x:c>
      <x:c r="H11" s="17" t="n">
        <x:f>G11*F11</x:f>
        <x:v>20554.047599999998</x:v>
      </x:c>
      <x:c r="I11" s="22" t="str">
        <x:f>HYPERLINK("https://etp-aktiv.ru/catalog/materialy/truboprovodnaya-armatura-i-komplektuyushchie/2000673775-VG11/","Открыть позицию")</x:f>
        <x:v>Открыть позицию</x:v>
      </x:c>
    </x:row>
    <x:row r="12" ht="28" customHeight="1">
      <x:c r="A12" s="16" t="str">
        <x:v>КрасТЭК</x:v>
      </x:c>
      <x:c r="B12" s="16" t="str">
        <x:v>2000711024-VG11</x:v>
      </x:c>
      <x:c r="C12" s="16" t="str">
        <x:v>ЗАТВОР СИМ 50/16 ВЧ НЖ EPDM МФ РП</x:v>
      </x:c>
      <x:c r="D12" s="16" t="str">
        <x:v>ЗатворЧугунПоворотн</x:v>
      </x:c>
      <x:c r="E12" s="16" t="str">
        <x:v>ШТ</x:v>
      </x:c>
      <x:c r="F12" s="21" t="n">
        <x:v>14</x:v>
      </x:c>
      <x:c r="G12" s="17" t="n">
        <x:v>854.0731999999999</x:v>
      </x:c>
      <x:c r="H12" s="17" t="n">
        <x:f>G12*F12</x:f>
        <x:v>11957.0248</x:v>
      </x:c>
      <x:c r="I12" s="22" t="str">
        <x:f>HYPERLINK("https://etp-aktiv.ru/catalog/materialy/truboprovodnaya-armatura-i-komplektuyushchie/2000711024-VG11/","Открыть позицию")</x:f>
        <x:v>Открыть позицию</x:v>
      </x:c>
    </x:row>
    <x:row r="13" ht="28" customHeight="1">
      <x:c r="A13" s="16" t="str">
        <x:v>КрасТЭК</x:v>
      </x:c>
      <x:c r="B13" s="16" t="str">
        <x:v>2000639984-VG11</x:v>
      </x:c>
      <x:c r="C13" s="16" t="str">
        <x:v>ЗАТВОР Ф 250/10 ВЧ НЖ PTFE МФ РЕД</x:v>
      </x:c>
      <x:c r="D13" s="16" t="str">
        <x:v>ЗатворЧугунПоворотн</x:v>
      </x:c>
      <x:c r="E13" s="16" t="str">
        <x:v>ШТ</x:v>
      </x:c>
      <x:c r="F13" s="21" t="n">
        <x:v>1</x:v>
      </x:c>
      <x:c r="G13" s="17" t="n">
        <x:v>22636.3436</x:v>
      </x:c>
      <x:c r="H13" s="17" t="n">
        <x:f>G13*F13</x:f>
        <x:v>22636.3436</x:v>
      </x:c>
      <x:c r="I13" s="22" t="str">
        <x:f>HYPERLINK("https://etp-aktiv.ru/catalog/materialy/truboprovodnaya-armatura-i-komplektuyushchie/2000639984-VG11/","Открыть позицию")</x:f>
        <x:v>Открыть позицию</x:v>
      </x:c>
    </x:row>
    <x:row r="14" ht="28" customHeight="1">
      <x:c r="A14" s="16" t="str">
        <x:v>КрасТЭК</x:v>
      </x:c>
      <x:c r="B14" s="16" t="str">
        <x:v>2000539884-VG11</x:v>
      </x:c>
      <x:c r="C14" s="16" t="str">
        <x:v>Затвор Э ВЧ/ВЧ вода 100° М 80/16 РП А</x:v>
      </x:c>
      <x:c r="D14" s="16" t="str">
        <x:v>ЗатворЧугунПоворотн</x:v>
      </x:c>
      <x:c r="E14" s="16" t="str">
        <x:v>ШТ</x:v>
      </x:c>
      <x:c r="F14" s="21" t="n">
        <x:v>6</x:v>
      </x:c>
      <x:c r="G14" s="17" t="n">
        <x:v>548.573</x:v>
      </x:c>
      <x:c r="H14" s="17" t="n">
        <x:f>G14*F14</x:f>
        <x:v>3291.438</x:v>
      </x:c>
      <x:c r="I14" s="22" t="str">
        <x:f>HYPERLINK("https://etp-aktiv.ru/catalog/materialy/truboprovodnaya-armatura-i-komplektuyushchie/2000539884-VG11/","Открыть позицию")</x:f>
        <x:v>Открыть позицию</x:v>
      </x:c>
    </x:row>
    <x:row r="15" ht="28" customHeight="1">
      <x:c r="A15" s="16" t="str">
        <x:v>КрасТЭК</x:v>
      </x:c>
      <x:c r="B15" s="16" t="str">
        <x:v>2000539885-VG11</x:v>
      </x:c>
      <x:c r="C15" s="16" t="str">
        <x:v>Затвор Э ВЧ/НЖ вода 100° М 100/16 РП А</x:v>
      </x:c>
      <x:c r="D15" s="16" t="str">
        <x:v>ЗатворЧугунПоворотн</x:v>
      </x:c>
      <x:c r="E15" s="16" t="str">
        <x:v>ШТ</x:v>
      </x:c>
      <x:c r="F15" s="21" t="n">
        <x:v>15</x:v>
      </x:c>
      <x:c r="G15" s="17" t="n">
        <x:v>1784.0548</x:v>
      </x:c>
      <x:c r="H15" s="17" t="n">
        <x:f>G15*F15</x:f>
        <x:v>26760.822</x:v>
      </x:c>
      <x:c r="I15" s="22" t="str">
        <x:f>HYPERLINK("https://etp-aktiv.ru/catalog/materialy/truboprovodnaya-armatura-i-komplektuyushchie/2000539885-VG11/","Открыть позицию")</x:f>
        <x:v>Открыть позицию</x:v>
      </x:c>
    </x:row>
    <x:row r="16" ht="28" customHeight="1">
      <x:c r="A16" s="16" t="str">
        <x:v>КрасТЭК</x:v>
      </x:c>
      <x:c r="B16" s="16" t="str">
        <x:v>2000007041-VG11</x:v>
      </x:c>
      <x:c r="C16" s="16" t="str">
        <x:v>КЛАПАН 19Ч21БР DN50 PN16</x:v>
      </x:c>
      <x:c r="D16" s="16" t="str">
        <x:v>ЧугунАрмат (кр.затв)</x:v>
      </x:c>
      <x:c r="E16" s="16" t="str">
        <x:v>ШТ</x:v>
      </x:c>
      <x:c r="F16" s="21" t="n">
        <x:v>5</x:v>
      </x:c>
      <x:c r="G16" s="17" t="n">
        <x:v>346.6996</x:v>
      </x:c>
      <x:c r="H16" s="17" t="n">
        <x:f>G16*F16</x:f>
        <x:v>1733.4979999999998</x:v>
      </x:c>
      <x:c r="I16" s="22" t="str">
        <x:f>HYPERLINK("https://etp-aktiv.ru/catalog/materialy/truboprovodnaya-armatura-i-komplektuyushchie/2000007041-VG11/","Открыть позицию")</x:f>
        <x:v>Открыть позицию</x:v>
      </x:c>
    </x:row>
    <x:row r="17" ht="28" customHeight="1">
      <x:c r="A17" s="16" t="str">
        <x:v>КрасТЭК</x:v>
      </x:c>
      <x:c r="B17" s="16" t="str">
        <x:v>2000894487-VG11</x:v>
      </x:c>
      <x:c r="C17" s="16" t="str">
        <x:v>КЛАПАН 19Ч21БР DN80 PN16 ФЛАНЦ ПРОКЛ</x:v>
      </x:c>
      <x:c r="D17" s="16" t="str">
        <x:v>ЧугунАрмат (кр.затв)</x:v>
      </x:c>
      <x:c r="E17" s="16" t="str">
        <x:v>ШТ</x:v>
      </x:c>
      <x:c r="F17" s="21" t="n">
        <x:v>2</x:v>
      </x:c>
      <x:c r="G17" s="17" t="n">
        <x:v>1054.8973999999998</x:v>
      </x:c>
      <x:c r="H17" s="17" t="n">
        <x:f>G17*F17</x:f>
        <x:v>2109.7947999999997</x:v>
      </x:c>
      <x:c r="I17" s="22" t="str">
        <x:f>HYPERLINK("https://etp-aktiv.ru/catalog/materialy/truboprovodnaya-armatura-i-komplektuyushchie/2000894487-VG11/","Открыть позицию")</x:f>
        <x:v>Открыть позицию</x:v>
      </x:c>
    </x:row>
    <x:row r="18" ht="28" customHeight="1">
      <x:c r="A18" s="16" t="str">
        <x:v>КрасТЭК</x:v>
      </x:c>
      <x:c r="B18" s="16" t="str">
        <x:v>2000539752-VG11</x:v>
      </x:c>
      <x:c r="C18" s="16" t="str">
        <x:v>КЛАПАН ОБР 19Ч21БР DN100 PN16 ФЛ D СЧ18</x:v>
      </x:c>
      <x:c r="D18" s="16" t="str">
        <x:v>ЧугунАрмат (кр.затв)</x:v>
      </x:c>
      <x:c r="E18" s="16" t="str">
        <x:v>ШТ</x:v>
      </x:c>
      <x:c r="F18" s="21" t="n">
        <x:v>10</x:v>
      </x:c>
      <x:c r="G18" s="17" t="n">
        <x:v>1079.029</x:v>
      </x:c>
      <x:c r="H18" s="17" t="n">
        <x:f>G18*F18</x:f>
        <x:v>10790.29</x:v>
      </x:c>
      <x:c r="I18" s="22" t="str">
        <x:f>HYPERLINK("https://etp-aktiv.ru/catalog/materialy/truboprovodnaya-armatura-i-komplektuyushchie/2000539752-VG11/","Открыть позицию")</x:f>
        <x:v>Открыть позицию</x:v>
      </x:c>
    </x:row>
    <x:row r="19" ht="28" customHeight="1">
      <x:c r="A19" s="16" t="str">
        <x:v>КрасТЭК</x:v>
      </x:c>
      <x:c r="B19" s="16" t="str">
        <x:v>2000539754-VG11</x:v>
      </x:c>
      <x:c r="C19" s="16" t="str">
        <x:v>КЛАПАН ОБРАТ 19Ч21БР DN250 PN16</x:v>
      </x:c>
      <x:c r="D19" s="16" t="str">
        <x:v>ЧугунАрмат (кр.затв)</x:v>
      </x:c>
      <x:c r="E19" s="16" t="str">
        <x:v>ШТ</x:v>
      </x:c>
      <x:c r="F19" s="21" t="n">
        <x:v>5</x:v>
      </x:c>
      <x:c r="G19" s="17" t="n">
        <x:v>5719.396599999999</x:v>
      </x:c>
      <x:c r="H19" s="17" t="n">
        <x:f>G19*F19</x:f>
        <x:v>28596.982999999997</x:v>
      </x:c>
      <x:c r="I19" s="22" t="str">
        <x:f>HYPERLINK("https://etp-aktiv.ru/catalog/materialy/truboprovodnaya-armatura-i-komplektuyushchie/2000539754-VG11/","Открыть позицию")</x:f>
        <x:v>Открыть позицию</x:v>
      </x:c>
    </x:row>
    <x:row r="20" ht="28" customHeight="1">
      <x:c r="A20" s="16" t="str">
        <x:v>КрасТЭК</x:v>
      </x:c>
      <x:c r="B20" s="16" t="str">
        <x:v>2000028317-VG11</x:v>
      </x:c>
      <x:c r="C20" s="16" t="str">
        <x:v>КРАН 11Б18БК DN15 PN16</x:v>
      </x:c>
      <x:c r="D20" s="16" t="str">
        <x:v>Армат из медн сплав</x:v>
      </x:c>
      <x:c r="E20" s="16" t="str">
        <x:v>ШТ</x:v>
      </x:c>
      <x:c r="F20" s="21" t="n">
        <x:v>4</x:v>
      </x:c>
      <x:c r="G20" s="17" t="n">
        <x:v>109.4584</x:v>
      </x:c>
      <x:c r="H20" s="17" t="n">
        <x:f>G20*F20</x:f>
        <x:v>437.8336</x:v>
      </x:c>
      <x:c r="I20" s="22" t="str">
        <x:f>HYPERLINK("https://etp-aktiv.ru/catalog/materialy/truboprovodnaya-armatura-i-komplektuyushchie/2000028317-VG11/","Открыть позицию")</x:f>
        <x:v>Открыть позицию</x:v>
      </x:c>
    </x:row>
    <x:row r="21" ht="28" customHeight="1">
      <x:c r="A21" s="16" t="str">
        <x:v>КрасТЭК</x:v>
      </x:c>
      <x:c r="B21" s="16" t="str">
        <x:v>2000004616-VG11</x:v>
      </x:c>
      <x:c r="C21" s="16" t="str">
        <x:v>КРАН 11Б27П DN25 PN16</x:v>
      </x:c>
      <x:c r="D21" s="16" t="str">
        <x:v>Армат из медн сплав</x:v>
      </x:c>
      <x:c r="E21" s="16" t="str">
        <x:v>ШТ</x:v>
      </x:c>
      <x:c r="F21" s="21" t="n">
        <x:v>15</x:v>
      </x:c>
      <x:c r="G21" s="17" t="n">
        <x:v>95.16</x:v>
      </x:c>
      <x:c r="H21" s="17" t="n">
        <x:f>G21*F21</x:f>
        <x:v>1427.3999999999999</x:v>
      </x:c>
      <x:c r="I21" s="22" t="str">
        <x:f>HYPERLINK("https://etp-aktiv.ru/catalog/materialy/truboprovodnaya-armatura-i-komplektuyushchie/2000004616-VG11/","Открыть позицию")</x:f>
        <x:v>Открыть позицию</x:v>
      </x:c>
    </x:row>
    <x:row r="22" ht="28" customHeight="1">
      <x:c r="A22" s="16" t="str">
        <x:v>КрасТЭК</x:v>
      </x:c>
      <x:c r="B22" s="16" t="str">
        <x:v>2000140483-VG11</x:v>
      </x:c>
      <x:c r="C22" s="16" t="str">
        <x:v>КРАН 11Б27П DN32 PN16</x:v>
      </x:c>
      <x:c r="D22" s="16" t="str">
        <x:v>Армат из медн сплав</x:v>
      </x:c>
      <x:c r="E22" s="16" t="str">
        <x:v>ШТ</x:v>
      </x:c>
      <x:c r="F22" s="21" t="n">
        <x:v>16</x:v>
      </x:c>
      <x:c r="G22" s="17" t="n">
        <x:v>187.3432</x:v>
      </x:c>
      <x:c r="H22" s="17" t="n">
        <x:f>G22*F22</x:f>
        <x:v>2997.4912</x:v>
      </x:c>
      <x:c r="I22" s="22" t="str">
        <x:f>HYPERLINK("https://etp-aktiv.ru/catalog/materialy/truboprovodnaya-armatura-i-komplektuyushchie/2000140483-VG11/","Открыть позицию")</x:f>
        <x:v>Открыть позицию</x:v>
      </x:c>
    </x:row>
    <x:row r="23" ht="28" customHeight="1">
      <x:c r="A23" s="16" t="str">
        <x:v>КрасТЭК</x:v>
      </x:c>
      <x:c r="B23" s="16" t="str">
        <x:v>2000006752-VG11</x:v>
      </x:c>
      <x:c r="C23" s="16" t="str">
        <x:v>КРАН 11Б27П1 DN32 PN16</x:v>
      </x:c>
      <x:c r="D23" s="16" t="str">
        <x:v>Армат из медн сплав</x:v>
      </x:c>
      <x:c r="E23" s="16" t="str">
        <x:v>ШТ</x:v>
      </x:c>
      <x:c r="F23" s="21" t="n">
        <x:v>37</x:v>
      </x:c>
      <x:c r="G23" s="17" t="n">
        <x:v>213.5</x:v>
      </x:c>
      <x:c r="H23" s="17" t="n">
        <x:f>G23*F23</x:f>
        <x:v>7899.5</x:v>
      </x:c>
      <x:c r="I23" s="22" t="str">
        <x:f>HYPERLINK("https://etp-aktiv.ru/catalog/materialy/truboprovodnaya-armatura-i-komplektuyushchie/2000006752-VG11/","Открыть позицию")</x:f>
        <x:v>Открыть позицию</x:v>
      </x:c>
    </x:row>
    <x:row r="24" ht="28" customHeight="1">
      <x:c r="A24" s="16" t="str">
        <x:v>КрасТЭК</x:v>
      </x:c>
      <x:c r="B24" s="16" t="str">
        <x:v>2000259114-VG11</x:v>
      </x:c>
      <x:c r="C24" s="16" t="str">
        <x:v>КРАН ШАРОВЫЙ 11Б27ПА11 DN15 PN16</x:v>
      </x:c>
      <x:c r="D24" s="16" t="str">
        <x:v>Армат из медн сплав</x:v>
      </x:c>
      <x:c r="E24" s="16" t="str">
        <x:v>ШТ</x:v>
      </x:c>
      <x:c r="F24" s="21" t="n">
        <x:v>37</x:v>
      </x:c>
      <x:c r="G24" s="17" t="n">
        <x:v>66.8072</x:v>
      </x:c>
      <x:c r="H24" s="17" t="n">
        <x:f>G24*F24</x:f>
        <x:v>2471.8664</x:v>
      </x:c>
      <x:c r="I24" s="22" t="str">
        <x:f>HYPERLINK("https://etp-aktiv.ru/catalog/materialy/truboprovodnaya-armatura-i-komplektuyushchie/2000259114-VG11/","Открыть позицию")</x:f>
        <x:v>Открыть позицию</x:v>
      </x:c>
    </x:row>
    <x:row r="25" ht="28" customHeight="1">
      <x:c r="A25" s="16" t="str">
        <x:v>КрасТЭК</x:v>
      </x:c>
      <x:c r="B25" s="16" t="str">
        <x:v>2000622754-VG11</x:v>
      </x:c>
      <x:c r="C25" s="16" t="str">
        <x:v>ОТВОД 90 СТ3 820*11-25 158ОСТ34.10.752</x:v>
      </x:c>
      <x:c r="D25" s="16" t="str">
        <x:v>Детали фасонные</x:v>
      </x:c>
      <x:c r="E25" s="16" t="str">
        <x:v>ШТ</x:v>
      </x:c>
      <x:c r="F25" s="21" t="n">
        <x:v>2</x:v>
      </x:c>
      <x:c r="G25" s="17" t="n">
        <x:v>10127.268800000002</x:v>
      </x:c>
      <x:c r="H25" s="17" t="n">
        <x:f>G25*F25</x:f>
        <x:v>20254.537600000003</x:v>
      </x:c>
      <x:c r="I25" s="22" t="str">
        <x:f>HYPERLINK("https://etp-aktiv.ru/catalog/materialy/truboprovody/2000622754-VG11/","Открыть позицию")</x:f>
        <x:v>Открыть позицию</x:v>
      </x:c>
    </x:row>
    <x:row r="26" ht="28" customHeight="1">
      <x:c r="A26" s="16" t="str">
        <x:v>КрасТЭК</x:v>
      </x:c>
      <x:c r="B26" s="16" t="str">
        <x:v>2000813687-VG11</x:v>
      </x:c>
      <x:c r="C26" s="16" t="str">
        <x:v>ОТВОД П 90 СТ20 325*10 ГОСТ17375-2001</x:v>
      </x:c>
      <x:c r="D26" s="16" t="str">
        <x:v>Детали фасонные</x:v>
      </x:c>
      <x:c r="E26" s="16" t="str">
        <x:v>ШТ</x:v>
      </x:c>
      <x:c r="F26" s="21" t="n">
        <x:v>0</x:v>
      </x:c>
      <x:c r="G26" s="17" t="n">
        <x:v>2445.3192</x:v>
      </x:c>
      <x:c r="H26" s="17" t="n">
        <x:f>G26*F26</x:f>
        <x:v>0</x:v>
      </x:c>
      <x:c r="I26" s="22" t="str">
        <x:f>HYPERLINK("https://etp-aktiv.ru/catalog/materialy/truboprovody/2000813687-VG11/","Открыть позицию")</x:f>
        <x:v>Открыть позицию</x:v>
      </x:c>
    </x:row>
    <x:row r="27" ht="28" customHeight="1">
      <x:c r="A27" s="16" t="str">
        <x:v>КрасТЭК</x:v>
      </x:c>
      <x:c r="B27" s="16" t="str">
        <x:v>2000758239-VG11</x:v>
      </x:c>
      <x:c r="C27" s="16" t="str">
        <x:v>ПЕРЕХОД К СТ20 133*5-108*4 ГОСТ17378</x:v>
      </x:c>
      <x:c r="D27" s="16" t="str">
        <x:v>Детали фасонные</x:v>
      </x:c>
      <x:c r="E27" s="16" t="str">
        <x:v>ШТ</x:v>
      </x:c>
      <x:c r="F27" s="21" t="n">
        <x:v>14</x:v>
      </x:c>
      <x:c r="G27" s="17" t="n">
        <x:v>614.4774</x:v>
      </x:c>
      <x:c r="H27" s="17" t="n">
        <x:f>G27*F27</x:f>
        <x:v>8602.6836</x:v>
      </x:c>
      <x:c r="I27" s="22" t="str">
        <x:f>HYPERLINK("https://etp-aktiv.ru/catalog/materialy/truboprovody/2000758239-VG11/","Открыть позицию")</x:f>
        <x:v>Открыть позицию</x:v>
      </x:c>
    </x:row>
    <x:row r="28" ht="28" customHeight="1">
      <x:c r="A28" s="16" t="str">
        <x:v>КрасТЭК</x:v>
      </x:c>
      <x:c r="B28" s="16" t="str">
        <x:v>2000377915-VG11</x:v>
      </x:c>
      <x:c r="C28" s="16" t="str">
        <x:v>ПЕРЕХОД К СТ20 426*10 325 8 ГОСТ17378-83</x:v>
      </x:c>
      <x:c r="D28" s="16" t="str">
        <x:v>Детали фасонные</x:v>
      </x:c>
      <x:c r="E28" s="16" t="str">
        <x:v>ШТ</x:v>
      </x:c>
      <x:c r="F28" s="21" t="n">
        <x:v>1</x:v>
      </x:c>
      <x:c r="G28" s="17" t="n">
        <x:v>1281.915</x:v>
      </x:c>
      <x:c r="H28" s="17" t="n">
        <x:f>G28*F28</x:f>
        <x:v>1281.915</x:v>
      </x:c>
      <x:c r="I28" s="22" t="str">
        <x:f>HYPERLINK("https://etp-aktiv.ru/catalog/materialy/truboprovody/2000377915-VG11/","Открыть позицию")</x:f>
        <x:v>Открыть позицию</x:v>
      </x:c>
    </x:row>
    <x:row r="29" ht="28" customHeight="1">
      <x:c r="A29" s="16" t="str">
        <x:v>КрасТЭК</x:v>
      </x:c>
      <x:c r="B29" s="16" t="str">
        <x:v>2000552747-VG11</x:v>
      </x:c>
      <x:c r="C29" s="16" t="str">
        <x:v>РЕДУКТОР 15807 DN300</x:v>
      </x:c>
      <x:c r="D29" s="16" t="str">
        <x:v>Приводы арматуры</x:v>
      </x:c>
      <x:c r="E29" s="16" t="str">
        <x:v>ШТ</x:v>
      </x:c>
      <x:c r="F29" s="21" t="n">
        <x:v>3</x:v>
      </x:c>
      <x:c r="G29" s="17" t="n">
        <x:v>1878.9586000000002</x:v>
      </x:c>
      <x:c r="H29" s="17" t="n">
        <x:f>G29*F29</x:f>
        <x:v>5636.875800000001</x:v>
      </x:c>
      <x:c r="I29" s="22" t="str">
        <x:f>HYPERLINK("https://etp-aktiv.ru/catalog/materialy/truboprovodnaya-armatura-i-komplektuyushchie/2000552747-VG11/","Открыть позицию")</x:f>
        <x:v>Открыть позицию</x:v>
      </x:c>
    </x:row>
    <x:row r="30" ht="28" customHeight="1">
      <x:c r="A30" s="16" t="str">
        <x:v>КрасТЭК</x:v>
      </x:c>
      <x:c r="B30" s="16" t="str">
        <x:v>2001158892-VG11</x:v>
      </x:c>
      <x:c r="C30" s="16" t="str">
        <x:v>РЕДУКТОР Д/ЗАТВ BENARMO ДУ40-80 107-7901</x:v>
      </x:c>
      <x:c r="D30" s="16" t="str">
        <x:v>Приводы арматуры</x:v>
      </x:c>
      <x:c r="E30" s="16" t="str">
        <x:v>ШТ</x:v>
      </x:c>
      <x:c r="F30" s="21" t="n">
        <x:v>13</x:v>
      </x:c>
      <x:c r="G30" s="17" t="n">
        <x:v>1724.0186</x:v>
      </x:c>
      <x:c r="H30" s="17" t="n">
        <x:f>G30*F30</x:f>
        <x:v>22412.2418</x:v>
      </x:c>
      <x:c r="I30" s="22" t="str">
        <x:f>HYPERLINK("https://etp-aktiv.ru/catalog/materialy/truboprovodnaya-armatura-i-komplektuyushchie/2001158892-VG11/","Открыть позицию")</x:f>
        <x:v>Открыть позицию</x:v>
      </x:c>
    </x:row>
    <x:row r="31" ht="28" customHeight="1">
      <x:c r="A31" s="16" t="str">
        <x:v>КрасТЭК</x:v>
      </x:c>
      <x:c r="B31" s="16" t="str">
        <x:v>2001158893-VG11</x:v>
      </x:c>
      <x:c r="C31" s="16" t="str">
        <x:v>РЕДУКТОР Д/ЗАТВОР BENARMO ДУ100 107-7902</x:v>
      </x:c>
      <x:c r="D31" s="16" t="str">
        <x:v>Приводы арматуры</x:v>
      </x:c>
      <x:c r="E31" s="16" t="str">
        <x:v>ШТ</x:v>
      </x:c>
      <x:c r="F31" s="21" t="n">
        <x:v>14</x:v>
      </x:c>
      <x:c r="G31" s="17" t="n">
        <x:v>2907.1014</x:v>
      </x:c>
      <x:c r="H31" s="17" t="n">
        <x:f>G31*F31</x:f>
        <x:v>40699.4196</x:v>
      </x:c>
      <x:c r="I31" s="22" t="str">
        <x:f>HYPERLINK("https://etp-aktiv.ru/catalog/materialy/truboprovodnaya-armatura-i-komplektuyushchie/2001158893-VG11/","Открыть позицию")</x:f>
        <x:v>Открыть позицию</x:v>
      </x:c>
    </x:row>
    <x:row r="32" ht="28" customHeight="1">
      <x:c r="A32" s="16" t="str">
        <x:v>КрасТЭК</x:v>
      </x:c>
      <x:c r="B32" s="16" t="str">
        <x:v>2001158669-VG11</x:v>
      </x:c>
      <x:c r="C32" s="16" t="str">
        <x:v>РЕДУКТОР К ЗАТВОРУ VDN-BFR-D150-ESR</x:v>
      </x:c>
      <x:c r="D32" s="16" t="str">
        <x:v>Приводы арматуры</x:v>
      </x:c>
      <x:c r="E32" s="16" t="str">
        <x:v>ШТ</x:v>
      </x:c>
      <x:c r="F32" s="21" t="n">
        <x:v>4</x:v>
      </x:c>
      <x:c r="G32" s="17" t="n">
        <x:v>3631.4031999999997</x:v>
      </x:c>
      <x:c r="H32" s="17" t="n">
        <x:f>G32*F32</x:f>
        <x:v>14525.612799999999</x:v>
      </x:c>
      <x:c r="I32" s="22" t="str">
        <x:f>HYPERLINK("https://etp-aktiv.ru/catalog/materialy/truboprovodnaya-armatura-i-komplektuyushchie/2001158669-VG11/","Открыть позицию")</x:f>
        <x:v>Открыть позицию</x:v>
      </x:c>
    </x:row>
    <x:row r="33" ht="28" customHeight="1">
      <x:c r="A33" s="16" t="str">
        <x:v>КрасТЭК</x:v>
      </x:c>
      <x:c r="B33" s="16" t="str">
        <x:v>2000555195-VG11</x:v>
      </x:c>
      <x:c r="C33" s="16" t="str">
        <x:v>ТРОЙНИК 09Г2С 273*10-273 ГОСТ17376-01</x:v>
      </x:c>
      <x:c r="D33" s="16" t="str">
        <x:v>Детали фасонные</x:v>
      </x:c>
      <x:c r="E33" s="16" t="str">
        <x:v>ШТ</x:v>
      </x:c>
      <x:c r="F33" s="21" t="n">
        <x:v>2</x:v>
      </x:c>
      <x:c r="G33" s="17" t="n">
        <x:v>8574.6968</x:v>
      </x:c>
      <x:c r="H33" s="17" t="n">
        <x:f>G33*F33</x:f>
        <x:v>17149.3936</x:v>
      </x:c>
      <x:c r="I33" s="22" t="str">
        <x:f>HYPERLINK("https://etp-aktiv.ru/catalog/materialy/truboprovody/2000555195-VG11/","Открыть позицию")</x:f>
        <x:v>Открыть позицию</x:v>
      </x:c>
    </x:row>
    <x:row r="34" ht="28" customHeight="1">
      <x:c r="A34" s="16" t="str">
        <x:v>КрасТЭК</x:v>
      </x:c>
      <x:c r="B34" s="16" t="str">
        <x:v>2000557807-VG11</x:v>
      </x:c>
      <x:c r="C34" s="16" t="str">
        <x:v>ТРУБА 09Г2С 273*8 ГОСТ8731-74</x:v>
      </x:c>
      <x:c r="D34" s="16" t="str">
        <x:v>Трубы черные бесшов</x:v>
      </x:c>
      <x:c r="E34" s="16" t="str">
        <x:v>Т</x:v>
      </x:c>
      <x:c r="F34" s="30" t="n">
        <x:v>0.164</x:v>
      </x:c>
      <x:c r="G34" s="17" t="n">
        <x:v>27450</x:v>
      </x:c>
      <x:c r="H34" s="17" t="n">
        <x:f>G34*F34</x:f>
        <x:v>4501.8</x:v>
      </x:c>
      <x:c r="I34" s="22" t="str">
        <x:f>HYPERLINK("https://etp-aktiv.ru/catalog/materialy/truby-stalnye-i-polimernye/2000557807-VG11/","Открыть позицию")</x:f>
        <x:v>Открыть позицию</x:v>
      </x:c>
    </x:row>
    <x:row r="35" ht="28" customHeight="1">
      <x:c r="A35" s="16" t="str">
        <x:v>КрасТЭК</x:v>
      </x:c>
      <x:c r="B35" s="16" t="str">
        <x:v>2000560351-VG11</x:v>
      </x:c>
      <x:c r="C35" s="16" t="str">
        <x:v>ТРУБА 09Г2С 273*8 ТУ14-3-1128-00</x:v>
      </x:c>
      <x:c r="D35" s="16" t="str">
        <x:v>Трубы черные бесшов</x:v>
      </x:c>
      <x:c r="E35" s="16" t="str">
        <x:v>Т</x:v>
      </x:c>
      <x:c r="F35" s="26" t="n">
        <x:v>2.196</x:v>
      </x:c>
      <x:c r="G35" s="17" t="n">
        <x:v>101793.75</x:v>
      </x:c>
      <x:c r="H35" s="17" t="n">
        <x:f>G35*F35</x:f>
        <x:v>223539.075</x:v>
      </x:c>
      <x:c r="I35" s="22" t="str">
        <x:f>HYPERLINK("https://etp-aktiv.ru/catalog/materialy/truby-stalnye-i-polimernye/2000560351-VG11/","Открыть позицию")</x:f>
        <x:v>Открыть позицию</x:v>
      </x:c>
    </x:row>
    <x:row r="36" ht="28" customHeight="1">
      <x:c r="A36" s="16" t="str">
        <x:v>КрасТЭК</x:v>
      </x:c>
      <x:c r="B36" s="16" t="str">
        <x:v>2000145235-VG11</x:v>
      </x:c>
      <x:c r="C36" s="16" t="str">
        <x:v>ТРУБА Б/Ш СТ20 Г/Д 273*8 ГОСТ8732-78</x:v>
      </x:c>
      <x:c r="D36" s="16" t="str">
        <x:v>Трубы черные бесшов</x:v>
      </x:c>
      <x:c r="E36" s="16" t="str">
        <x:v>Т</x:v>
      </x:c>
      <x:c r="F36" s="21" t="n">
        <x:v>0</x:v>
      </x:c>
      <x:c r="G36" s="17" t="n">
        <x:v>26763.75</x:v>
      </x:c>
      <x:c r="H36" s="17" t="n">
        <x:f>G36*F36</x:f>
        <x:v>0</x:v>
      </x:c>
      <x:c r="I36" s="22" t="str">
        <x:f>HYPERLINK("https://etp-aktiv.ru/catalog/materialy/truby-stalnye-i-polimernye/2000145235-VG11/","Открыть позицию")</x:f>
        <x:v>Открыть позицию</x:v>
      </x:c>
    </x:row>
    <x:row r="37" ht="28" customHeight="1">
      <x:c r="A37" s="16" t="str">
        <x:v>КрасТЭК</x:v>
      </x:c>
      <x:c r="B37" s="16" t="str">
        <x:v>2000726241-VG11</x:v>
      </x:c>
      <x:c r="C37" s="16" t="str">
        <x:v>ТРУБА Б/Ш СТ20 Г/Д 325*8 ГОСТ8732-78</x:v>
      </x:c>
      <x:c r="D37" s="16" t="str">
        <x:v>Трубы черные бесшов</x:v>
      </x:c>
      <x:c r="E37" s="16" t="str">
        <x:v>Т</x:v>
      </x:c>
      <x:c r="F37" s="30" t="n">
        <x:v>0.286</x:v>
      </x:c>
      <x:c r="G37" s="17" t="n">
        <x:v>26077.5</x:v>
      </x:c>
      <x:c r="H37" s="17" t="n">
        <x:f>G37*F37</x:f>
        <x:v>7458.164999999999</x:v>
      </x:c>
      <x:c r="I37" s="22" t="str">
        <x:f>HYPERLINK("https://etp-aktiv.ru/catalog/materialy/truby-stalnye-i-polimernye/2000726241-VG11/","Открыть позицию")</x:f>
        <x:v>Открыть позицию</x:v>
      </x:c>
    </x:row>
    <x:row r="38" ht="28" customHeight="1">
      <x:c r="A38" s="16" t="str">
        <x:v>КрасТЭК</x:v>
      </x:c>
      <x:c r="B38" s="16" t="str">
        <x:v>2000145247-VG11</x:v>
      </x:c>
      <x:c r="C38" s="16" t="str">
        <x:v>ТРУБА Б/Ш СТ20 Г/Д 426*10 ГОСТ8732-78</x:v>
      </x:c>
      <x:c r="D38" s="16" t="str">
        <x:v>Трубы черные бесшов</x:v>
      </x:c>
      <x:c r="E38" s="16" t="str">
        <x:v>Т</x:v>
      </x:c>
      <x:c r="F38" s="21" t="n">
        <x:v>0</x:v>
      </x:c>
      <x:c r="G38" s="17" t="n">
        <x:v>32253.75</x:v>
      </x:c>
      <x:c r="H38" s="17" t="n">
        <x:f>G38*F38</x:f>
        <x:v>0</x:v>
      </x:c>
      <x:c r="I38" s="22" t="str">
        <x:f>HYPERLINK("https://etp-aktiv.ru/catalog/materialy/truby-stalnye-i-polimernye/2000145247-VG11/","Открыть позицию")</x:f>
        <x:v>Открыть позицию</x:v>
      </x:c>
    </x:row>
    <x:row r="39" ht="28" customHeight="1">
      <x:c r="A39" s="16" t="str">
        <x:v>КрасТЭК</x:v>
      </x:c>
      <x:c r="B39" s="16" t="str">
        <x:v>2000282347-VG11</x:v>
      </x:c>
      <x:c r="C39" s="16" t="str">
        <x:v>ТРУБА Б/Ш СТ20 Г/Д 426*9 ГОСТ8732-78</x:v>
      </x:c>
      <x:c r="D39" s="16" t="str">
        <x:v>Трубы черные бесшов</x:v>
      </x:c>
      <x:c r="E39" s="16" t="str">
        <x:v>Т</x:v>
      </x:c>
      <x:c r="F39" s="21" t="n">
        <x:v>0</x:v>
      </x:c>
      <x:c r="G39" s="17" t="n">
        <x:v>27450</x:v>
      </x:c>
      <x:c r="H39" s="17" t="n">
        <x:f>G39*F39</x:f>
        <x:v>0</x:v>
      </x:c>
      <x:c r="I39" s="22" t="str">
        <x:f>HYPERLINK("https://etp-aktiv.ru/catalog/materialy/truby-stalnye-i-polimernye/2000282347-VG11/","Открыть позицию")</x:f>
        <x:v>Открыть позицию</x:v>
      </x:c>
    </x:row>
    <x:row r="40" ht="28" customHeight="1">
      <x:c r="A40" s="16" t="str">
        <x:v>КрасТЭК</x:v>
      </x:c>
      <x:c r="B40" s="16" t="str">
        <x:v>2000560199-VG11</x:v>
      </x:c>
      <x:c r="C40" s="16" t="str">
        <x:v>ТРУБА СТ20 273*6 ГОСТ8731-74</x:v>
      </x:c>
      <x:c r="D40" s="16" t="str">
        <x:v>Трубы черные бесшов</x:v>
      </x:c>
      <x:c r="E40" s="16" t="str">
        <x:v>Т</x:v>
      </x:c>
      <x:c r="F40" s="21" t="n">
        <x:v>0</x:v>
      </x:c>
      <x:c r="G40" s="17" t="n">
        <x:v>34998.75</x:v>
      </x:c>
      <x:c r="H40" s="17" t="n">
        <x:f>G40*F40</x:f>
        <x:v>0</x:v>
      </x:c>
      <x:c r="I40" s="22" t="str">
        <x:f>HYPERLINK("https://etp-aktiv.ru/catalog/materialy/truby-stalnye-i-polimernye/2000560199-VG11/","Открыть позицию")</x:f>
        <x:v>Открыть позицию</x:v>
      </x:c>
    </x:row>
    <x:row r="41" ht="28" customHeight="1">
      <x:c r="A41" s="16" t="str">
        <x:v>КрасТЭК</x:v>
      </x:c>
      <x:c r="B41" s="16" t="str">
        <x:v>2000560515-VG11</x:v>
      </x:c>
      <x:c r="C41" s="16" t="str">
        <x:v>ТРУБА СТ20 377*10 ГОСТ10705-80</x:v>
      </x:c>
      <x:c r="D41" s="16" t="str">
        <x:v>ТрбЧерСварМалСрдДиам</x:v>
      </x:c>
      <x:c r="E41" s="16" t="str">
        <x:v>Т</x:v>
      </x:c>
      <x:c r="F41" s="21" t="n">
        <x:v>0</x:v>
      </x:c>
      <x:c r="G41" s="17" t="n">
        <x:v>18300</x:v>
      </x:c>
      <x:c r="H41" s="17" t="n">
        <x:f>G41*F41</x:f>
        <x:v>0</x:v>
      </x:c>
      <x:c r="I41" s="22" t="str">
        <x:f>HYPERLINK("https://etp-aktiv.ru/catalog/materialy/truby-stalnye-i-polimernye/2000560515-VG11/","Открыть позицию")</x:f>
        <x:v>Открыть позицию</x:v>
      </x:c>
    </x:row>
    <x:row r="42" ht="28" customHeight="1">
      <x:c r="A42" s="16" t="str">
        <x:v>КрасТЭК</x:v>
      </x:c>
      <x:c r="B42" s="16" t="str">
        <x:v>2000560600-VG11</x:v>
      </x:c>
      <x:c r="C42" s="16" t="str">
        <x:v>ТРУБА СТ20 630*8 ГОСТ20295-85</x:v>
      </x:c>
      <x:c r="D42" s="16" t="str">
        <x:v>ТрубЧерСварБольшДиам</x:v>
      </x:c>
      <x:c r="E42" s="16" t="str">
        <x:v>Т</x:v>
      </x:c>
      <x:c r="F42" s="30" t="n">
        <x:v>0.426</x:v>
      </x:c>
      <x:c r="G42" s="17" t="n">
        <x:v>18300</x:v>
      </x:c>
      <x:c r="H42" s="17" t="n">
        <x:f>G42*F42</x:f>
        <x:v>7795.8</x:v>
      </x:c>
      <x:c r="I42" s="22" t="str">
        <x:f>HYPERLINK("https://etp-aktiv.ru/catalog/materialy/truby-stalnye-i-polimernye/2000560600-VG11/","Открыть позицию")</x:f>
        <x:v>Открыть позицию</x:v>
      </x:c>
    </x:row>
    <x:row r="43" ht="28" customHeight="1">
      <x:c r="A43" s="16" t="str">
        <x:v>КрасТЭК</x:v>
      </x:c>
      <x:c r="B43" s="16" t="str">
        <x:v>2000481291-VG11</x:v>
      </x:c>
      <x:c r="C43" s="16" t="str">
        <x:v>ТРУБА Э/С П/Ш 09Г2С 720*9 ГОСТ10705-80</x:v>
      </x:c>
      <x:c r="D43" s="16" t="str">
        <x:v>ТрубЧерСварБольшДиам</x:v>
      </x:c>
      <x:c r="E43" s="16" t="str">
        <x:v>Т</x:v>
      </x:c>
      <x:c r="F43" s="21" t="n">
        <x:v>0</x:v>
      </x:c>
      <x:c r="G43" s="17" t="n">
        <x:v>18300</x:v>
      </x:c>
      <x:c r="H43" s="17" t="n">
        <x:f>G43*F43</x:f>
        <x:v>0</x:v>
      </x:c>
      <x:c r="I43" s="22" t="str">
        <x:f>HYPERLINK("https://etp-aktiv.ru/catalog/materialy/truby-stalnye-i-polimernye/2000481291-VG11/","Открыть позицию")</x:f>
        <x:v>Открыть позицию</x:v>
      </x:c>
    </x:row>
    <x:row r="44" ht="28" customHeight="1">
      <x:c r="A44" s="16" t="str">
        <x:v>КрасТЭК</x:v>
      </x:c>
      <x:c r="B44" s="16" t="str">
        <x:v>2000460322-VG11</x:v>
      </x:c>
      <x:c r="C44" s="16" t="str">
        <x:v>ТРУБА Э/С СТ20 1020*11 ГОСТ20295-85</x:v>
      </x:c>
      <x:c r="D44" s="16" t="str">
        <x:v>ТрубЧерСварБольшДиам</x:v>
      </x:c>
      <x:c r="E44" s="16" t="str">
        <x:v>Т</x:v>
      </x:c>
      <x:c r="F44" s="21" t="n">
        <x:v>0</x:v>
      </x:c>
      <x:c r="G44" s="17" t="n">
        <x:v>18300</x:v>
      </x:c>
      <x:c r="H44" s="17" t="n">
        <x:f>G44*F44</x:f>
        <x:v>0</x:v>
      </x:c>
      <x:c r="I44" s="22" t="str">
        <x:f>HYPERLINK("https://etp-aktiv.ru/catalog/materialy/truby-stalnye-i-polimernye/2000460322-VG11/","Открыть позицию")</x:f>
        <x:v>Открыть позицию</x:v>
      </x:c>
    </x:row>
    <x:row r="45" ht="28" customHeight="1">
      <x:c r="A45" s="16" t="str">
        <x:v>КрасТЭК</x:v>
      </x:c>
      <x:c r="B45" s="16" t="str">
        <x:v>2000009578-VG11</x:v>
      </x:c>
      <x:c r="C45" s="16" t="str">
        <x:v>ФЛАНЕЦ СТ DN250 PN16 ПЛОСК ГОСТ12820-81</x:v>
      </x:c>
      <x:c r="D45" s="16" t="str">
        <x:v>Детали фасонные</x:v>
      </x:c>
      <x:c r="E45" s="16" t="str">
        <x:v>ШТ</x:v>
      </x:c>
      <x:c r="F45" s="21" t="n">
        <x:v>0</x:v>
      </x:c>
      <x:c r="G45" s="17" t="n">
        <x:v>687.7628</x:v>
      </x:c>
      <x:c r="H45" s="17" t="n">
        <x:f>G45*F45</x:f>
        <x:v>0</x:v>
      </x:c>
      <x:c r="I45" s="22" t="str">
        <x:f>HYPERLINK("https://etp-aktiv.ru/catalog/materialy/truboprovody/2000009578-VG11/","Открыть позицию")</x:f>
        <x:v>Открыть позицию</x:v>
      </x:c>
    </x:row>
    <x:row r="46" ht="28" customHeight="1">
      <x:c r="A46" s="16" t="str">
        <x:v>КрасТЭК</x:v>
      </x:c>
      <x:c r="B46" s="16" t="str">
        <x:v>2000554668-VG11</x:v>
      </x:c>
      <x:c r="C46" s="16" t="str">
        <x:v>ФЛАНЕЦ СТ20 DN100 PN16 ИСП.1 ГОСТ33259</x:v>
      </x:c>
      <x:c r="D46" s="16" t="str">
        <x:v>Детали фасонные</x:v>
      </x:c>
      <x:c r="E46" s="16" t="str">
        <x:v>ШТ</x:v>
      </x:c>
      <x:c r="F46" s="21" t="n">
        <x:v>23</x:v>
      </x:c>
      <x:c r="G46" s="17" t="n">
        <x:v>385.2028</x:v>
      </x:c>
      <x:c r="H46" s="17" t="n">
        <x:f>G46*F46</x:f>
        <x:v>8859.664400000001</x:v>
      </x:c>
      <x:c r="I46" s="22" t="str">
        <x:f>HYPERLINK("https://etp-aktiv.ru/catalog/materialy/truboprovody/2000554668-VG11/","Открыть позицию")</x:f>
        <x:v>Открыть позицию</x:v>
      </x:c>
    </x:row>
    <x:row r="47" ht="28" customHeight="1">
      <x:c r="A47" s="16" t="str">
        <x:v>КрасТЭК</x:v>
      </x:c>
      <x:c r="B47" s="16" t="str">
        <x:v>2000577633-VG11</x:v>
      </x:c>
      <x:c r="C47" s="16" t="str">
        <x:v>ФЛАНЕЦ СТ20 DN100 PN16 ПОКРЫТИЕ ПП ГПП</x:v>
      </x:c>
      <x:c r="D47" s="16" t="str">
        <x:v>Детали фасонные</x:v>
      </x:c>
      <x:c r="E47" s="16" t="str">
        <x:v>ШТ</x:v>
      </x:c>
      <x:c r="F47" s="21" t="n">
        <x:v>6</x:v>
      </x:c>
      <x:c r="G47" s="17" t="n">
        <x:v>306.19559999999996</x:v>
      </x:c>
      <x:c r="H47" s="17" t="n">
        <x:f>G47*F47</x:f>
        <x:v>1837.1735999999996</x:v>
      </x:c>
      <x:c r="I47" s="22" t="str">
        <x:f>HYPERLINK("https://etp-aktiv.ru/catalog/materialy/truboprovody/2000577633-VG11/","Открыть позицию")</x:f>
        <x:v>Открыть позицию</x:v>
      </x:c>
    </x:row>
    <x:row r="48" ht="28" customHeight="1">
      <x:c r="A48" s="16" t="str">
        <x:v>КрасТЭК</x:v>
      </x:c>
      <x:c r="B48" s="16" t="str">
        <x:v>2000554760-VG11</x:v>
      </x:c>
      <x:c r="C48" s="16" t="str">
        <x:v>ФЛАНЕЦ СТ20 DN150 PN10 ИСП.1 ГОСТ33259</x:v>
      </x:c>
      <x:c r="D48" s="16" t="str">
        <x:v>Детали фасонные</x:v>
      </x:c>
      <x:c r="E48" s="16" t="str">
        <x:v>ШТ</x:v>
      </x:c>
      <x:c r="F48" s="21" t="n">
        <x:v>8</x:v>
      </x:c>
      <x:c r="G48" s="17" t="n">
        <x:v>421.7296</x:v>
      </x:c>
      <x:c r="H48" s="17" t="n">
        <x:f>G48*F48</x:f>
        <x:v>3373.8368</x:v>
      </x:c>
      <x:c r="I48" s="22" t="str">
        <x:f>HYPERLINK("https://etp-aktiv.ru/catalog/materialy/truboprovody/2000554760-VG11/","Открыть позицию")</x:f>
        <x:v>Открыть позицию</x:v>
      </x:c>
    </x:row>
    <x:row r="49" ht="28" customHeight="1">
      <x:c r="A49" s="16" t="str">
        <x:v>КрасТЭК</x:v>
      </x:c>
      <x:c r="B49" s="16" t="str">
        <x:v>2000706350-VG11</x:v>
      </x:c>
      <x:c r="C49" s="16" t="str">
        <x:v>ЭЛЕКТРОПРИВОД МНОГООБОР DN.RU МТ-300-220</x:v>
      </x:c>
      <x:c r="D49" s="16" t="str">
        <x:v>Приводы арматуры</x:v>
      </x:c>
      <x:c r="E49" s="16" t="str">
        <x:v>ШТ</x:v>
      </x:c>
      <x:c r="F49" s="21" t="n">
        <x:v>1</x:v>
      </x:c>
      <x:c r="G49" s="17" t="n">
        <x:v>18831.1636</x:v>
      </x:c>
      <x:c r="H49" s="17" t="n">
        <x:f>G49*F49</x:f>
        <x:v>18831.1636</x:v>
      </x:c>
      <x:c r="I49" s="22" t="str">
        <x:f>HYPERLINK("https://etp-aktiv.ru/catalog/materialy/truboprovodnaya-armatura-i-komplektuyushchie/2000706350-VG11/","Открыть позицию")</x:f>
        <x:v>Открыть позицию</x:v>
      </x:c>
    </x:row>
    <x:row r="50" ht="28" customHeight="1">
      <x:c r="A50" s="16" t="str">
        <x:v>Красноярская ГРЭС-2</x:v>
      </x:c>
      <x:c r="B50" s="16" t="str">
        <x:v>2000646206-V116</x:v>
      </x:c>
      <x:c r="C50" s="16" t="str">
        <x:v>@{ПРИВОД ББ099.098-03 МI-У</x:v>
      </x:c>
      <x:c r="D50" s="16" t="str">
        <x:v>Приводы арматуры</x:v>
      </x:c>
      <x:c r="E50" s="16" t="str">
        <x:v>ШТ</x:v>
      </x:c>
      <x:c r="F50" s="21" t="n">
        <x:v>0</x:v>
      </x:c>
      <x:c r="G50" s="17" t="n">
        <x:v>22340.2984</x:v>
      </x:c>
      <x:c r="H50" s="17" t="n">
        <x:f>G50*F50</x:f>
        <x:v>0</x:v>
      </x:c>
      <x:c r="I50" s="22" t="str">
        <x:f>HYPERLINK("https://etp-aktiv.ru/catalog/materialy/truboprovodnaya-armatura-i-komplektuyushchie/2000646206-V116/","Открыть позицию")</x:f>
        <x:v>Открыть позицию</x:v>
      </x:c>
    </x:row>
    <x:row r="51" ht="28" customHeight="1">
      <x:c r="A51" s="16" t="str">
        <x:v>Красноярская ГРЭС-2</x:v>
      </x:c>
      <x:c r="B51" s="16" t="str">
        <x:v>2000553014-V116</x:v>
      </x:c>
      <x:c r="C51" s="16" t="str">
        <x:v>БЛОК ПРУЖИННЫЙ 04 ОСТ108.275.60-80</x:v>
      </x:c>
      <x:c r="D51" s="16" t="str">
        <x:v>Система опорн-подвес</x:v>
      </x:c>
      <x:c r="E51" s="16" t="str">
        <x:v>ШТ</x:v>
      </x:c>
      <x:c r="F51" s="21" t="n">
        <x:v>20</x:v>
      </x:c>
      <x:c r="G51" s="17" t="n">
        <x:v>1084.5922</x:v>
      </x:c>
      <x:c r="H51" s="17" t="n">
        <x:f>G51*F51</x:f>
        <x:v>21691.844</x:v>
      </x:c>
      <x:c r="I51" s="22" t="str">
        <x:f>HYPERLINK("https://etp-aktiv.ru/catalog/materialy/truboprovody/2000553014-V116/","Открыть позицию")</x:f>
        <x:v>Открыть позицию</x:v>
      </x:c>
    </x:row>
    <x:row r="52" ht="28" customHeight="1">
      <x:c r="A52" s="16" t="str">
        <x:v>Красноярская ГРЭС-2</x:v>
      </x:c>
      <x:c r="B52" s="16" t="str">
        <x:v>2000553016-V116</x:v>
      </x:c>
      <x:c r="C52" s="16" t="str">
        <x:v>БЛОК ПРУЖИННЫЙ 05 ОСТ108.275.58-80</x:v>
      </x:c>
      <x:c r="D52" s="16" t="str">
        <x:v>Система опорн-подвес</x:v>
      </x:c>
      <x:c r="E52" s="16" t="str">
        <x:v>ШТ</x:v>
      </x:c>
      <x:c r="F52" s="21" t="n">
        <x:v>1</x:v>
      </x:c>
      <x:c r="G52" s="17" t="n">
        <x:v>5645.879400000001</x:v>
      </x:c>
      <x:c r="H52" s="17" t="n">
        <x:f>G52*F52</x:f>
        <x:v>5645.879400000001</x:v>
      </x:c>
      <x:c r="I52" s="22" t="str">
        <x:f>HYPERLINK("https://etp-aktiv.ru/catalog/materialy/truboprovody/2000553016-V116/","Открыть позицию")</x:f>
        <x:v>Открыть позицию</x:v>
      </x:c>
    </x:row>
    <x:row r="53" ht="28" customHeight="1">
      <x:c r="A53" s="16" t="str">
        <x:v>Красноярская ГРЭС-2</x:v>
      </x:c>
      <x:c r="B53" s="16" t="str">
        <x:v>2000562440-V116</x:v>
      </x:c>
      <x:c r="C53" s="16" t="str">
        <x:v>БЛОК ПРУЖИННЫЙ 05 ОСТ108.275.59-80</x:v>
      </x:c>
      <x:c r="D53" s="16" t="str">
        <x:v>Система опорн-подвес</x:v>
      </x:c>
      <x:c r="E53" s="16" t="str">
        <x:v>ШТ</x:v>
      </x:c>
      <x:c r="F53" s="21" t="n">
        <x:v>1</x:v>
      </x:c>
      <x:c r="G53" s="17" t="n">
        <x:v>2027.884</x:v>
      </x:c>
      <x:c r="H53" s="17" t="n">
        <x:f>G53*F53</x:f>
        <x:v>2027.884</x:v>
      </x:c>
      <x:c r="I53" s="22" t="str">
        <x:f>HYPERLINK("https://etp-aktiv.ru/catalog/materialy/truboprovody/2000562440-V116/","Открыть позицию")</x:f>
        <x:v>Открыть позицию</x:v>
      </x:c>
    </x:row>
    <x:row r="54" ht="28" customHeight="1">
      <x:c r="A54" s="16" t="str">
        <x:v>Красноярская ГРЭС-2</x:v>
      </x:c>
      <x:c r="B54" s="16" t="str">
        <x:v>2000553017-V116</x:v>
      </x:c>
      <x:c r="C54" s="16" t="str">
        <x:v>БЛОК ПРУЖИННЫЙ 05 ОСТ108.275.60-80</x:v>
      </x:c>
      <x:c r="D54" s="16" t="str">
        <x:v>Система опорн-подвес</x:v>
      </x:c>
      <x:c r="E54" s="16" t="str">
        <x:v>ШТ</x:v>
      </x:c>
      <x:c r="F54" s="21" t="n">
        <x:v>3</x:v>
      </x:c>
      <x:c r="G54" s="17" t="n">
        <x:v>2281.0828</x:v>
      </x:c>
      <x:c r="H54" s="17" t="n">
        <x:f>G54*F54</x:f>
        <x:v>6843.2484</x:v>
      </x:c>
      <x:c r="I54" s="22" t="str">
        <x:f>HYPERLINK("https://etp-aktiv.ru/catalog/materialy/truboprovody/2000553017-V116/","Открыть позицию")</x:f>
        <x:v>Открыть позицию</x:v>
      </x:c>
    </x:row>
    <x:row r="55" ht="28" customHeight="1">
      <x:c r="A55" s="16" t="str">
        <x:v>Красноярская ГРЭС-2</x:v>
      </x:c>
      <x:c r="B55" s="16" t="str">
        <x:v>2000553019-V116</x:v>
      </x:c>
      <x:c r="C55" s="16" t="str">
        <x:v>БЛОК ПРУЖИННЫЙ 06 ОСТ108.275.59-80</x:v>
      </x:c>
      <x:c r="D55" s="16" t="str">
        <x:v>Система опорн-подвес</x:v>
      </x:c>
      <x:c r="E55" s="16" t="str">
        <x:v>ШТ</x:v>
      </x:c>
      <x:c r="F55" s="21" t="n">
        <x:v>1</x:v>
      </x:c>
      <x:c r="G55" s="17" t="n">
        <x:v>2288.6102</x:v>
      </x:c>
      <x:c r="H55" s="17" t="n">
        <x:f>G55*F55</x:f>
        <x:v>2288.6102</x:v>
      </x:c>
      <x:c r="I55" s="22" t="str">
        <x:f>HYPERLINK("https://etp-aktiv.ru/catalog/materialy/truboprovody/2000553019-V116/","Открыть позицию")</x:f>
        <x:v>Открыть позицию</x:v>
      </x:c>
    </x:row>
    <x:row r="56" ht="28" customHeight="1">
      <x:c r="A56" s="16" t="str">
        <x:v>Красноярская ГРЭС-2</x:v>
      </x:c>
      <x:c r="B56" s="16" t="str">
        <x:v>2000553020-V116</x:v>
      </x:c>
      <x:c r="C56" s="16" t="str">
        <x:v>БЛОК ПРУЖИННЫЙ 06 ОСТ108.275.60-80</x:v>
      </x:c>
      <x:c r="D56" s="16" t="str">
        <x:v>Система опорн-подвес</x:v>
      </x:c>
      <x:c r="E56" s="16" t="str">
        <x:v>ШТ</x:v>
      </x:c>
      <x:c r="F56" s="21" t="n">
        <x:v>2</x:v>
      </x:c>
      <x:c r="G56" s="17" t="n">
        <x:v>2573.6754</x:v>
      </x:c>
      <x:c r="H56" s="17" t="n">
        <x:f>G56*F56</x:f>
        <x:v>5147.3508</x:v>
      </x:c>
      <x:c r="I56" s="22" t="str">
        <x:f>HYPERLINK("https://etp-aktiv.ru/catalog/materialy/truboprovody/2000553020-V116/","Открыть позицию")</x:f>
        <x:v>Открыть позицию</x:v>
      </x:c>
    </x:row>
    <x:row r="57" ht="28" customHeight="1">
      <x:c r="A57" s="16" t="str">
        <x:v>Красноярская ГРЭС-2</x:v>
      </x:c>
      <x:c r="B57" s="16" t="str">
        <x:v>2000553024-V116</x:v>
      </x:c>
      <x:c r="C57" s="16" t="str">
        <x:v>БЛОК ПРУЖИННЫЙ 08 ОСТ108.275.58-80</x:v>
      </x:c>
      <x:c r="D57" s="16" t="str">
        <x:v>Система опорн-подвес</x:v>
      </x:c>
      <x:c r="E57" s="16" t="str">
        <x:v>ШТ</x:v>
      </x:c>
      <x:c r="F57" s="21" t="n">
        <x:v>1</x:v>
      </x:c>
      <x:c r="G57" s="17" t="n">
        <x:v>3487.797</x:v>
      </x:c>
      <x:c r="H57" s="17" t="n">
        <x:f>G57*F57</x:f>
        <x:v>3487.797</x:v>
      </x:c>
      <x:c r="I57" s="22" t="str">
        <x:f>HYPERLINK("https://etp-aktiv.ru/catalog/materialy/truboprovody/2000553024-V116/","Открыть позицию")</x:f>
        <x:v>Открыть позицию</x:v>
      </x:c>
    </x:row>
    <x:row r="58" ht="28" customHeight="1">
      <x:c r="A58" s="16" t="str">
        <x:v>Красноярская ГРЭС-2</x:v>
      </x:c>
      <x:c r="B58" s="16" t="str">
        <x:v>2000553026-V116</x:v>
      </x:c>
      <x:c r="C58" s="16" t="str">
        <x:v>БЛОК ПРУЖИННЫЙ 09 ОСТ108.275.58-80</x:v>
      </x:c>
      <x:c r="D58" s="16" t="str">
        <x:v>Система опорн-подвес</x:v>
      </x:c>
      <x:c r="E58" s="16" t="str">
        <x:v>ШТ</x:v>
      </x:c>
      <x:c r="F58" s="21" t="n">
        <x:v>4</x:v>
      </x:c>
      <x:c r="G58" s="17" t="n">
        <x:v>3596.4136</x:v>
      </x:c>
      <x:c r="H58" s="17" t="n">
        <x:f>G58*F58</x:f>
        <x:v>14385.6544</x:v>
      </x:c>
      <x:c r="I58" s="22" t="str">
        <x:f>HYPERLINK("https://etp-aktiv.ru/catalog/materialy/truboprovody/2000553026-V116/","Открыть позицию")</x:f>
        <x:v>Открыть позицию</x:v>
      </x:c>
    </x:row>
    <x:row r="59" ht="28" customHeight="1">
      <x:c r="A59" s="16" t="str">
        <x:v>Красноярская ГРЭС-2</x:v>
      </x:c>
      <x:c r="B59" s="16" t="str">
        <x:v>2000837029-V116</x:v>
      </x:c>
      <x:c r="C59" s="16" t="str">
        <x:v>БЛОК ПРУЖИННЫЙ 10 ОСТ108.275.59-80</x:v>
      </x:c>
      <x:c r="D59" s="16" t="str">
        <x:v>Система опорн-подвес</x:v>
      </x:c>
      <x:c r="E59" s="16" t="str">
        <x:v>ШТ</x:v>
      </x:c>
      <x:c r="F59" s="21" t="n">
        <x:v>1</x:v>
      </x:c>
      <x:c r="G59" s="17" t="n">
        <x:v>6083.652</x:v>
      </x:c>
      <x:c r="H59" s="17" t="n">
        <x:f>G59*F59</x:f>
        <x:v>6083.652</x:v>
      </x:c>
      <x:c r="I59" s="22" t="str">
        <x:f>HYPERLINK("https://etp-aktiv.ru/catalog/materialy/truboprovody/2000837029-V116/","Открыть позицию")</x:f>
        <x:v>Открыть позицию</x:v>
      </x:c>
    </x:row>
    <x:row r="60" ht="28" customHeight="1">
      <x:c r="A60" s="16" t="str">
        <x:v>Красноярская ГРЭС-2</x:v>
      </x:c>
      <x:c r="B60" s="16" t="str">
        <x:v>2000837028-V116</x:v>
      </x:c>
      <x:c r="C60" s="16" t="str">
        <x:v>БЛОК ПРУЖИННЫЙ 15 ОСТ108.275.60-80</x:v>
      </x:c>
      <x:c r="D60" s="16" t="str">
        <x:v>Система опорн-подвес</x:v>
      </x:c>
      <x:c r="E60" s="16" t="str">
        <x:v>ШТ</x:v>
      </x:c>
      <x:c r="F60" s="21" t="n">
        <x:v>1</x:v>
      </x:c>
      <x:c r="G60" s="17" t="n">
        <x:v>1684.4296</x:v>
      </x:c>
      <x:c r="H60" s="17" t="n">
        <x:f>G60*F60</x:f>
        <x:v>1684.4296</x:v>
      </x:c>
      <x:c r="I60" s="22" t="str">
        <x:f>HYPERLINK("https://etp-aktiv.ru/catalog/materialy/truboprovody/2000837028-V116/","Открыть позицию")</x:f>
        <x:v>Открыть позицию</x:v>
      </x:c>
    </x:row>
    <x:row r="61" ht="28" customHeight="1">
      <x:c r="A61" s="16" t="str">
        <x:v>Красноярская ГРЭС-2</x:v>
      </x:c>
      <x:c r="B61" s="16" t="str">
        <x:v>2000843095-V116</x:v>
      </x:c>
      <x:c r="C61" s="16" t="str">
        <x:v>БЛОК ПРУЖИННЫЙ 19 ОСТ108.275.59-80</x:v>
      </x:c>
      <x:c r="D61" s="16" t="str">
        <x:v>Система опорн-подвес</x:v>
      </x:c>
      <x:c r="E61" s="16" t="str">
        <x:v>ШТ</x:v>
      </x:c>
      <x:c r="F61" s="21" t="n">
        <x:v>1</x:v>
      </x:c>
      <x:c r="G61" s="17" t="n">
        <x:v>4664.6578</x:v>
      </x:c>
      <x:c r="H61" s="17" t="n">
        <x:f>G61*F61</x:f>
        <x:v>4664.6578</x:v>
      </x:c>
      <x:c r="I61" s="22" t="str">
        <x:f>HYPERLINK("https://etp-aktiv.ru/catalog/materialy/truboprovody/2000843095-V116/","Открыть позицию")</x:f>
        <x:v>Открыть позицию</x:v>
      </x:c>
    </x:row>
    <x:row r="62" ht="28" customHeight="1">
      <x:c r="A62" s="16" t="str">
        <x:v>Красноярская ГРЭС-2</x:v>
      </x:c>
      <x:c r="B62" s="16" t="str">
        <x:v>2000487376-V116</x:v>
      </x:c>
      <x:c r="C62" s="16" t="str">
        <x:v>ЗАТВОР 3ПВС-FN(W)3-150MRR-EPDM1,6 DN150</x:v>
      </x:c>
      <x:c r="D62" s="16" t="str">
        <x:v>@Трубопр армат промы</x:v>
      </x:c>
      <x:c r="E62" s="16" t="str">
        <x:v>ШТ</x:v>
      </x:c>
      <x:c r="F62" s="21" t="n">
        <x:v>4</x:v>
      </x:c>
      <x:c r="G62" s="17" t="n">
        <x:v>6290.625</x:v>
      </x:c>
      <x:c r="H62" s="17" t="n">
        <x:f>G62*F62</x:f>
        <x:v>25162.5</x:v>
      </x:c>
      <x:c r="I62" s="22" t="str">
        <x:f>HYPERLINK("https://etp-aktiv.ru/catalog/materialy/truboprovodnaya-armatura-i-komplektuyushchie/2000487376-V116/","Открыть позицию")</x:f>
        <x:v>Открыть позицию</x:v>
      </x:c>
    </x:row>
    <x:row r="63" ht="28" customHeight="1">
      <x:c r="A63" s="16" t="str">
        <x:v>Красноярская ГРЭС-2</x:v>
      </x:c>
      <x:c r="B63" s="16" t="str">
        <x:v>2000238857-V116</x:v>
      </x:c>
      <x:c r="C63" s="16" t="str">
        <x:v>ЗАТВОР Q11F-16 DN50 PN16</x:v>
      </x:c>
      <x:c r="D63" s="16" t="str">
        <x:v>@Трубопр армат промы</x:v>
      </x:c>
      <x:c r="E63" s="16" t="str">
        <x:v>ШТ</x:v>
      </x:c>
      <x:c r="F63" s="21" t="n">
        <x:v>3</x:v>
      </x:c>
      <x:c r="G63" s="17" t="n">
        <x:v>15440.625</x:v>
      </x:c>
      <x:c r="H63" s="17" t="n">
        <x:f>G63*F63</x:f>
        <x:v>46321.875</x:v>
      </x:c>
      <x:c r="I63" s="22" t="str">
        <x:f>HYPERLINK("https://etp-aktiv.ru/catalog/materialy/truboprovodnaya-armatura-i-komplektuyushchie/2000238857-V116/","Открыть позицию")</x:f>
        <x:v>Открыть позицию</x:v>
      </x:c>
    </x:row>
    <x:row r="64" ht="28" customHeight="1">
      <x:c r="A64" s="16" t="str">
        <x:v>Красноярская ГРЭС-2</x:v>
      </x:c>
      <x:c r="B64" s="16" t="str">
        <x:v>2000336514-V116</x:v>
      </x:c>
      <x:c r="C64" s="16" t="str">
        <x:v>ЗАТВОР ДИСКОВЫЙ DENDOR 017W DN80 PN16</x:v>
      </x:c>
      <x:c r="D64" s="16" t="str">
        <x:v>@Трубопр армат промы</x:v>
      </x:c>
      <x:c r="E64" s="16" t="str">
        <x:v>ШТ</x:v>
      </x:c>
      <x:c r="F64" s="21" t="n">
        <x:v>9</x:v>
      </x:c>
      <x:c r="G64" s="17" t="n">
        <x:v>18490.625</x:v>
      </x:c>
      <x:c r="H64" s="17" t="n">
        <x:f>G64*F64</x:f>
        <x:v>166415.625</x:v>
      </x:c>
      <x:c r="I64" s="22" t="str">
        <x:f>HYPERLINK("https://etp-aktiv.ru/catalog/materialy/truboprovodnaya-armatura-i-komplektuyushchie/2000336514-V116/","Открыть позицию")</x:f>
        <x:v>Открыть позицию</x:v>
      </x:c>
    </x:row>
    <x:row r="65" ht="28" customHeight="1">
      <x:c r="A65" s="16" t="str">
        <x:v>Красноярская ГРЭС-2</x:v>
      </x:c>
      <x:c r="B65" s="16" t="str">
        <x:v>2000643515-V116</x:v>
      </x:c>
      <x:c r="C65" s="16" t="str">
        <x:v>КЛАПАН Т-100БМ DN150 00</x:v>
      </x:c>
      <x:c r="D65" s="16" t="str">
        <x:v>@Трубопр армат промы</x:v>
      </x:c>
      <x:c r="E65" s="16" t="str">
        <x:v>ШТ</x:v>
      </x:c>
      <x:c r="F65" s="21" t="n">
        <x:v>0</x:v>
      </x:c>
      <x:c r="G65" s="17" t="n">
        <x:v>16575.822799999998</x:v>
      </x:c>
      <x:c r="H65" s="17" t="n">
        <x:f>G65*F65</x:f>
        <x:v>0</x:v>
      </x:c>
      <x:c r="I65" s="22" t="str">
        <x:f>HYPERLINK("https://etp-aktiv.ru/catalog/materialy/truboprovodnaya-armatura-i-komplektuyushchie/2000643515-V116/","Открыть позицию")</x:f>
        <x:v>Открыть позицию</x:v>
      </x:c>
    </x:row>
    <x:row r="66" ht="28" customHeight="1">
      <x:c r="A66" s="16" t="str">
        <x:v>Красноярская ГРЭС-2</x:v>
      </x:c>
      <x:c r="B66" s="16" t="str">
        <x:v>2000837479-V116</x:v>
      </x:c>
      <x:c r="C66" s="16" t="str">
        <x:v>КОМПЕНСАТОР СТП47-73-209 ЗДВ 850-400-Э</x:v>
      </x:c>
      <x:c r="D66" s="16" t="str">
        <x:v>ЗЧ трубопр арматуры</x:v>
      </x:c>
      <x:c r="E66" s="16" t="str">
        <x:v>ШТ</x:v>
      </x:c>
      <x:c r="F66" s="21" t="n">
        <x:v>2</x:v>
      </x:c>
      <x:c r="G66" s="17" t="n">
        <x:v>2299.9928</x:v>
      </x:c>
      <x:c r="H66" s="17" t="n">
        <x:f>G66*F66</x:f>
        <x:v>4599.9856</x:v>
      </x:c>
      <x:c r="I66" s="22" t="str">
        <x:f>HYPERLINK("https://etp-aktiv.ru/catalog/materialy/truboprovodnaya-armatura-i-komplektuyushchie/2000837479-V116/","Открыть позицию")</x:f>
        <x:v>Открыть позицию</x:v>
      </x:c>
    </x:row>
    <x:row r="67" ht="28" customHeight="1">
      <x:c r="A67" s="16" t="str">
        <x:v>Красноярская ГРЭС-2</x:v>
      </x:c>
      <x:c r="B67" s="16" t="str">
        <x:v>2000645419-V116</x:v>
      </x:c>
      <x:c r="C67" s="16" t="str">
        <x:v>ОПОРА 273 14 ОСТ108.275.26-80</x:v>
      </x:c>
      <x:c r="D67" s="16" t="str">
        <x:v>Система опорн-подвес</x:v>
      </x:c>
      <x:c r="E67" s="16" t="str">
        <x:v>ШТ</x:v>
      </x:c>
      <x:c r="F67" s="21" t="n">
        <x:v>2</x:v>
      </x:c>
      <x:c r="G67" s="17" t="n">
        <x:v>7130.717000000001</x:v>
      </x:c>
      <x:c r="H67" s="17" t="n">
        <x:f>G67*F67</x:f>
        <x:v>14261.434000000001</x:v>
      </x:c>
      <x:c r="I67" s="22" t="str">
        <x:f>HYPERLINK("https://etp-aktiv.ru/catalog/materialy/truboprovody/2000645419-V116/","Открыть позицию")</x:f>
        <x:v>Открыть позицию</x:v>
      </x:c>
    </x:row>
    <x:row r="68" ht="28" customHeight="1">
      <x:c r="A68" s="16" t="str">
        <x:v>Красноярская ГРЭС-2</x:v>
      </x:c>
      <x:c r="B68" s="16" t="str">
        <x:v>2000787128-V116</x:v>
      </x:c>
      <x:c r="C68" s="16" t="str">
        <x:v>ОПОРА НЕПОДВИЖНАЯ D273 04 ОСТ108.275.26</x:v>
      </x:c>
      <x:c r="D68" s="16" t="str">
        <x:v>Система опорн-подвес</x:v>
      </x:c>
      <x:c r="E68" s="16" t="str">
        <x:v>ШТ</x:v>
      </x:c>
      <x:c r="F68" s="21" t="n">
        <x:v>1</x:v>
      </x:c>
      <x:c r="G68" s="17" t="n">
        <x:v>20584.071799999998</x:v>
      </x:c>
      <x:c r="H68" s="17" t="n">
        <x:f>G68*F68</x:f>
        <x:v>20584.071799999998</x:v>
      </x:c>
      <x:c r="I68" s="22" t="str">
        <x:f>HYPERLINK("https://etp-aktiv.ru/catalog/materialy/truboprovody/2000787128-V116/","Открыть позицию")</x:f>
        <x:v>Открыть позицию</x:v>
      </x:c>
    </x:row>
    <x:row r="69" ht="28" customHeight="1">
      <x:c r="A69" s="16" t="str">
        <x:v>Красноярская ГРЭС-2</x:v>
      </x:c>
      <x:c r="B69" s="16" t="str">
        <x:v>2000645420-V116</x:v>
      </x:c>
      <x:c r="C69" s="16" t="str">
        <x:v>ОПОРА СКОЛЬЗ 273 18 ОСТ108.275.29-80</x:v>
      </x:c>
      <x:c r="D69" s="16" t="str">
        <x:v>Система опорн-подвес</x:v>
      </x:c>
      <x:c r="E69" s="16" t="str">
        <x:v>ШТ</x:v>
      </x:c>
      <x:c r="F69" s="21" t="n">
        <x:v>3</x:v>
      </x:c>
      <x:c r="G69" s="17" t="n">
        <x:v>2457.7509999999997</x:v>
      </x:c>
      <x:c r="H69" s="17" t="n">
        <x:f>G69*F69</x:f>
        <x:v>7373.252999999999</x:v>
      </x:c>
      <x:c r="I69" s="22" t="str">
        <x:f>HYPERLINK("https://etp-aktiv.ru/catalog/materialy/truboprovody/2000645420-V116/","Открыть позицию")</x:f>
        <x:v>Открыть позицию</x:v>
      </x:c>
    </x:row>
    <x:row r="70" ht="28" customHeight="1">
      <x:c r="A70" s="16" t="str">
        <x:v>Красноярская ГРЭС-2</x:v>
      </x:c>
      <x:c r="B70" s="16" t="str">
        <x:v>2000787129-V116</x:v>
      </x:c>
      <x:c r="C70" s="16" t="str">
        <x:v>ОПОРА СКОЛЬЗЯЩАЯ D273 09 ОСТ108.275.29</x:v>
      </x:c>
      <x:c r="D70" s="16" t="str">
        <x:v>Система опорн-подвес</x:v>
      </x:c>
      <x:c r="E70" s="16" t="str">
        <x:v>ШТ</x:v>
      </x:c>
      <x:c r="F70" s="21" t="n">
        <x:v>1</x:v>
      </x:c>
      <x:c r="G70" s="17" t="n">
        <x:v>10290.3218</x:v>
      </x:c>
      <x:c r="H70" s="17" t="n">
        <x:f>G70*F70</x:f>
        <x:v>10290.3218</x:v>
      </x:c>
      <x:c r="I70" s="22" t="str">
        <x:f>HYPERLINK("https://etp-aktiv.ru/catalog/materialy/truboprovody/2000787129-V116/","Открыть позицию")</x:f>
        <x:v>Открыть позицию</x:v>
      </x:c>
    </x:row>
    <x:row r="71" ht="28" customHeight="1">
      <x:c r="A71" s="16" t="str">
        <x:v>Красноярская ГРЭС-2</x:v>
      </x:c>
      <x:c r="B71" s="16" t="str">
        <x:v>2000839509-V116</x:v>
      </x:c>
      <x:c r="C71" s="16" t="str">
        <x:v>ОПОРА СКОЛЬЗЯЩАЯ DN108 Т-105-180-1</x:v>
      </x:c>
      <x:c r="D71" s="16" t="str">
        <x:v>Система опорн-подвес</x:v>
      </x:c>
      <x:c r="E71" s="16" t="str">
        <x:v>ШТ</x:v>
      </x:c>
      <x:c r="F71" s="21" t="n">
        <x:v>3</x:v>
      </x:c>
      <x:c r="G71" s="17" t="n">
        <x:v>1380.0396</x:v>
      </x:c>
      <x:c r="H71" s="17" t="n">
        <x:f>G71*F71</x:f>
        <x:v>4140.1188</x:v>
      </x:c>
      <x:c r="I71" s="22" t="str">
        <x:f>HYPERLINK("https://etp-aktiv.ru/catalog/materialy/truboprovody/2000839509-V116/","Открыть позицию")</x:f>
        <x:v>Открыть позицию</x:v>
      </x:c>
    </x:row>
    <x:row r="72" ht="28" customHeight="1">
      <x:c r="A72" s="16" t="str">
        <x:v>Красноярская ГРЭС-2</x:v>
      </x:c>
      <x:c r="B72" s="16" t="str">
        <x:v>2000839272-V116</x:v>
      </x:c>
      <x:c r="C72" s="16" t="str">
        <x:v>ОПОРА СКОЛЬЗЯЩАЯ DN133 Т-105-178-1</x:v>
      </x:c>
      <x:c r="D72" s="16" t="str">
        <x:v>Система опорн-подвес</x:v>
      </x:c>
      <x:c r="E72" s="16" t="str">
        <x:v>ШТ</x:v>
      </x:c>
      <x:c r="F72" s="21" t="n">
        <x:v>1</x:v>
      </x:c>
      <x:c r="G72" s="17" t="n">
        <x:v>2785.7968</x:v>
      </x:c>
      <x:c r="H72" s="17" t="n">
        <x:f>G72*F72</x:f>
        <x:v>2785.7968</x:v>
      </x:c>
      <x:c r="I72" s="22" t="str">
        <x:f>HYPERLINK("https://etp-aktiv.ru/catalog/materialy/truboprovody/2000839272-V116/","Открыть позицию")</x:f>
        <x:v>Открыть позицию</x:v>
      </x:c>
    </x:row>
    <x:row r="73" ht="28" customHeight="1">
      <x:c r="A73" s="16" t="str">
        <x:v>Красноярская ГРЭС-2</x:v>
      </x:c>
      <x:c r="B73" s="16" t="str">
        <x:v>2000839508-V116</x:v>
      </x:c>
      <x:c r="C73" s="16" t="str">
        <x:v>ОПОРА СКОЛЬЗЯЩАЯ DN133 Т-105-178-2</x:v>
      </x:c>
      <x:c r="D73" s="16" t="str">
        <x:v>Система опорн-подвес</x:v>
      </x:c>
      <x:c r="E73" s="16" t="str">
        <x:v>ШТ</x:v>
      </x:c>
      <x:c r="F73" s="21" t="n">
        <x:v>1</x:v>
      </x:c>
      <x:c r="G73" s="17" t="n">
        <x:v>789.3034</x:v>
      </x:c>
      <x:c r="H73" s="17" t="n">
        <x:f>G73*F73</x:f>
        <x:v>789.3034</x:v>
      </x:c>
      <x:c r="I73" s="22" t="str">
        <x:f>HYPERLINK("https://etp-aktiv.ru/catalog/materialy/truboprovody/2000839508-V116/","Открыть позицию")</x:f>
        <x:v>Открыть позицию</x:v>
      </x:c>
    </x:row>
    <x:row r="74" ht="28" customHeight="1">
      <x:c r="A74" s="16" t="str">
        <x:v>Красноярская ГРЭС-2</x:v>
      </x:c>
      <x:c r="B74" s="16" t="str">
        <x:v>2000834138-V116</x:v>
      </x:c>
      <x:c r="C74" s="16" t="str">
        <x:v>ОПОРА СКОЛЬЗЯЩАЯ DN159 Т-105-178-7</x:v>
      </x:c>
      <x:c r="D74" s="16" t="str">
        <x:v>Система опорн-подвес</x:v>
      </x:c>
      <x:c r="E74" s="16" t="str">
        <x:v>ШТ</x:v>
      </x:c>
      <x:c r="F74" s="21" t="n">
        <x:v>2</x:v>
      </x:c>
      <x:c r="G74" s="17" t="n">
        <x:v>1058.6062</x:v>
      </x:c>
      <x:c r="H74" s="17" t="n">
        <x:f>G74*F74</x:f>
        <x:v>2117.2124</x:v>
      </x:c>
      <x:c r="I74" s="22" t="str">
        <x:f>HYPERLINK("https://etp-aktiv.ru/catalog/materialy/truboprovody/2000834138-V116/","Открыть позицию")</x:f>
        <x:v>Открыть позицию</x:v>
      </x:c>
    </x:row>
    <x:row r="75" ht="28" customHeight="1">
      <x:c r="A75" s="16" t="str">
        <x:v>Красноярская ГРЭС-2</x:v>
      </x:c>
      <x:c r="B75" s="16" t="str">
        <x:v>2000839560-V116</x:v>
      </x:c>
      <x:c r="C75" s="16" t="str">
        <x:v>ОПОРА СКОЛЬЗЯЩАЯ DN159 Т-105-180-2</x:v>
      </x:c>
      <x:c r="D75" s="16" t="str">
        <x:v>Система опорн-подвес</x:v>
      </x:c>
      <x:c r="E75" s="16" t="str">
        <x:v>ШТ</x:v>
      </x:c>
      <x:c r="F75" s="21" t="n">
        <x:v>2</x:v>
      </x:c>
      <x:c r="G75" s="17" t="n">
        <x:v>1160.7568</x:v>
      </x:c>
      <x:c r="H75" s="17" t="n">
        <x:f>G75*F75</x:f>
        <x:v>2321.5136</x:v>
      </x:c>
      <x:c r="I75" s="22" t="str">
        <x:f>HYPERLINK("https://etp-aktiv.ru/catalog/materialy/truboprovody/2000839560-V116/","Открыть позицию")</x:f>
        <x:v>Открыть позицию</x:v>
      </x:c>
    </x:row>
    <x:row r="76" ht="28" customHeight="1">
      <x:c r="A76" s="16" t="str">
        <x:v>Красноярская ГРЭС-2</x:v>
      </x:c>
      <x:c r="B76" s="16" t="str">
        <x:v>2000834139-V116</x:v>
      </x:c>
      <x:c r="C76" s="16" t="str">
        <x:v>ОПОРА СКОЛЬЗЯЩАЯ DN159 Т-105-180-3</x:v>
      </x:c>
      <x:c r="D76" s="16" t="str">
        <x:v>Система опорн-подвес</x:v>
      </x:c>
      <x:c r="E76" s="16" t="str">
        <x:v>ШТ</x:v>
      </x:c>
      <x:c r="F76" s="21" t="n">
        <x:v>1</x:v>
      </x:c>
      <x:c r="G76" s="17" t="n">
        <x:v>1431.4625999999998</x:v>
      </x:c>
      <x:c r="H76" s="17" t="n">
        <x:f>G76*F76</x:f>
        <x:v>1431.4625999999998</x:v>
      </x:c>
      <x:c r="I76" s="22" t="str">
        <x:f>HYPERLINK("https://etp-aktiv.ru/catalog/materialy/truboprovody/2000834139-V116/","Открыть позицию")</x:f>
        <x:v>Открыть позицию</x:v>
      </x:c>
    </x:row>
    <x:row r="77" ht="28" customHeight="1">
      <x:c r="A77" s="16" t="str">
        <x:v>Красноярская ГРЭС-2</x:v>
      </x:c>
      <x:c r="B77" s="16" t="str">
        <x:v>2000645473-V116</x:v>
      </x:c>
      <x:c r="C77" s="16" t="str">
        <x:v>ОТВ 30-426Х19-429Х429Х1172-R600 12Х1МФ</x:v>
      </x:c>
      <x:c r="D77" s="16" t="str">
        <x:v>Детали фасонные</x:v>
      </x:c>
      <x:c r="E77" s="16" t="str">
        <x:v>ШТ</x:v>
      </x:c>
      <x:c r="F77" s="21" t="n">
        <x:v>1</x:v>
      </x:c>
      <x:c r="G77" s="17" t="n">
        <x:v>48950.365</x:v>
      </x:c>
      <x:c r="H77" s="17" t="n">
        <x:f>G77*F77</x:f>
        <x:v>48950.365</x:v>
      </x:c>
      <x:c r="I77" s="22" t="str">
        <x:f>HYPERLINK("https://etp-aktiv.ru/catalog/materialy/truboprovody/2000645473-V116/","Открыть позицию")</x:f>
        <x:v>Открыть позицию</x:v>
      </x:c>
    </x:row>
    <x:row r="78" ht="28" customHeight="1">
      <x:c r="A78" s="16" t="str">
        <x:v>Красноярская ГРЭС-2</x:v>
      </x:c>
      <x:c r="B78" s="16" t="str">
        <x:v>2000645474-V116</x:v>
      </x:c>
      <x:c r="C78" s="16" t="str">
        <x:v>ОТВОД 30-426Х19-763Х1130Х2207-R600</x:v>
      </x:c>
      <x:c r="D78" s="16" t="str">
        <x:v>Детали фасонные</x:v>
      </x:c>
      <x:c r="E78" s="16" t="str">
        <x:v>ШТ</x:v>
      </x:c>
      <x:c r="F78" s="21" t="n">
        <x:v>2</x:v>
      </x:c>
      <x:c r="G78" s="17" t="n">
        <x:v>91598.0392</x:v>
      </x:c>
      <x:c r="H78" s="17" t="n">
        <x:f>G78*F78</x:f>
        <x:v>183196.0784</x:v>
      </x:c>
      <x:c r="I78" s="22" t="str">
        <x:f>HYPERLINK("https://etp-aktiv.ru/catalog/materialy/truboprovody/2000645474-V116/","Открыть позицию")</x:f>
        <x:v>Открыть позицию</x:v>
      </x:c>
    </x:row>
    <x:row r="79" ht="28" customHeight="1">
      <x:c r="A79" s="16" t="str">
        <x:v>Красноярская ГРЭС-2</x:v>
      </x:c>
      <x:c r="B79" s="16" t="str">
        <x:v>2000645475-V116</x:v>
      </x:c>
      <x:c r="C79" s="16" t="str">
        <x:v>ОТВОД 45-219Х9-R375 12Х1МФ 42 ОСТ42</x:v>
      </x:c>
      <x:c r="D79" s="16" t="str">
        <x:v>Детали фасонные</x:v>
      </x:c>
      <x:c r="E79" s="16" t="str">
        <x:v>ШТ</x:v>
      </x:c>
      <x:c r="F79" s="21" t="n">
        <x:v>2</x:v>
      </x:c>
      <x:c r="G79" s="17" t="n">
        <x:v>32510.206199999997</x:v>
      </x:c>
      <x:c r="H79" s="17" t="n">
        <x:f>G79*F79</x:f>
        <x:v>65020.412399999994</x:v>
      </x:c>
      <x:c r="I79" s="22" t="str">
        <x:f>HYPERLINK("https://etp-aktiv.ru/catalog/materialy/truboprovody/2000645475-V116/","Открыть позицию")</x:f>
        <x:v>Открыть позицию</x:v>
      </x:c>
    </x:row>
    <x:row r="80" ht="28" customHeight="1">
      <x:c r="A80" s="16" t="str">
        <x:v>Красноярская ГРЭС-2</x:v>
      </x:c>
      <x:c r="B80" s="16" t="str">
        <x:v>2000645479-V116</x:v>
      </x:c>
      <x:c r="C80" s="16" t="str">
        <x:v>ОТВОД 45-426Х19-426Х426Х1322-R600</x:v>
      </x:c>
      <x:c r="D80" s="16" t="str">
        <x:v>Детали фасонные</x:v>
      </x:c>
      <x:c r="E80" s="16" t="str">
        <x:v>ШТ</x:v>
      </x:c>
      <x:c r="F80" s="21" t="n">
        <x:v>1</x:v>
      </x:c>
      <x:c r="G80" s="17" t="n">
        <x:v>55453.59939999999</x:v>
      </x:c>
      <x:c r="H80" s="17" t="n">
        <x:f>G80*F80</x:f>
        <x:v>55453.59939999999</x:v>
      </x:c>
      <x:c r="I80" s="22" t="str">
        <x:f>HYPERLINK("https://etp-aktiv.ru/catalog/materialy/truboprovody/2000645479-V116/","Открыть позицию")</x:f>
        <x:v>Открыть позицию</x:v>
      </x:c>
    </x:row>
    <x:row r="81" ht="28" customHeight="1">
      <x:c r="A81" s="16" t="str">
        <x:v>Красноярская ГРЭС-2</x:v>
      </x:c>
      <x:c r="B81" s="16" t="str">
        <x:v>2000645480-V116</x:v>
      </x:c>
      <x:c r="C81" s="16" t="str">
        <x:v>ОТВОД 45-426Х19-749Х1190Х2418-R600</x:v>
      </x:c>
      <x:c r="D81" s="16" t="str">
        <x:v>Детали фасонные</x:v>
      </x:c>
      <x:c r="E81" s="16" t="str">
        <x:v>ШТ</x:v>
      </x:c>
      <x:c r="F81" s="21" t="n">
        <x:v>1</x:v>
      </x:c>
      <x:c r="G81" s="17" t="n">
        <x:v>100613.0828</x:v>
      </x:c>
      <x:c r="H81" s="17" t="n">
        <x:f>G81*F81</x:f>
        <x:v>100613.0828</x:v>
      </x:c>
      <x:c r="I81" s="22" t="str">
        <x:f>HYPERLINK("https://etp-aktiv.ru/catalog/materialy/truboprovody/2000645480-V116/","Открыть позицию")</x:f>
        <x:v>Открыть позицию</x:v>
      </x:c>
    </x:row>
    <x:row r="82" ht="28" customHeight="1">
      <x:c r="A82" s="16" t="str">
        <x:v>Красноярская ГРЭС-2</x:v>
      </x:c>
      <x:c r="B82" s="16" t="str">
        <x:v>2000645481-V116</x:v>
      </x:c>
      <x:c r="C82" s="16" t="str">
        <x:v>ОТВОД 45-426Х19-801Х1037Х2308-R600</x:v>
      </x:c>
      <x:c r="D82" s="16" t="str">
        <x:v>Детали фасонные</x:v>
      </x:c>
      <x:c r="E82" s="16" t="str">
        <x:v>ШТ</x:v>
      </x:c>
      <x:c r="F82" s="21" t="n">
        <x:v>2</x:v>
      </x:c>
      <x:c r="G82" s="17" t="n">
        <x:v>96080.4412</x:v>
      </x:c>
      <x:c r="H82" s="17" t="n">
        <x:f>G82*F82</x:f>
        <x:v>192160.8824</x:v>
      </x:c>
      <x:c r="I82" s="22" t="str">
        <x:f>HYPERLINK("https://etp-aktiv.ru/catalog/materialy/truboprovody/2000645481-V116/","Открыть позицию")</x:f>
        <x:v>Открыть позицию</x:v>
      </x:c>
    </x:row>
    <x:row r="83" ht="28" customHeight="1">
      <x:c r="A83" s="16" t="str">
        <x:v>Красноярская ГРЭС-2</x:v>
      </x:c>
      <x:c r="B83" s="16" t="str">
        <x:v>2000641364-V116</x:v>
      </x:c>
      <x:c r="C83" s="16" t="str">
        <x:v>ОТВОД 90-108Х6-R600 10 12Х1МФ ОСТ108.3</x:v>
      </x:c>
      <x:c r="D83" s="16" t="str">
        <x:v>Детали фасонные</x:v>
      </x:c>
      <x:c r="E83" s="16" t="str">
        <x:v>ШТ</x:v>
      </x:c>
      <x:c r="F83" s="21" t="n">
        <x:v>5</x:v>
      </x:c>
      <x:c r="G83" s="17" t="n">
        <x:v>4005.7236000000003</x:v>
      </x:c>
      <x:c r="H83" s="17" t="n">
        <x:f>G83*F83</x:f>
        <x:v>20028.618000000002</x:v>
      </x:c>
      <x:c r="I83" s="22" t="str">
        <x:f>HYPERLINK("https://etp-aktiv.ru/catalog/materialy/truboprovody/2000641364-V116/","Открыть позицию")</x:f>
        <x:v>Открыть позицию</x:v>
      </x:c>
    </x:row>
    <x:row r="84" ht="28" customHeight="1">
      <x:c r="A84" s="16" t="str">
        <x:v>Красноярская ГРЭС-2</x:v>
      </x:c>
      <x:c r="B84" s="16" t="str">
        <x:v>2000843092-V116</x:v>
      </x:c>
      <x:c r="C84" s="16" t="str">
        <x:v>ПОДВЕСКА ПРУЖИННАЯ N6 Т-105-180-4</x:v>
      </x:c>
      <x:c r="D84" s="16" t="str">
        <x:v>Система опорн-подвес</x:v>
      </x:c>
      <x:c r="E84" s="16" t="str">
        <x:v>ШТ</x:v>
      </x:c>
      <x:c r="F84" s="21" t="n">
        <x:v>1</x:v>
      </x:c>
      <x:c r="G84" s="17" t="n">
        <x:v>7928.7922</x:v>
      </x:c>
      <x:c r="H84" s="17" t="n">
        <x:f>G84*F84</x:f>
        <x:v>7928.7922</x:v>
      </x:c>
      <x:c r="I84" s="22" t="str">
        <x:f>HYPERLINK("https://etp-aktiv.ru/catalog/materialy/truboprovody/2000843092-V116/","Открыть позицию")</x:f>
        <x:v>Открыть позицию</x:v>
      </x:c>
    </x:row>
    <x:row r="85" ht="28" customHeight="1">
      <x:c r="A85" s="16" t="str">
        <x:v>Красноярская ГРЭС-2</x:v>
      </x:c>
      <x:c r="B85" s="16" t="str">
        <x:v>2000843093-V116</x:v>
      </x:c>
      <x:c r="C85" s="16" t="str">
        <x:v>ПОДВЕСКА ПРУЖИННАЯ N8 Т-105-180-5</x:v>
      </x:c>
      <x:c r="D85" s="16" t="str">
        <x:v>Система опорн-подвес</x:v>
      </x:c>
      <x:c r="E85" s="16" t="str">
        <x:v>ШТ</x:v>
      </x:c>
      <x:c r="F85" s="21" t="n">
        <x:v>1</x:v>
      </x:c>
      <x:c r="G85" s="17" t="n">
        <x:v>8143.0851999999995</x:v>
      </x:c>
      <x:c r="H85" s="17" t="n">
        <x:f>G85*F85</x:f>
        <x:v>8143.0851999999995</x:v>
      </x:c>
      <x:c r="I85" s="22" t="str">
        <x:f>HYPERLINK("https://etp-aktiv.ru/catalog/materialy/truboprovody/2000843093-V116/","Открыть позицию")</x:f>
        <x:v>Открыть позицию</x:v>
      </x:c>
    </x:row>
    <x:row r="86" ht="28" customHeight="1">
      <x:c r="A86" s="16" t="str">
        <x:v>Красноярская ГРЭС-2</x:v>
      </x:c>
      <x:c r="B86" s="16" t="str">
        <x:v>2000646374-V116</x:v>
      </x:c>
      <x:c r="C86" s="16" t="str">
        <x:v>ПРУЖИНА ОБРАТНОГО КЛАПАНА Ч. 0285-0212</x:v>
      </x:c>
      <x:c r="D86" s="16" t="str">
        <x:v>ЗЧ трубопр арматуры</x:v>
      </x:c>
      <x:c r="E86" s="16" t="str">
        <x:v>ШТ</x:v>
      </x:c>
      <x:c r="F86" s="21" t="n">
        <x:v>10</x:v>
      </x:c>
      <x:c r="G86" s="17" t="n">
        <x:v>861.5884</x:v>
      </x:c>
      <x:c r="H86" s="17" t="n">
        <x:f>G86*F86</x:f>
        <x:v>8615.884</x:v>
      </x:c>
      <x:c r="I86" s="22" t="str">
        <x:f>HYPERLINK("https://etp-aktiv.ru/catalog/materialy/truboprovodnaya-armatura-i-komplektuyushchie/2000646374-V116/","Открыть позицию")</x:f>
        <x:v>Открыть позицию</x:v>
      </x:c>
    </x:row>
    <x:row r="87" ht="28" customHeight="1">
      <x:c r="A87" s="16" t="str">
        <x:v>Красноярская ГРЭС-2</x:v>
      </x:c>
      <x:c r="B87" s="16" t="str">
        <x:v>2000641470-V116</x:v>
      </x:c>
      <x:c r="C87" s="16" t="str">
        <x:v>ТРОЙНИК 32175 300Х175 15Х1М1Ф</x:v>
      </x:c>
      <x:c r="D87" s="16" t="str">
        <x:v>Детали фасонные</x:v>
      </x:c>
      <x:c r="E87" s="16" t="str">
        <x:v>Т</x:v>
      </x:c>
      <x:c r="F87" s="21" t="n">
        <x:v>0</x:v>
      </x:c>
      <x:c r="G87" s="17" t="n">
        <x:v>14030</x:v>
      </x:c>
      <x:c r="H87" s="17" t="n">
        <x:f>G87*F87</x:f>
        <x:v>0</x:v>
      </x:c>
      <x:c r="I87" s="22" t="str">
        <x:f>HYPERLINK("https://etp-aktiv.ru/catalog/materialy/truboprovody/2000641470-V116/","Открыть позицию")</x:f>
        <x:v>Открыть позицию</x:v>
      </x:c>
    </x:row>
    <x:row r="88" ht="28" customHeight="1">
      <x:c r="A88" s="16" t="str">
        <x:v>Красноярская ГРЭС-2</x:v>
      </x:c>
      <x:c r="B88" s="16" t="str">
        <x:v>2000647679-V116</x:v>
      </x:c>
      <x:c r="C88" s="16" t="str">
        <x:v>ТРОЙНИК 50 09 ОСТ 108.720.05-82</x:v>
      </x:c>
      <x:c r="D88" s="16" t="str">
        <x:v>Детали фасонные</x:v>
      </x:c>
      <x:c r="E88" s="16" t="str">
        <x:v>ШТ</x:v>
      </x:c>
      <x:c r="F88" s="21" t="n">
        <x:v>6</x:v>
      </x:c>
      <x:c r="G88" s="17" t="n">
        <x:v>3568.5</x:v>
      </x:c>
      <x:c r="H88" s="17" t="n">
        <x:f>G88*F88</x:f>
        <x:v>21411</x:v>
      </x:c>
      <x:c r="I88" s="22" t="str">
        <x:f>HYPERLINK("https://etp-aktiv.ru/catalog/materialy/truboprovody/2000647679-V116/","Открыть позицию")</x:f>
        <x:v>Открыть позицию</x:v>
      </x:c>
    </x:row>
    <x:row r="89" ht="28" customHeight="1">
      <x:c r="A89" s="16" t="str">
        <x:v>Красноярская ГРЭС-2</x:v>
      </x:c>
      <x:c r="B89" s="16" t="str">
        <x:v>2000647692-V116</x:v>
      </x:c>
      <x:c r="C89" s="16" t="str">
        <x:v>ТРУБА 10Х2 08Х18Н10Т Г 9941</x:v>
      </x:c>
      <x:c r="D89" s="16" t="str">
        <x:v>ТрбНж(свр/бш)КрмКтВД</x:v>
      </x:c>
      <x:c r="E89" s="16" t="str">
        <x:v>Т</x:v>
      </x:c>
      <x:c r="F89" s="30" t="n">
        <x:v>0.04</x:v>
      </x:c>
      <x:c r="G89" s="17" t="n">
        <x:v>459956.72620000003</x:v>
      </x:c>
      <x:c r="H89" s="17" t="n">
        <x:f>G89*F89</x:f>
        <x:v>18398.269048000002</x:v>
      </x:c>
      <x:c r="I89" s="22" t="str">
        <x:f>HYPERLINK("https://etp-aktiv.ru/catalog/materialy/truby-stalnye-i-polimernye/2000647692-V116/","Открыть позицию")</x:f>
        <x:v>Открыть позицию</x:v>
      </x:c>
    </x:row>
    <x:row r="90" ht="28" customHeight="1">
      <x:c r="A90" s="16" t="str">
        <x:v>Красноярская ГРЭС-2</x:v>
      </x:c>
      <x:c r="B90" s="16" t="str">
        <x:v>2000560699-V116</x:v>
      </x:c>
      <x:c r="C90" s="16" t="str">
        <x:v>ТРУБА 12Х18Н10Т 57*4 ГОСТ9941-81</x:v>
      </x:c>
      <x:c r="D90" s="16" t="str">
        <x:v>ТрбНж(свр/бш)КрмКтВД</x:v>
      </x:c>
      <x:c r="E90" s="16" t="str">
        <x:v>Т</x:v>
      </x:c>
      <x:c r="F90" s="30" t="n">
        <x:v>0.285</x:v>
      </x:c>
      <x:c r="G90" s="17" t="n">
        <x:v>635021.5534</x:v>
      </x:c>
      <x:c r="H90" s="17" t="n">
        <x:f>G90*F90</x:f>
        <x:v>180981.14271899997</x:v>
      </x:c>
      <x:c r="I90" s="22" t="str">
        <x:f>HYPERLINK("https://etp-aktiv.ru/catalog/materialy/truby-stalnye-i-polimernye/2000560699-V116/","Открыть позицию")</x:f>
        <x:v>Открыть позицию</x:v>
      </x:c>
    </x:row>
    <x:row r="91" ht="28" customHeight="1">
      <x:c r="A91" s="16" t="str">
        <x:v>Красноярская ГРЭС-2</x:v>
      </x:c>
      <x:c r="B91" s="16" t="str">
        <x:v>2000647715-V116</x:v>
      </x:c>
      <x:c r="C91" s="16" t="str">
        <x:v>ТРУБА 22Х3,5 Г 8732-78/20 Г 8731-74</x:v>
      </x:c>
      <x:c r="D91" s="16" t="str">
        <x:v>@Трубы прочие</x:v>
      </x:c>
      <x:c r="E91" s="16" t="str">
        <x:v>Т</x:v>
      </x:c>
      <x:c r="F91" s="30" t="n">
        <x:v>0.21</x:v>
      </x:c>
      <x:c r="G91" s="17" t="n">
        <x:v>104837.7598</x:v>
      </x:c>
      <x:c r="H91" s="17" t="n">
        <x:f>G91*F91</x:f>
        <x:v>22015.929558</x:v>
      </x:c>
      <x:c r="I91" s="22" t="str">
        <x:f>HYPERLINK("https://etp-aktiv.ru/catalog/materialy/truby-stalnye-i-polimernye/2000647715-V116/","Открыть позицию")</x:f>
        <x:v>Открыть позицию</x:v>
      </x:c>
    </x:row>
    <x:row r="92" ht="28" customHeight="1">
      <x:c r="A92" s="16" t="str">
        <x:v>Красноярская ГРЭС-2</x:v>
      </x:c>
      <x:c r="B92" s="16" t="str">
        <x:v>2000773085-V116</x:v>
      </x:c>
      <x:c r="C92" s="16" t="str">
        <x:v>ТРУБА ДКРНМ Л68 25*1*6650 ГОСТ21646-2003</x:v>
      </x:c>
      <x:c r="D92" s="16" t="str">
        <x:v>М/прокат цветной</x:v>
      </x:c>
      <x:c r="E92" s="16" t="str">
        <x:v>КГ</x:v>
      </x:c>
      <x:c r="F92" s="21" t="n">
        <x:v>2361</x:v>
      </x:c>
      <x:c r="G92" s="17" t="n">
        <x:v>695.4</x:v>
      </x:c>
      <x:c r="H92" s="17" t="n">
        <x:f>G92*F92</x:f>
        <x:v>1641839.4</x:v>
      </x:c>
      <x:c r="I92" s="22" t="str">
        <x:f>HYPERLINK("https://etp-aktiv.ru/catalog/materialy/metalloprodukciya/2000773085-V116/","Открыть позицию")</x:f>
        <x:v>Открыть позицию</x:v>
      </x:c>
    </x:row>
    <x:row r="93" ht="28" customHeight="1">
      <x:c r="A93" s="16" t="str">
        <x:v>Красноярская ГРЭС-2</x:v>
      </x:c>
      <x:c r="B93" s="16" t="str">
        <x:v>2000834132-V116</x:v>
      </x:c>
      <x:c r="C93" s="16" t="str">
        <x:v>ТРУБА ДКРНМ М1 16*3 НД ГОСТ617-2006</x:v>
      </x:c>
      <x:c r="D93" s="16" t="str">
        <x:v>М/прокат цветной</x:v>
      </x:c>
      <x:c r="E93" s="16" t="str">
        <x:v>КГ</x:v>
      </x:c>
      <x:c r="F93" s="26" t="n">
        <x:v>13.7</x:v>
      </x:c>
      <x:c r="G93" s="17" t="n">
        <x:v>1037</x:v>
      </x:c>
      <x:c r="H93" s="17" t="n">
        <x:f>G93*F93</x:f>
        <x:v>14206.9</x:v>
      </x:c>
      <x:c r="I93" s="22" t="str">
        <x:f>HYPERLINK("https://etp-aktiv.ru/catalog/materialy/metalloprodukciya/2000834132-V116/","Открыть позицию")</x:f>
        <x:v>Открыть позицию</x:v>
      </x:c>
    </x:row>
    <x:row r="94" ht="28" customHeight="1">
      <x:c r="A94" s="16" t="str">
        <x:v>Красноярская ГРЭС-2</x:v>
      </x:c>
      <x:c r="B94" s="16" t="str">
        <x:v>2000834133-V116</x:v>
      </x:c>
      <x:c r="C94" s="16" t="str">
        <x:v>ТРУБА ДКРНМ М1 18*1 НД ГОСТ617-2006</x:v>
      </x:c>
      <x:c r="D94" s="16" t="str">
        <x:v>М/прокат цветной</x:v>
      </x:c>
      <x:c r="E94" s="16" t="str">
        <x:v>КГ</x:v>
      </x:c>
      <x:c r="F94" s="21" t="n">
        <x:v>96</x:v>
      </x:c>
      <x:c r="G94" s="17" t="n">
        <x:v>1037</x:v>
      </x:c>
      <x:c r="H94" s="17" t="n">
        <x:f>G94*F94</x:f>
        <x:v>99552</x:v>
      </x:c>
      <x:c r="I94" s="22" t="str">
        <x:f>HYPERLINK("https://etp-aktiv.ru/catalog/materialy/metalloprodukciya/2000834133-V116/","Открыть позицию")</x:f>
        <x:v>Открыть позицию</x:v>
      </x:c>
    </x:row>
    <x:row r="95" ht="28" customHeight="1">
      <x:c r="A95" s="16" t="str">
        <x:v>Красноярская ГРЭС-2</x:v>
      </x:c>
      <x:c r="B95" s="16" t="str">
        <x:v>2000834134-V116</x:v>
      </x:c>
      <x:c r="C95" s="16" t="str">
        <x:v>ТРУБА ДКРНМ М2 6*1 НД ГОСТ617-2006</x:v>
      </x:c>
      <x:c r="D95" s="16" t="str">
        <x:v>М/прокат цветной</x:v>
      </x:c>
      <x:c r="E95" s="16" t="str">
        <x:v>КГ</x:v>
      </x:c>
      <x:c r="F95" s="26" t="n">
        <x:v>25.45</x:v>
      </x:c>
      <x:c r="G95" s="17" t="n">
        <x:v>1000.4</x:v>
      </x:c>
      <x:c r="H95" s="17" t="n">
        <x:f>G95*F95</x:f>
        <x:v>25460.18</x:v>
      </x:c>
      <x:c r="I95" s="22" t="str">
        <x:f>HYPERLINK("https://etp-aktiv.ru/catalog/materialy/metalloprodukciya/2000834134-V116/","Открыть позицию")</x:f>
        <x:v>Открыть позицию</x:v>
      </x:c>
    </x:row>
    <x:row r="96" ht="28" customHeight="1">
      <x:c r="A96" s="16" t="str">
        <x:v>Красноярская ГРЭС-2</x:v>
      </x:c>
      <x:c r="B96" s="16" t="str">
        <x:v>2000711270-V116</x:v>
      </x:c>
      <x:c r="C96" s="16" t="str">
        <x:v>ТРУБА ДКРНМ МНЖ5-1 19*1*4600 ГОСТ17217</x:v>
      </x:c>
      <x:c r="D96" s="16" t="str">
        <x:v>М/прокат цветной</x:v>
      </x:c>
      <x:c r="E96" s="16" t="str">
        <x:v>КГ</x:v>
      </x:c>
      <x:c r="F96" s="21" t="n">
        <x:v>102</x:v>
      </x:c>
      <x:c r="G96" s="17" t="n">
        <x:v>1098</x:v>
      </x:c>
      <x:c r="H96" s="17" t="n">
        <x:f>G96*F96</x:f>
        <x:v>111996</x:v>
      </x:c>
      <x:c r="I96" s="22" t="str">
        <x:f>HYPERLINK("https://etp-aktiv.ru/catalog/materialy/metalloprodukciya/2000711270-V116/","Открыть позицию")</x:f>
        <x:v>Открыть позицию</x:v>
      </x:c>
    </x:row>
    <x:row r="97" ht="28" customHeight="1">
      <x:c r="A97" s="16" t="str">
        <x:v>Красноярская ГРЭС-2</x:v>
      </x:c>
      <x:c r="B97" s="16" t="str">
        <x:v>2000834136-V116</x:v>
      </x:c>
      <x:c r="C97" s="16" t="str">
        <x:v>ТРУБА ДКРНП Л63 10*1 НД ГОСТ494-90</x:v>
      </x:c>
      <x:c r="D97" s="16" t="str">
        <x:v>М/прокат цветной</x:v>
      </x:c>
      <x:c r="E97" s="16" t="str">
        <x:v>КГ</x:v>
      </x:c>
      <x:c r="F97" s="21" t="n">
        <x:v>50</x:v>
      </x:c>
      <x:c r="G97" s="17" t="n">
        <x:v>695.4</x:v>
      </x:c>
      <x:c r="H97" s="17" t="n">
        <x:f>G97*F97</x:f>
        <x:v>34770</x:v>
      </x:c>
      <x:c r="I97" s="22" t="str">
        <x:f>HYPERLINK("https://etp-aktiv.ru/catalog/materialy/metalloprodukciya/2000834136-V116/","Открыть позицию")</x:f>
        <x:v>Открыть позицию</x:v>
      </x:c>
    </x:row>
    <x:row r="98" ht="28" customHeight="1">
      <x:c r="A98" s="16" t="str">
        <x:v>Красноярская ГРЭС-2</x:v>
      </x:c>
      <x:c r="B98" s="16" t="str">
        <x:v>2000647866-V116</x:v>
      </x:c>
      <x:c r="C98" s="16" t="str">
        <x:v>ТРУБКА 3Х3ММ ТУ 38.105881-85</x:v>
      </x:c>
      <x:c r="D98" s="16" t="str">
        <x:v>Проч резино-тех изд</x:v>
      </x:c>
      <x:c r="E98" s="16" t="str">
        <x:v>КГ</x:v>
      </x:c>
      <x:c r="F98" s="21" t="n">
        <x:v>6</x:v>
      </x:c>
      <x:c r="G98" s="17" t="n">
        <x:v>188.2216</x:v>
      </x:c>
      <x:c r="H98" s="17" t="n">
        <x:f>G98*F98</x:f>
        <x:v>1129.3296</x:v>
      </x:c>
      <x:c r="I98" s="22" t="str">
        <x:f>HYPERLINK("https://etp-aktiv.ru/catalog/materialy/rezino-tekhnicheskie-izdeliya/2000647866-V116/","Открыть позицию")</x:f>
        <x:v>Открыть позицию</x:v>
      </x:c>
    </x:row>
    <x:row r="99" ht="28" customHeight="1">
      <x:c r="A99" s="16" t="str">
        <x:v>Красноярская ГРЭС-2</x:v>
      </x:c>
      <x:c r="B99" s="16" t="str">
        <x:v>2000556947-V116</x:v>
      </x:c>
      <x:c r="C99" s="16" t="str">
        <x:v>ТРУБКА ВОДОМЕРНАЯ 19-1500</x:v>
      </x:c>
      <x:c r="D99" s="16" t="str">
        <x:v>Химическая посуда</x:v>
      </x:c>
      <x:c r="E99" s="16" t="str">
        <x:v>ШТ</x:v>
      </x:c>
      <x:c r="F99" s="21" t="n">
        <x:v>136</x:v>
      </x:c>
      <x:c r="G99" s="17" t="n">
        <x:v>317.05359999999996</x:v>
      </x:c>
      <x:c r="H99" s="17" t="n">
        <x:f>G99*F99</x:f>
        <x:v>43119.2896</x:v>
      </x:c>
      <x:c r="I99" s="22" t="str">
        <x:f>HYPERLINK("https://etp-aktiv.ru/catalog/materialy/mebel-i-bytovaya-tekhnika/2000556947-V116/","Открыть позицию")</x:f>
        <x:v>Открыть позицию</x:v>
      </x:c>
    </x:row>
    <x:row r="100" ht="28" customHeight="1">
      <x:c r="A100" s="16" t="str">
        <x:v>Красноярская ГРЭС-2</x:v>
      </x:c>
      <x:c r="B100" s="16" t="str">
        <x:v>2000691474-V116</x:v>
      </x:c>
      <x:c r="C100" s="16" t="str">
        <x:v>ТРУБКА СТЕКЛЯННАЯ 20*3*1500 ГОСТ8446-74</x:v>
      </x:c>
      <x:c r="D100" s="16" t="str">
        <x:v>Химическая посуда</x:v>
      </x:c>
      <x:c r="E100" s="16" t="str">
        <x:v>ШТ</x:v>
      </x:c>
      <x:c r="F100" s="21" t="n">
        <x:v>83</x:v>
      </x:c>
      <x:c r="G100" s="17" t="n">
        <x:v>363.7308</x:v>
      </x:c>
      <x:c r="H100" s="17" t="n">
        <x:f>G100*F100</x:f>
        <x:v>30189.6564</x:v>
      </x:c>
      <x:c r="I100" s="22" t="str">
        <x:f>HYPERLINK("https://etp-aktiv.ru/catalog/materialy/mebel-i-bytovaya-tekhnika/2000691474-V116/","Открыть позицию")</x:f>
        <x:v>Открыть позицию</x:v>
      </x:c>
    </x:row>
    <x:row r="101" ht="28" customHeight="1">
      <x:c r="A101" s="16" t="str">
        <x:v>Красноярская ГРЭС-2</x:v>
      </x:c>
      <x:c r="B101" s="16" t="str">
        <x:v>2000526644-V116</x:v>
      </x:c>
      <x:c r="C101" s="16" t="str">
        <x:v>ШТОК 588-10-3А КЛАПАНА 588-10</x:v>
      </x:c>
      <x:c r="D101" s="16" t="str">
        <x:v>ЗЧ трубопр арматуры</x:v>
      </x:c>
      <x:c r="E101" s="16" t="str">
        <x:v>ШТ</x:v>
      </x:c>
      <x:c r="F101" s="21" t="n">
        <x:v>38</x:v>
      </x:c>
      <x:c r="G101" s="17" t="n">
        <x:v>90.13359999999999</x:v>
      </x:c>
      <x:c r="H101" s="17" t="n">
        <x:f>G101*F101</x:f>
        <x:v>3425.0767999999994</x:v>
      </x:c>
      <x:c r="I101" s="22" t="str">
        <x:f>HYPERLINK("https://etp-aktiv.ru/catalog/materialy/truboprovodnaya-armatura-i-komplektuyushchie/2000526644-V116/","Открыть позицию")</x:f>
        <x:v>Открыть позицию</x:v>
      </x:c>
    </x:row>
    <x:row r="102" ht="28" customHeight="1">
      <x:c r="A102" s="16" t="str">
        <x:v>Красноярская ТЭЦ-1</x:v>
      </x:c>
      <x:c r="B102" s="16" t="str">
        <x:v>2000015197-V119</x:v>
      </x:c>
      <x:c r="C102" s="16" t="str">
        <x:v>АРМАТУРА А-III 25Г2С D20ММ ГОСТ5781-82</x:v>
      </x:c>
      <x:c r="D102" s="16" t="str">
        <x:v>М/прокат черный</x:v>
      </x:c>
      <x:c r="E102" s="16" t="str">
        <x:v>Т</x:v>
      </x:c>
      <x:c r="F102" s="30" t="n">
        <x:v>0.022</x:v>
      </x:c>
      <x:c r="G102" s="17" t="n">
        <x:v>62997.75</x:v>
      </x:c>
      <x:c r="H102" s="17" t="n">
        <x:f>G102*F102</x:f>
        <x:v>1385.9505</x:v>
      </x:c>
      <x:c r="I102" s="22" t="str">
        <x:f>HYPERLINK("https://etp-aktiv.ru/catalog/materialy/metalloprodukciya/2000015197-V119/","Открыть позицию")</x:f>
        <x:v>Открыть позицию</x:v>
      </x:c>
    </x:row>
    <x:row r="103" ht="28" customHeight="1">
      <x:c r="A103" s="16" t="str">
        <x:v>Красноярская ТЭЦ-1</x:v>
      </x:c>
      <x:c r="B103" s="16" t="str">
        <x:v>2000015090-V119</x:v>
      </x:c>
      <x:c r="C103" s="16" t="str">
        <x:v>АРМАТУРА А-III 25Г2С D25ММ ГОСТ5781-82</x:v>
      </x:c>
      <x:c r="D103" s="16" t="str">
        <x:v>М/прокат черный</x:v>
      </x:c>
      <x:c r="E103" s="16" t="str">
        <x:v>Т</x:v>
      </x:c>
      <x:c r="F103" s="30" t="n">
        <x:v>0.185</x:v>
      </x:c>
      <x:c r="G103" s="17" t="n">
        <x:v>27357.3776</x:v>
      </x:c>
      <x:c r="H103" s="17" t="n">
        <x:f>G103*F103</x:f>
        <x:v>5061.114856</x:v>
      </x:c>
      <x:c r="I103" s="22" t="str">
        <x:f>HYPERLINK("https://etp-aktiv.ru/catalog/materialy/metalloprodukciya/2000015090-V119/","Открыть позицию")</x:f>
        <x:v>Открыть позицию</x:v>
      </x:c>
    </x:row>
    <x:row r="104" ht="28" customHeight="1">
      <x:c r="A104" s="16" t="str">
        <x:v>Красноярская ТЭЦ-1</x:v>
      </x:c>
      <x:c r="B104" s="16" t="str">
        <x:v>2000015136-V119</x:v>
      </x:c>
      <x:c r="C104" s="16" t="str">
        <x:v>АРМАТУРА А-III 35ГС D8ММ ГОСТ5781-82</x:v>
      </x:c>
      <x:c r="D104" s="16" t="str">
        <x:v>М/прокат черный</x:v>
      </x:c>
      <x:c r="E104" s="16" t="str">
        <x:v>Т</x:v>
      </x:c>
      <x:c r="F104" s="30" t="n">
        <x:v>0.193</x:v>
      </x:c>
      <x:c r="G104" s="17" t="n">
        <x:v>38556.941</x:v>
      </x:c>
      <x:c r="H104" s="17" t="n">
        <x:f>G104*F104</x:f>
        <x:v>7441.489613</x:v>
      </x:c>
      <x:c r="I104" s="22" t="str">
        <x:f>HYPERLINK("https://etp-aktiv.ru/catalog/materialy/metalloprodukciya/2000015136-V119/","Открыть позицию")</x:f>
        <x:v>Открыть позицию</x:v>
      </x:c>
    </x:row>
    <x:row r="105" ht="28" customHeight="1">
      <x:c r="A105" s="16" t="str">
        <x:v>Красноярская ТЭЦ-1</x:v>
      </x:c>
      <x:c r="B105" s="16" t="str">
        <x:v>2000555664-V119</x:v>
      </x:c>
      <x:c r="C105" s="16" t="str">
        <x:v>АРМАТУРА А-III СТ3 D6ММ ГОСТ5781-82</x:v>
      </x:c>
      <x:c r="D105" s="16" t="str">
        <x:v>М/прокат черный</x:v>
      </x:c>
      <x:c r="E105" s="16" t="str">
        <x:v>Т</x:v>
      </x:c>
      <x:c r="F105" s="30" t="n">
        <x:v>0.1</x:v>
      </x:c>
      <x:c r="G105" s="17" t="n">
        <x:v>50252.3734</x:v>
      </x:c>
      <x:c r="H105" s="17" t="n">
        <x:f>G105*F105</x:f>
        <x:v>5025.23734</x:v>
      </x:c>
      <x:c r="I105" s="22" t="str">
        <x:f>HYPERLINK("https://etp-aktiv.ru/catalog/materialy/metalloprodukciya/2000555664-V119/","Открыть позицию")</x:f>
        <x:v>Открыть позицию</x:v>
      </x:c>
    </x:row>
    <x:row r="106" ht="28" customHeight="1">
      <x:c r="A106" s="16" t="str">
        <x:v>Красноярская ТЭЦ-1</x:v>
      </x:c>
      <x:c r="B106" s="16" t="str">
        <x:v>2000555666-V119</x:v>
      </x:c>
      <x:c r="C106" s="16" t="str">
        <x:v>АРМАТУРА А-III СТ3 D8ММ ГОСТ5781-82</x:v>
      </x:c>
      <x:c r="D106" s="16" t="str">
        <x:v>М/прокат черный</x:v>
      </x:c>
      <x:c r="E106" s="16" t="str">
        <x:v>Т</x:v>
      </x:c>
      <x:c r="F106" s="30" t="n">
        <x:v>0.1</x:v>
      </x:c>
      <x:c r="G106" s="17" t="n">
        <x:v>50252.3734</x:v>
      </x:c>
      <x:c r="H106" s="17" t="n">
        <x:f>G106*F106</x:f>
        <x:v>5025.23734</x:v>
      </x:c>
      <x:c r="I106" s="22" t="str">
        <x:f>HYPERLINK("https://etp-aktiv.ru/catalog/materialy/metalloprodukciya/2000555666-V119/","Открыть позицию")</x:f>
        <x:v>Открыть позицию</x:v>
      </x:c>
    </x:row>
    <x:row r="107" ht="28" customHeight="1">
      <x:c r="A107" s="16" t="str">
        <x:v>Красноярская ТЭЦ-1</x:v>
      </x:c>
      <x:c r="B107" s="16" t="str">
        <x:v>2000570012-V119</x:v>
      </x:c>
      <x:c r="C107" s="16" t="str">
        <x:v>АРМАТУРА А500С 10ММ ГОСТ Р52544-06</x:v>
      </x:c>
      <x:c r="D107" s="16" t="str">
        <x:v>М/прокат черный</x:v>
      </x:c>
      <x:c r="E107" s="16" t="str">
        <x:v>Т</x:v>
      </x:c>
      <x:c r="F107" s="30" t="n">
        <x:v>0.57</x:v>
      </x:c>
      <x:c r="G107" s="17" t="n">
        <x:v>46946.5882</x:v>
      </x:c>
      <x:c r="H107" s="17" t="n">
        <x:f>G107*F107</x:f>
        <x:v>26759.555274</x:v>
      </x:c>
      <x:c r="I107" s="22" t="str">
        <x:f>HYPERLINK("https://etp-aktiv.ru/catalog/materialy/metalloprodukciya/2000570012-V119/","Открыть позицию")</x:f>
        <x:v>Открыть позицию</x:v>
      </x:c>
    </x:row>
    <x:row r="108" ht="28" customHeight="1">
      <x:c r="A108" s="16" t="str">
        <x:v>Красноярская ТЭЦ-1</x:v>
      </x:c>
      <x:c r="B108" s="16" t="str">
        <x:v>2000623012-V119</x:v>
      </x:c>
      <x:c r="C108" s="16" t="str">
        <x:v>БЛОК 05 ОСТ34-10-729-93</x:v>
      </x:c>
      <x:c r="D108" s="16" t="str">
        <x:v>Система опорн-подвес</x:v>
      </x:c>
      <x:c r="E108" s="16" t="str">
        <x:v>ШТ</x:v>
      </x:c>
      <x:c r="F108" s="21" t="n">
        <x:v>2</x:v>
      </x:c>
      <x:c r="G108" s="17" t="n">
        <x:v>3267.2331999999997</x:v>
      </x:c>
      <x:c r="H108" s="17" t="n">
        <x:f>G108*F108</x:f>
        <x:v>6534.466399999999</x:v>
      </x:c>
      <x:c r="I108" s="22" t="str">
        <x:f>HYPERLINK("https://etp-aktiv.ru/catalog/materialy/truboprovody/2000623012-V119/","Открыть позицию")</x:f>
        <x:v>Открыть позицию</x:v>
      </x:c>
    </x:row>
    <x:row r="109" ht="28" customHeight="1">
      <x:c r="A109" s="16" t="str">
        <x:v>Красноярская ТЭЦ-1</x:v>
      </x:c>
      <x:c r="B109" s="16" t="str">
        <x:v>2000853126-V119</x:v>
      </x:c>
      <x:c r="C109" s="16" t="str">
        <x:v>БЛОК ПОДВЕСКИ 325У-97 ОСТ34-10-726-93</x:v>
      </x:c>
      <x:c r="D109" s="16" t="str">
        <x:v>Система опорн-подвес</x:v>
      </x:c>
      <x:c r="E109" s="16" t="str">
        <x:v>ШТ</x:v>
      </x:c>
      <x:c r="F109" s="21" t="n">
        <x:v>1</x:v>
      </x:c>
      <x:c r="G109" s="17" t="n">
        <x:v>11202.345</x:v>
      </x:c>
      <x:c r="H109" s="17" t="n">
        <x:f>G109*F109</x:f>
        <x:v>11202.345</x:v>
      </x:c>
      <x:c r="I109" s="22" t="str">
        <x:f>HYPERLINK("https://etp-aktiv.ru/catalog/materialy/truboprovody/2000853126-V119/","Открыть позицию")</x:f>
        <x:v>Открыть позицию</x:v>
      </x:c>
    </x:row>
    <x:row r="110" ht="28" customHeight="1">
      <x:c r="A110" s="16" t="str">
        <x:v>Красноярская ТЭЦ-1</x:v>
      </x:c>
      <x:c r="B110" s="16" t="str">
        <x:v>2000553001-V119</x:v>
      </x:c>
      <x:c r="C110" s="16" t="str">
        <x:v>БЛОК ПОДВЕСКИ 426У 101 ОСТ34-10-726-93</x:v>
      </x:c>
      <x:c r="D110" s="16" t="str">
        <x:v>Система опорн-подвес</x:v>
      </x:c>
      <x:c r="E110" s="16" t="str">
        <x:v>ШТ</x:v>
      </x:c>
      <x:c r="F110" s="21" t="n">
        <x:v>2</x:v>
      </x:c>
      <x:c r="G110" s="17" t="n">
        <x:v>1960.6863999999998</x:v>
      </x:c>
      <x:c r="H110" s="17" t="n">
        <x:f>G110*F110</x:f>
        <x:v>3921.3727999999996</x:v>
      </x:c>
      <x:c r="I110" s="22" t="str">
        <x:f>HYPERLINK("https://etp-aktiv.ru/catalog/materialy/truboprovody/2000553001-V119/","Открыть позицию")</x:f>
        <x:v>Открыть позицию</x:v>
      </x:c>
    </x:row>
    <x:row r="111" ht="28" customHeight="1">
      <x:c r="A111" s="16" t="str">
        <x:v>Красноярская ТЭЦ-1</x:v>
      </x:c>
      <x:c r="B111" s="16" t="str">
        <x:v>2000552950-V119</x:v>
      </x:c>
      <x:c r="C111" s="16" t="str">
        <x:v>БЛОК ПРУЖИН 18 МВН-045-63</x:v>
      </x:c>
      <x:c r="D111" s="16" t="str">
        <x:v>Система опорн-подвес</x:v>
      </x:c>
      <x:c r="E111" s="16" t="str">
        <x:v>ШТ</x:v>
      </x:c>
      <x:c r="F111" s="21" t="n">
        <x:v>6</x:v>
      </x:c>
      <x:c r="G111" s="17" t="n">
        <x:v>1837.3078</x:v>
      </x:c>
      <x:c r="H111" s="17" t="n">
        <x:f>G111*F111</x:f>
        <x:v>11023.8468</x:v>
      </x:c>
      <x:c r="I111" s="22" t="str">
        <x:f>HYPERLINK("https://etp-aktiv.ru/catalog/materialy/truboprovody/2000552950-V119/","Открыть позицию")</x:f>
        <x:v>Открыть позицию</x:v>
      </x:c>
    </x:row>
    <x:row r="112" ht="28" customHeight="1">
      <x:c r="A112" s="16" t="str">
        <x:v>Красноярская ТЭЦ-1</x:v>
      </x:c>
      <x:c r="B112" s="16" t="str">
        <x:v>2000552951-V119</x:v>
      </x:c>
      <x:c r="C112" s="16" t="str">
        <x:v>БЛОК ПРУЖИН ОПОРНЫЙ 19 13832-00</x:v>
      </x:c>
      <x:c r="D112" s="16" t="str">
        <x:v>Система опорн-подвес</x:v>
      </x:c>
      <x:c r="E112" s="16" t="str">
        <x:v>ШТ</x:v>
      </x:c>
      <x:c r="F112" s="21" t="n">
        <x:v>2</x:v>
      </x:c>
      <x:c r="G112" s="17" t="n">
        <x:v>3201.8289999999997</x:v>
      </x:c>
      <x:c r="H112" s="17" t="n">
        <x:f>G112*F112</x:f>
        <x:v>6403.657999999999</x:v>
      </x:c>
      <x:c r="I112" s="22" t="str">
        <x:f>HYPERLINK("https://etp-aktiv.ru/catalog/materialy/truboprovody/2000552951-V119/","Открыть позицию")</x:f>
        <x:v>Открыть позицию</x:v>
      </x:c>
    </x:row>
    <x:row r="113" ht="28" customHeight="1">
      <x:c r="A113" s="16" t="str">
        <x:v>Красноярская ТЭЦ-1</x:v>
      </x:c>
      <x:c r="B113" s="16" t="str">
        <x:v>2000553008-V119</x:v>
      </x:c>
      <x:c r="C113" s="16" t="str">
        <x:v>БЛОК ПРУЖИННЫЙ 02 ОСТ108.275.58-80</x:v>
      </x:c>
      <x:c r="D113" s="16" t="str">
        <x:v>Система опорн-подвес</x:v>
      </x:c>
      <x:c r="E113" s="16" t="str">
        <x:v>ШТ</x:v>
      </x:c>
      <x:c r="F113" s="21" t="n">
        <x:v>15</x:v>
      </x:c>
      <x:c r="G113" s="17" t="n">
        <x:v>1685.979</x:v>
      </x:c>
      <x:c r="H113" s="17" t="n">
        <x:f>G113*F113</x:f>
        <x:v>25289.685</x:v>
      </x:c>
      <x:c r="I113" s="22" t="str">
        <x:f>HYPERLINK("https://etp-aktiv.ru/catalog/materialy/truboprovody/2000553008-V119/","Открыть позицию")</x:f>
        <x:v>Открыть позицию</x:v>
      </x:c>
    </x:row>
    <x:row r="114" ht="28" customHeight="1">
      <x:c r="A114" s="16" t="str">
        <x:v>Красноярская ТЭЦ-1</x:v>
      </x:c>
      <x:c r="B114" s="16" t="str">
        <x:v>2000553010-V119</x:v>
      </x:c>
      <x:c r="C114" s="16" t="str">
        <x:v>БЛОК ПРУЖИННЫЙ 03 ОСТ108.275.58-80</x:v>
      </x:c>
      <x:c r="D114" s="16" t="str">
        <x:v>Система опорн-подвес</x:v>
      </x:c>
      <x:c r="E114" s="16" t="str">
        <x:v>ШТ</x:v>
      </x:c>
      <x:c r="F114" s="21" t="n">
        <x:v>2</x:v>
      </x:c>
      <x:c r="G114" s="17" t="n">
        <x:v>2910.0904</x:v>
      </x:c>
      <x:c r="H114" s="17" t="n">
        <x:f>G114*F114</x:f>
        <x:v>5820.1808</x:v>
      </x:c>
      <x:c r="I114" s="22" t="str">
        <x:f>HYPERLINK("https://etp-aktiv.ru/catalog/materialy/truboprovody/2000553010-V119/","Открыть позицию")</x:f>
        <x:v>Открыть позицию</x:v>
      </x:c>
    </x:row>
    <x:row r="115" ht="28" customHeight="1">
      <x:c r="A115" s="16" t="str">
        <x:v>Красноярская ТЭЦ-1</x:v>
      </x:c>
      <x:c r="B115" s="16" t="str">
        <x:v>2000553013-V119</x:v>
      </x:c>
      <x:c r="C115" s="16" t="str">
        <x:v>БЛОК ПРУЖИННЫЙ 04 ОСТ108.275.58-80</x:v>
      </x:c>
      <x:c r="D115" s="16" t="str">
        <x:v>Система опорн-подвес</x:v>
      </x:c>
      <x:c r="E115" s="16" t="str">
        <x:v>ШТ</x:v>
      </x:c>
      <x:c r="F115" s="21" t="n">
        <x:v>12</x:v>
      </x:c>
      <x:c r="G115" s="17" t="n">
        <x:v>2784.1863999999996</x:v>
      </x:c>
      <x:c r="H115" s="17" t="n">
        <x:f>G115*F115</x:f>
        <x:v>33410.2368</x:v>
      </x:c>
      <x:c r="I115" s="22" t="str">
        <x:f>HYPERLINK("https://etp-aktiv.ru/catalog/materialy/truboprovody/2000553013-V119/","Открыть позицию")</x:f>
        <x:v>Открыть позицию</x:v>
      </x:c>
    </x:row>
    <x:row r="116" ht="28" customHeight="1">
      <x:c r="A116" s="16" t="str">
        <x:v>Красноярская ТЭЦ-1</x:v>
      </x:c>
      <x:c r="B116" s="16" t="str">
        <x:v>2000632173-V119</x:v>
      </x:c>
      <x:c r="C116" s="16" t="str">
        <x:v>БЛОК ПРУЖИННЫЙ 05 МВН 045-63</x:v>
      </x:c>
      <x:c r="D116" s="16" t="str">
        <x:v>Система опорн-подвес</x:v>
      </x:c>
      <x:c r="E116" s="16" t="str">
        <x:v>ШТ</x:v>
      </x:c>
      <x:c r="F116" s="21" t="n">
        <x:v>6</x:v>
      </x:c>
      <x:c r="G116" s="17" t="n">
        <x:v>6416.211799999999</x:v>
      </x:c>
      <x:c r="H116" s="17" t="n">
        <x:f>G116*F116</x:f>
        <x:v>38497.2708</x:v>
      </x:c>
      <x:c r="I116" s="22" t="str">
        <x:f>HYPERLINK("https://etp-aktiv.ru/catalog/materialy/truboprovody/2000632173-V119/","Открыть позицию")</x:f>
        <x:v>Открыть позицию</x:v>
      </x:c>
    </x:row>
    <x:row r="117" ht="28" customHeight="1">
      <x:c r="A117" s="16" t="str">
        <x:v>Красноярская ТЭЦ-1</x:v>
      </x:c>
      <x:c r="B117" s="16" t="str">
        <x:v>2000632159-V119</x:v>
      </x:c>
      <x:c r="C117" s="16" t="str">
        <x:v>БЛОК ПРУЖИННЫЙ 06 МВН 045-63</x:v>
      </x:c>
      <x:c r="D117" s="16" t="str">
        <x:v>Система опорн-подвес</x:v>
      </x:c>
      <x:c r="E117" s="16" t="str">
        <x:v>ШТ</x:v>
      </x:c>
      <x:c r="F117" s="21" t="n">
        <x:v>4</x:v>
      </x:c>
      <x:c r="G117" s="17" t="n">
        <x:v>5915.6458</x:v>
      </x:c>
      <x:c r="H117" s="17" t="n">
        <x:f>G117*F117</x:f>
        <x:v>23662.5832</x:v>
      </x:c>
      <x:c r="I117" s="22" t="str">
        <x:f>HYPERLINK("https://etp-aktiv.ru/catalog/materialy/truboprovody/2000632159-V119/","Открыть позицию")</x:f>
        <x:v>Открыть позицию</x:v>
      </x:c>
    </x:row>
    <x:row r="118" ht="28" customHeight="1">
      <x:c r="A118" s="16" t="str">
        <x:v>Красноярская ТЭЦ-1</x:v>
      </x:c>
      <x:c r="B118" s="16" t="str">
        <x:v>2000553018-V119</x:v>
      </x:c>
      <x:c r="C118" s="16" t="str">
        <x:v>БЛОК ПРУЖИННЫЙ 06 ОСТ108.275.58-80</x:v>
      </x:c>
      <x:c r="D118" s="16" t="str">
        <x:v>Система опорн-подвес</x:v>
      </x:c>
      <x:c r="E118" s="16" t="str">
        <x:v>ШТ</x:v>
      </x:c>
      <x:c r="F118" s="21" t="n">
        <x:v>4</x:v>
      </x:c>
      <x:c r="G118" s="17" t="n">
        <x:v>3354.1094</x:v>
      </x:c>
      <x:c r="H118" s="17" t="n">
        <x:f>G118*F118</x:f>
        <x:v>13416.4376</x:v>
      </x:c>
      <x:c r="I118" s="22" t="str">
        <x:f>HYPERLINK("https://etp-aktiv.ru/catalog/materialy/truboprovody/2000553018-V119/","Открыть позицию")</x:f>
        <x:v>Открыть позицию</x:v>
      </x:c>
    </x:row>
    <x:row r="119" ht="28" customHeight="1">
      <x:c r="A119" s="16" t="str">
        <x:v>Красноярская ТЭЦ-1</x:v>
      </x:c>
      <x:c r="B119" s="16" t="str">
        <x:v>2000553019-V119</x:v>
      </x:c>
      <x:c r="C119" s="16" t="str">
        <x:v>БЛОК ПРУЖИННЫЙ 06 ОСТ108.275.59-80</x:v>
      </x:c>
      <x:c r="D119" s="16" t="str">
        <x:v>Система опорн-подвес</x:v>
      </x:c>
      <x:c r="E119" s="16" t="str">
        <x:v>ШТ</x:v>
      </x:c>
      <x:c r="F119" s="21" t="n">
        <x:v>4</x:v>
      </x:c>
      <x:c r="G119" s="17" t="n">
        <x:v>6277.0708</x:v>
      </x:c>
      <x:c r="H119" s="17" t="n">
        <x:f>G119*F119</x:f>
        <x:v>25108.2832</x:v>
      </x:c>
      <x:c r="I119" s="22" t="str">
        <x:f>HYPERLINK("https://etp-aktiv.ru/catalog/materialy/truboprovody/2000553019-V119/","Открыть позицию")</x:f>
        <x:v>Открыть позицию</x:v>
      </x:c>
    </x:row>
    <x:row r="120" ht="28" customHeight="1">
      <x:c r="A120" s="16" t="str">
        <x:v>Красноярская ТЭЦ-1</x:v>
      </x:c>
      <x:c r="B120" s="16" t="str">
        <x:v>2000632158-V119</x:v>
      </x:c>
      <x:c r="C120" s="16" t="str">
        <x:v>БЛОК ПРУЖИННЫЙ 08 МВН 045-63</x:v>
      </x:c>
      <x:c r="D120" s="16" t="str">
        <x:v>Система опорн-подвес</x:v>
      </x:c>
      <x:c r="E120" s="16" t="str">
        <x:v>ШТ</x:v>
      </x:c>
      <x:c r="F120" s="21" t="n">
        <x:v>10</x:v>
      </x:c>
      <x:c r="G120" s="17" t="n">
        <x:v>9684.6284</x:v>
      </x:c>
      <x:c r="H120" s="17" t="n">
        <x:f>G120*F120</x:f>
        <x:v>96846.284</x:v>
      </x:c>
      <x:c r="I120" s="22" t="str">
        <x:f>HYPERLINK("https://etp-aktiv.ru/catalog/materialy/truboprovody/2000632158-V119/","Открыть позицию")</x:f>
        <x:v>Открыть позицию</x:v>
      </x:c>
    </x:row>
    <x:row r="121" ht="28" customHeight="1">
      <x:c r="A121" s="16" t="str">
        <x:v>Красноярская ТЭЦ-1</x:v>
      </x:c>
      <x:c r="B121" s="16" t="str">
        <x:v>2000553026-V119</x:v>
      </x:c>
      <x:c r="C121" s="16" t="str">
        <x:v>БЛОК ПРУЖИННЫЙ 09 ОСТ108.275.58-80</x:v>
      </x:c>
      <x:c r="D121" s="16" t="str">
        <x:v>Система опорн-подвес</x:v>
      </x:c>
      <x:c r="E121" s="16" t="str">
        <x:v>ШТ</x:v>
      </x:c>
      <x:c r="F121" s="21" t="n">
        <x:v>1</x:v>
      </x:c>
      <x:c r="G121" s="17" t="n">
        <x:v>8525.4942</x:v>
      </x:c>
      <x:c r="H121" s="17" t="n">
        <x:f>G121*F121</x:f>
        <x:v>8525.4942</x:v>
      </x:c>
      <x:c r="I121" s="22" t="str">
        <x:f>HYPERLINK("https://etp-aktiv.ru/catalog/materialy/truboprovody/2000553026-V119/","Открыть позицию")</x:f>
        <x:v>Открыть позицию</x:v>
      </x:c>
    </x:row>
    <x:row r="122" ht="28" customHeight="1">
      <x:c r="A122" s="16" t="str">
        <x:v>Красноярская ТЭЦ-1</x:v>
      </x:c>
      <x:c r="B122" s="16" t="str">
        <x:v>2000553034-V119</x:v>
      </x:c>
      <x:c r="C122" s="16" t="str">
        <x:v>БЛОК ПРУЖИННЫЙ 16 ОСТ108.275.58-80</x:v>
      </x:c>
      <x:c r="D122" s="16" t="str">
        <x:v>Система опорн-подвес</x:v>
      </x:c>
      <x:c r="E122" s="16" t="str">
        <x:v>ШТ</x:v>
      </x:c>
      <x:c r="F122" s="21" t="n">
        <x:v>1</x:v>
      </x:c>
      <x:c r="G122" s="17" t="n">
        <x:v>2499.6214</x:v>
      </x:c>
      <x:c r="H122" s="17" t="n">
        <x:f>G122*F122</x:f>
        <x:v>2499.6214</x:v>
      </x:c>
      <x:c r="I122" s="22" t="str">
        <x:f>HYPERLINK("https://etp-aktiv.ru/catalog/materialy/truboprovody/2000553034-V119/","Открыть позицию")</x:f>
        <x:v>Открыть позицию</x:v>
      </x:c>
    </x:row>
    <x:row r="123" ht="28" customHeight="1">
      <x:c r="A123" s="16" t="str">
        <x:v>Красноярская ТЭЦ-1</x:v>
      </x:c>
      <x:c r="B123" s="16" t="str">
        <x:v>2000553037-V119</x:v>
      </x:c>
      <x:c r="C123" s="16" t="str">
        <x:v>БЛОК ПРУЖИННЫЙ 18 ОСТ108.275.60-80</x:v>
      </x:c>
      <x:c r="D123" s="16" t="str">
        <x:v>Система опорн-подвес</x:v>
      </x:c>
      <x:c r="E123" s="16" t="str">
        <x:v>ШТ</x:v>
      </x:c>
      <x:c r="F123" s="21" t="n">
        <x:v>1</x:v>
      </x:c>
      <x:c r="G123" s="17" t="n">
        <x:v>1885.1074</x:v>
      </x:c>
      <x:c r="H123" s="17" t="n">
        <x:f>G123*F123</x:f>
        <x:v>1885.1074</x:v>
      </x:c>
      <x:c r="I123" s="22" t="str">
        <x:f>HYPERLINK("https://etp-aktiv.ru/catalog/materialy/truboprovody/2000553037-V119/","Открыть позицию")</x:f>
        <x:v>Открыть позицию</x:v>
      </x:c>
    </x:row>
    <x:row r="124" ht="28" customHeight="1">
      <x:c r="A124" s="16" t="str">
        <x:v>Красноярская ТЭЦ-1</x:v>
      </x:c>
      <x:c r="B124" s="16" t="str">
        <x:v>2000632171-V119</x:v>
      </x:c>
      <x:c r="C124" s="16" t="str">
        <x:v>БЛОК ПРУЖИННЫЙ 19 МВН 045-63</x:v>
      </x:c>
      <x:c r="D124" s="16" t="str">
        <x:v>Система опорн-подвес</x:v>
      </x:c>
      <x:c r="E124" s="16" t="str">
        <x:v>ШТ</x:v>
      </x:c>
      <x:c r="F124" s="21" t="n">
        <x:v>7</x:v>
      </x:c>
      <x:c r="G124" s="17" t="n">
        <x:v>8157.566599999999</x:v>
      </x:c>
      <x:c r="H124" s="17" t="n">
        <x:f>G124*F124</x:f>
        <x:v>57102.966199999995</x:v>
      </x:c>
      <x:c r="I124" s="22" t="str">
        <x:f>HYPERLINK("https://etp-aktiv.ru/catalog/materialy/truboprovody/2000632171-V119/","Открыть позицию")</x:f>
        <x:v>Открыть позицию</x:v>
      </x:c>
    </x:row>
    <x:row r="125" ht="28" customHeight="1">
      <x:c r="A125" s="16" t="str">
        <x:v>Красноярская ТЭЦ-1</x:v>
      </x:c>
      <x:c r="B125" s="16" t="str">
        <x:v>2000553038-V119</x:v>
      </x:c>
      <x:c r="C125" s="16" t="str">
        <x:v>БЛОК ПРУЖИННЫЙ 19 ОСТ108.275.58-80</x:v>
      </x:c>
      <x:c r="D125" s="16" t="str">
        <x:v>Система опорн-подвес</x:v>
      </x:c>
      <x:c r="E125" s="16" t="str">
        <x:v>ШТ</x:v>
      </x:c>
      <x:c r="F125" s="21" t="n">
        <x:v>8</x:v>
      </x:c>
      <x:c r="G125" s="17" t="n">
        <x:v>5184.0362</x:v>
      </x:c>
      <x:c r="H125" s="17" t="n">
        <x:f>G125*F125</x:f>
        <x:v>41472.2896</x:v>
      </x:c>
      <x:c r="I125" s="22" t="str">
        <x:f>HYPERLINK("https://etp-aktiv.ru/catalog/materialy/truboprovody/2000553038-V119/","Открыть позицию")</x:f>
        <x:v>Открыть позицию</x:v>
      </x:c>
    </x:row>
    <x:row r="126" ht="28" customHeight="1">
      <x:c r="A126" s="16" t="str">
        <x:v>Красноярская ТЭЦ-1</x:v>
      </x:c>
      <x:c r="B126" s="16" t="str">
        <x:v>2000553039-V119</x:v>
      </x:c>
      <x:c r="C126" s="16" t="str">
        <x:v>БЛОК ПРУЖИННЫЙ 20 ОСТ108.275.58-80</x:v>
      </x:c>
      <x:c r="D126" s="16" t="str">
        <x:v>Система опорн-подвес</x:v>
      </x:c>
      <x:c r="E126" s="16" t="str">
        <x:v>ШТ</x:v>
      </x:c>
      <x:c r="F126" s="21" t="n">
        <x:v>2</x:v>
      </x:c>
      <x:c r="G126" s="17" t="n">
        <x:v>7056.6386</x:v>
      </x:c>
      <x:c r="H126" s="17" t="n">
        <x:f>G126*F126</x:f>
        <x:v>14113.2772</x:v>
      </x:c>
      <x:c r="I126" s="22" t="str">
        <x:f>HYPERLINK("https://etp-aktiv.ru/catalog/materialy/truboprovody/2000553039-V119/","Открыть позицию")</x:f>
        <x:v>Открыть позицию</x:v>
      </x:c>
    </x:row>
    <x:row r="127" ht="28" customHeight="1">
      <x:c r="A127" s="16" t="str">
        <x:v>Красноярская ТЭЦ-1</x:v>
      </x:c>
      <x:c r="B127" s="16" t="str">
        <x:v>2000553040-V119</x:v>
      </x:c>
      <x:c r="C127" s="16" t="str">
        <x:v>БЛОК ПРУЖИННЫЙ 20 ОСТ108.275.59</x:v>
      </x:c>
      <x:c r="D127" s="16" t="str">
        <x:v>Система опорн-подвес</x:v>
      </x:c>
      <x:c r="E127" s="16" t="str">
        <x:v>ШТ</x:v>
      </x:c>
      <x:c r="F127" s="21" t="n">
        <x:v>4</x:v>
      </x:c>
      <x:c r="G127" s="17" t="n">
        <x:v>22762.662399999997</x:v>
      </x:c>
      <x:c r="H127" s="17" t="n">
        <x:f>G127*F127</x:f>
        <x:v>91050.64959999999</x:v>
      </x:c>
      <x:c r="I127" s="22" t="str">
        <x:f>HYPERLINK("https://etp-aktiv.ru/catalog/materialy/truboprovody/2000553040-V119/","Открыть позицию")</x:f>
        <x:v>Открыть позицию</x:v>
      </x:c>
    </x:row>
    <x:row r="128" ht="28" customHeight="1">
      <x:c r="A128" s="16" t="str">
        <x:v>Красноярская ТЭЦ-1</x:v>
      </x:c>
      <x:c r="B128" s="16" t="str">
        <x:v>2000553041-V119</x:v>
      </x:c>
      <x:c r="C128" s="16" t="str">
        <x:v>БЛОК ПРУЖИННЫЙ 20 ОСТ108.275.60-80</x:v>
      </x:c>
      <x:c r="D128" s="16" t="str">
        <x:v>Система опорн-подвес</x:v>
      </x:c>
      <x:c r="E128" s="16" t="str">
        <x:v>ШТ</x:v>
      </x:c>
      <x:c r="F128" s="21" t="n">
        <x:v>2</x:v>
      </x:c>
      <x:c r="G128" s="17" t="n">
        <x:v>7255.266799999999</x:v>
      </x:c>
      <x:c r="H128" s="17" t="n">
        <x:f>G128*F128</x:f>
        <x:v>14510.533599999999</x:v>
      </x:c>
      <x:c r="I128" s="22" t="str">
        <x:f>HYPERLINK("https://etp-aktiv.ru/catalog/materialy/truboprovody/2000553041-V119/","Открыть позицию")</x:f>
        <x:v>Открыть позицию</x:v>
      </x:c>
    </x:row>
    <x:row r="129" ht="28" customHeight="1">
      <x:c r="A129" s="16" t="str">
        <x:v>Красноярская ТЭЦ-1</x:v>
      </x:c>
      <x:c r="B129" s="16" t="str">
        <x:v>2000632170-V119</x:v>
      </x:c>
      <x:c r="C129" s="16" t="str">
        <x:v>БЛОК ПРУЖИННЫЙ 24 МВН 045-63</x:v>
      </x:c>
      <x:c r="D129" s="16" t="str">
        <x:v>Система опорн-подвес</x:v>
      </x:c>
      <x:c r="E129" s="16" t="str">
        <x:v>ШТ</x:v>
      </x:c>
      <x:c r="F129" s="21" t="n">
        <x:v>2</x:v>
      </x:c>
      <x:c r="G129" s="17" t="n">
        <x:v>27504.5096</x:v>
      </x:c>
      <x:c r="H129" s="17" t="n">
        <x:f>G129*F129</x:f>
        <x:v>55009.0192</x:v>
      </x:c>
      <x:c r="I129" s="22" t="str">
        <x:f>HYPERLINK("https://etp-aktiv.ru/catalog/materialy/truboprovody/2000632170-V119/","Открыть позицию")</x:f>
        <x:v>Открыть позицию</x:v>
      </x:c>
    </x:row>
    <x:row r="130" ht="28" customHeight="1">
      <x:c r="A130" s="16" t="str">
        <x:v>Красноярская ТЭЦ-1</x:v>
      </x:c>
      <x:c r="B130" s="16" t="str">
        <x:v>2000553049-V119</x:v>
      </x:c>
      <x:c r="C130" s="16" t="str">
        <x:v>БЛОК ПРУЖИННЫЙ ОПОРН 17 ОСТ34-10-745-93</x:v>
      </x:c>
      <x:c r="D130" s="16" t="str">
        <x:v>Система опорн-подвес</x:v>
      </x:c>
      <x:c r="E130" s="16" t="str">
        <x:v>ШТ</x:v>
      </x:c>
      <x:c r="F130" s="21" t="n">
        <x:v>2</x:v>
      </x:c>
      <x:c r="G130" s="17" t="n">
        <x:v>9214.281799999999</x:v>
      </x:c>
      <x:c r="H130" s="17" t="n">
        <x:f>G130*F130</x:f>
        <x:v>18428.563599999998</x:v>
      </x:c>
      <x:c r="I130" s="22" t="str">
        <x:f>HYPERLINK("https://etp-aktiv.ru/catalog/materialy/truboprovody/2000553049-V119/","Открыть позицию")</x:f>
        <x:v>Открыть позицию</x:v>
      </x:c>
    </x:row>
    <x:row r="131" ht="28" customHeight="1">
      <x:c r="A131" s="16" t="str">
        <x:v>Красноярская ТЭЦ-1</x:v>
      </x:c>
      <x:c r="B131" s="16" t="str">
        <x:v>2000553060-V119</x:v>
      </x:c>
      <x:c r="C131" s="16" t="str">
        <x:v>БЛОК ПРУЖИННЫЙ СБОРН 16 ОСТ34-10-743-93</x:v>
      </x:c>
      <x:c r="D131" s="16" t="str">
        <x:v>Система опорн-подвес</x:v>
      </x:c>
      <x:c r="E131" s="16" t="str">
        <x:v>ШТ</x:v>
      </x:c>
      <x:c r="F131" s="21" t="n">
        <x:v>2</x:v>
      </x:c>
      <x:c r="G131" s="17" t="n">
        <x:v>2094.8986</x:v>
      </x:c>
      <x:c r="H131" s="17" t="n">
        <x:f>G131*F131</x:f>
        <x:v>4189.7972</x:v>
      </x:c>
      <x:c r="I131" s="22" t="str">
        <x:f>HYPERLINK("https://etp-aktiv.ru/catalog/materialy/truboprovody/2000553060-V119/","Открыть позицию")</x:f>
        <x:v>Открыть позицию</x:v>
      </x:c>
    </x:row>
    <x:row r="132" ht="28" customHeight="1">
      <x:c r="A132" s="16" t="str">
        <x:v>Красноярская ТЭЦ-1</x:v>
      </x:c>
      <x:c r="B132" s="16" t="str">
        <x:v>2000633296-V119</x:v>
      </x:c>
      <x:c r="C132" s="16" t="str">
        <x:v>БЛОК ПРУЖИННЫЙ СДВОЕННЫЙ 04 МВН1867-65</x:v>
      </x:c>
      <x:c r="D132" s="16" t="str">
        <x:v>Система опорн-подвес</x:v>
      </x:c>
      <x:c r="E132" s="16" t="str">
        <x:v>ШТ</x:v>
      </x:c>
      <x:c r="F132" s="21" t="n">
        <x:v>4</x:v>
      </x:c>
      <x:c r="G132" s="17" t="n">
        <x:v>8749.266599999999</x:v>
      </x:c>
      <x:c r="H132" s="17" t="n">
        <x:f>G132*F132</x:f>
        <x:v>34997.066399999996</x:v>
      </x:c>
      <x:c r="I132" s="22" t="str">
        <x:f>HYPERLINK("https://etp-aktiv.ru/catalog/materialy/truboprovody/2000633296-V119/","Открыть позицию")</x:f>
        <x:v>Открыть позицию</x:v>
      </x:c>
    </x:row>
    <x:row r="133" ht="28" customHeight="1">
      <x:c r="A133" s="16" t="str">
        <x:v>Красноярская ТЭЦ-1</x:v>
      </x:c>
      <x:c r="B133" s="16" t="str">
        <x:v>2000649499-V119</x:v>
      </x:c>
      <x:c r="C133" s="16" t="str">
        <x:v>БЛОК ХОМУТОВЫЙ 02 ОСТ108.275.52-80</x:v>
      </x:c>
      <x:c r="D133" s="16" t="str">
        <x:v>Система опорн-подвес</x:v>
      </x:c>
      <x:c r="E133" s="16" t="str">
        <x:v>ШТ</x:v>
      </x:c>
      <x:c r="F133" s="21" t="n">
        <x:v>12</x:v>
      </x:c>
      <x:c r="G133" s="17" t="n">
        <x:v>664.3144</x:v>
      </x:c>
      <x:c r="H133" s="17" t="n">
        <x:f>G133*F133</x:f>
        <x:v>7971.7728</x:v>
      </x:c>
      <x:c r="I133" s="22" t="str">
        <x:f>HYPERLINK("https://etp-aktiv.ru/catalog/materialy/truboprovody/2000649499-V119/","Открыть позицию")</x:f>
        <x:v>Открыть позицию</x:v>
      </x:c>
    </x:row>
    <x:row r="134" ht="28" customHeight="1">
      <x:c r="A134" s="16" t="str">
        <x:v>Красноярская ТЭЦ-1</x:v>
      </x:c>
      <x:c r="B134" s="16" t="str">
        <x:v>2000649690-V119</x:v>
      </x:c>
      <x:c r="C134" s="16" t="str">
        <x:v>БЛОК ХОМУТОВЫЙ 02 ОСТ108.275.56-80</x:v>
      </x:c>
      <x:c r="D134" s="16" t="str">
        <x:v>Система опорн-подвес</x:v>
      </x:c>
      <x:c r="E134" s="16" t="str">
        <x:v>ШТ</x:v>
      </x:c>
      <x:c r="F134" s="21" t="n">
        <x:v>3</x:v>
      </x:c>
      <x:c r="G134" s="17" t="n">
        <x:v>2326.2472</x:v>
      </x:c>
      <x:c r="H134" s="17" t="n">
        <x:f>G134*F134</x:f>
        <x:v>6978.741599999999</x:v>
      </x:c>
      <x:c r="I134" s="22" t="str">
        <x:f>HYPERLINK("https://etp-aktiv.ru/catalog/materialy/truboprovody/2000649690-V119/","Открыть позицию")</x:f>
        <x:v>Открыть позицию</x:v>
      </x:c>
    </x:row>
    <x:row r="135" ht="28" customHeight="1">
      <x:c r="A135" s="16" t="str">
        <x:v>Красноярская ТЭЦ-1</x:v>
      </x:c>
      <x:c r="B135" s="16" t="str">
        <x:v>2000649498-V119</x:v>
      </x:c>
      <x:c r="C135" s="16" t="str">
        <x:v>БЛОК ХОМУТОВЫЙ 02 ОСТ108.275.64-80</x:v>
      </x:c>
      <x:c r="D135" s="16" t="str">
        <x:v>Система опорн-подвес</x:v>
      </x:c>
      <x:c r="E135" s="16" t="str">
        <x:v>ШТ</x:v>
      </x:c>
      <x:c r="F135" s="21" t="n">
        <x:v>6</x:v>
      </x:c>
      <x:c r="G135" s="17" t="n">
        <x:v>502.7254</x:v>
      </x:c>
      <x:c r="H135" s="17" t="n">
        <x:f>G135*F135</x:f>
        <x:v>3016.3523999999998</x:v>
      </x:c>
      <x:c r="I135" s="22" t="str">
        <x:f>HYPERLINK("https://etp-aktiv.ru/catalog/materialy/truboprovody/2000649498-V119/","Открыть позицию")</x:f>
        <x:v>Открыть позицию</x:v>
      </x:c>
    </x:row>
    <x:row r="136" ht="28" customHeight="1">
      <x:c r="A136" s="16" t="str">
        <x:v>Красноярская ТЭЦ-1</x:v>
      </x:c>
      <x:c r="B136" s="16" t="str">
        <x:v>2000257308-V119</x:v>
      </x:c>
      <x:c r="C136" s="16" t="str">
        <x:v>БЛОК ХОМУТОВЫЙ 21 ОСТ108.275.56-80</x:v>
      </x:c>
      <x:c r="D136" s="16" t="str">
        <x:v>Система опорн-подвес</x:v>
      </x:c>
      <x:c r="E136" s="16" t="str">
        <x:v>ШТ</x:v>
      </x:c>
      <x:c r="F136" s="21" t="n">
        <x:v>1</x:v>
      </x:c>
      <x:c r="G136" s="17" t="n">
        <x:v>1097.1581999999999</x:v>
      </x:c>
      <x:c r="H136" s="17" t="n">
        <x:f>G136*F136</x:f>
        <x:v>1097.1581999999999</x:v>
      </x:c>
      <x:c r="I136" s="22" t="str">
        <x:f>HYPERLINK("https://etp-aktiv.ru/catalog/materialy/truboprovody/2000257308-V119/","Открыть позицию")</x:f>
        <x:v>Открыть позицию</x:v>
      </x:c>
    </x:row>
    <x:row r="137" ht="28" customHeight="1">
      <x:c r="A137" s="16" t="str">
        <x:v>Красноярская ТЭЦ-1</x:v>
      </x:c>
      <x:c r="B137" s="16" t="str">
        <x:v>2000553069-V119</x:v>
      </x:c>
      <x:c r="C137" s="16" t="str">
        <x:v>БЛОК ХОМУТОВЫЙ 273 25 ОСТ108.275.52-80</x:v>
      </x:c>
      <x:c r="D137" s="16" t="str">
        <x:v>Система опорн-подвес</x:v>
      </x:c>
      <x:c r="E137" s="16" t="str">
        <x:v>ШТ</x:v>
      </x:c>
      <x:c r="F137" s="21" t="n">
        <x:v>1</x:v>
      </x:c>
      <x:c r="G137" s="17" t="n">
        <x:v>2674.3619999999996</x:v>
      </x:c>
      <x:c r="H137" s="17" t="n">
        <x:f>G137*F137</x:f>
        <x:v>2674.3619999999996</x:v>
      </x:c>
      <x:c r="I137" s="22" t="str">
        <x:f>HYPERLINK("https://etp-aktiv.ru/catalog/materialy/truboprovody/2000553069-V119/","Открыть позицию")</x:f>
        <x:v>Открыть позицию</x:v>
      </x:c>
    </x:row>
    <x:row r="138" ht="28" customHeight="1">
      <x:c r="A138" s="16" t="str">
        <x:v>Красноярская ТЭЦ-1</x:v>
      </x:c>
      <x:c r="B138" s="16" t="str">
        <x:v>2000481554-V119</x:v>
      </x:c>
      <x:c r="C138" s="16" t="str">
        <x:v>ДЕРЖАТЕЛЬ ТРУБЫ ПРЕСТИЖ D100 RAL8017</x:v>
      </x:c>
      <x:c r="D138" s="16" t="str">
        <x:v>Проч строит матер-ы</x:v>
      </x:c>
      <x:c r="E138" s="16" t="str">
        <x:v>ШТ</x:v>
      </x:c>
      <x:c r="F138" s="21" t="n">
        <x:v>13</x:v>
      </x:c>
      <x:c r="G138" s="17" t="n">
        <x:v>98.0026</x:v>
      </x:c>
      <x:c r="H138" s="17" t="n">
        <x:f>G138*F138</x:f>
        <x:v>1274.0338</x:v>
      </x:c>
      <x:c r="I138" s="22" t="str">
        <x:f>HYPERLINK("https://etp-aktiv.ru/catalog/materialy/stroitelnye-materialy/2000481554-V119/","Открыть позицию")</x:f>
        <x:v>Открыть позицию</x:v>
      </x:c>
    </x:row>
    <x:row r="139" ht="28" customHeight="1">
      <x:c r="A139" s="16" t="str">
        <x:v>Красноярская ТЭЦ-1</x:v>
      </x:c>
      <x:c r="B139" s="16" t="str">
        <x:v>2000766610-V119</x:v>
      </x:c>
      <x:c r="C139" s="16" t="str">
        <x:v>КЛАПАН 14НЖ19СТ DN15 PN25 РП МУФ</x:v>
      </x:c>
      <x:c r="D139" s="16" t="str">
        <x:v>Задвиж/клапан стальн</x:v>
      </x:c>
      <x:c r="E139" s="16" t="str">
        <x:v>ШТ</x:v>
      </x:c>
      <x:c r="F139" s="21" t="n">
        <x:v>2</x:v>
      </x:c>
      <x:c r="G139" s="17" t="n">
        <x:v>12249.568599999999</x:v>
      </x:c>
      <x:c r="H139" s="17" t="n">
        <x:f>G139*F139</x:f>
        <x:v>24499.137199999997</x:v>
      </x:c>
      <x:c r="I139" s="22" t="str">
        <x:f>HYPERLINK("https://etp-aktiv.ru/catalog/materialy/truboprovodnaya-armatura-i-komplektuyushchie/2000766610-V119/","Открыть позицию")</x:f>
        <x:v>Открыть позицию</x:v>
      </x:c>
    </x:row>
    <x:row r="140" ht="28" customHeight="1">
      <x:c r="A140" s="16" t="str">
        <x:v>Красноярская ТЭЦ-1</x:v>
      </x:c>
      <x:c r="B140" s="16" t="str">
        <x:v>2000539515-V119</x:v>
      </x:c>
      <x:c r="C140" s="16" t="str">
        <x:v>КЛАПАН 14С17П30-1 DN25 PN10 РУК ЦАПК A</x:v>
      </x:c>
      <x:c r="D140" s="16" t="str">
        <x:v>Задвиж/клапан стальн</x:v>
      </x:c>
      <x:c r="E140" s="16" t="str">
        <x:v>ШТ</x:v>
      </x:c>
      <x:c r="F140" s="21" t="n">
        <x:v>2</x:v>
      </x:c>
      <x:c r="G140" s="17" t="n">
        <x:v>9640.684</x:v>
      </x:c>
      <x:c r="H140" s="17" t="n">
        <x:f>G140*F140</x:f>
        <x:v>19281.368</x:v>
      </x:c>
      <x:c r="I140" s="22" t="str">
        <x:f>HYPERLINK("https://etp-aktiv.ru/catalog/materialy/truboprovodnaya-armatura-i-komplektuyushchie/2000539515-V119/","Открыть позицию")</x:f>
        <x:v>Открыть позицию</x:v>
      </x:c>
    </x:row>
    <x:row r="141" ht="28" customHeight="1">
      <x:c r="A141" s="16" t="str">
        <x:v>Красноярская ТЭЦ-1</x:v>
      </x:c>
      <x:c r="B141" s="16" t="str">
        <x:v>2000539551-V119</x:v>
      </x:c>
      <x:c r="C141" s="16" t="str">
        <x:v>КЛАПАН 15БЗР DN50 PN16 Р.П МАХОВИК ФЛ A</x:v>
      </x:c>
      <x:c r="D141" s="16" t="str">
        <x:v>Армат из медн сплав</x:v>
      </x:c>
      <x:c r="E141" s="16" t="str">
        <x:v>ШТ</x:v>
      </x:c>
      <x:c r="F141" s="21" t="n">
        <x:v>37</x:v>
      </x:c>
      <x:c r="G141" s="17" t="n">
        <x:v>1028.6552</x:v>
      </x:c>
      <x:c r="H141" s="17" t="n">
        <x:f>G141*F141</x:f>
        <x:v>38060.242399999996</x:v>
      </x:c>
      <x:c r="I141" s="22" t="str">
        <x:f>HYPERLINK("https://etp-aktiv.ru/catalog/materialy/truboprovodnaya-armatura-i-komplektuyushchie/2000539551-V119/","Открыть позицию")</x:f>
        <x:v>Открыть позицию</x:v>
      </x:c>
    </x:row>
    <x:row r="142" ht="28" customHeight="1">
      <x:c r="A142" s="16" t="str">
        <x:v>Красноярская ТЭЦ-1</x:v>
      </x:c>
      <x:c r="B142" s="16" t="str">
        <x:v>2000609399-V119</x:v>
      </x:c>
      <x:c r="C142" s="16" t="str">
        <x:v>КЛАПАН 22Б16П DN6 PN16 РП ЦАПКОВЫЙ</x:v>
      </x:c>
      <x:c r="D142" s="16" t="str">
        <x:v>Армат из медн сплав</x:v>
      </x:c>
      <x:c r="E142" s="16" t="str">
        <x:v>ШТ</x:v>
      </x:c>
      <x:c r="F142" s="21" t="n">
        <x:v>5</x:v>
      </x:c>
      <x:c r="G142" s="17" t="n">
        <x:v>1944.2652</x:v>
      </x:c>
      <x:c r="H142" s="17" t="n">
        <x:f>G142*F142</x:f>
        <x:v>9721.326000000001</x:v>
      </x:c>
      <x:c r="I142" s="22" t="str">
        <x:f>HYPERLINK("https://etp-aktiv.ru/catalog/materialy/truboprovodnaya-armatura-i-komplektuyushchie/2000609399-V119/","Открыть позицию")</x:f>
        <x:v>Открыть позицию</x:v>
      </x:c>
    </x:row>
    <x:row r="143" ht="28" customHeight="1">
      <x:c r="A143" s="16" t="str">
        <x:v>Красноярская ТЭЦ-1</x:v>
      </x:c>
      <x:c r="B143" s="16" t="str">
        <x:v>2000539676-V119</x:v>
      </x:c>
      <x:c r="C143" s="16" t="str">
        <x:v>КЛАПАН KV40 DN32 PN40 Б/ПРИВ ФЛАНЦ А</x:v>
      </x:c>
      <x:c r="D143" s="16" t="str">
        <x:v>Обратная арматура</x:v>
      </x:c>
      <x:c r="E143" s="16" t="str">
        <x:v>ШТ</x:v>
      </x:c>
      <x:c r="F143" s="21" t="n">
        <x:v>2</x:v>
      </x:c>
      <x:c r="G143" s="17" t="n">
        <x:v>4277.625</x:v>
      </x:c>
      <x:c r="H143" s="17" t="n">
        <x:f>G143*F143</x:f>
        <x:v>8555.25</x:v>
      </x:c>
      <x:c r="I143" s="22" t="str">
        <x:f>HYPERLINK("https://etp-aktiv.ru/catalog/materialy/truboprovodnaya-armatura-i-komplektuyushchie/2000539676-V119/","Открыть позицию")</x:f>
        <x:v>Открыть позицию</x:v>
      </x:c>
    </x:row>
    <x:row r="144" ht="28" customHeight="1">
      <x:c r="A144" s="16" t="str">
        <x:v>Красноярская ТЭЦ-1</x:v>
      </x:c>
      <x:c r="B144" s="16" t="str">
        <x:v>2000539684-V119</x:v>
      </x:c>
      <x:c r="C144" s="16" t="str">
        <x:v>КЛАПАН КЗ 25.16.4310 DN25 PN16 Р/П ФЛ А</x:v>
      </x:c>
      <x:c r="D144" s="16" t="str">
        <x:v>Задвиж/клапан стальн</x:v>
      </x:c>
      <x:c r="E144" s="16" t="str">
        <x:v>ШТ</x:v>
      </x:c>
      <x:c r="F144" s="21" t="n">
        <x:v>21</x:v>
      </x:c>
      <x:c r="G144" s="17" t="n">
        <x:v>1868.7959999999998</x:v>
      </x:c>
      <x:c r="H144" s="17" t="n">
        <x:f>G144*F144</x:f>
        <x:v>39244.71599999999</x:v>
      </x:c>
      <x:c r="I144" s="22" t="str">
        <x:f>HYPERLINK("https://etp-aktiv.ru/catalog/materialy/truboprovodnaya-armatura-i-komplektuyushchie/2000539684-V119/","Открыть позицию")</x:f>
        <x:v>Открыть позицию</x:v>
      </x:c>
    </x:row>
    <x:row r="145" ht="28" customHeight="1">
      <x:c r="A145" s="16" t="str">
        <x:v>Красноярская ТЭЦ-1</x:v>
      </x:c>
      <x:c r="B145" s="16" t="str">
        <x:v>2000582384-V119</x:v>
      </x:c>
      <x:c r="C145" s="16" t="str">
        <x:v>КЛАПАН СППК4Р-50-16 DN50 PN16 Р/П ФЛ A</x:v>
      </x:c>
      <x:c r="D145" s="16" t="str">
        <x:v>ПредохранитАрматура</x:v>
      </x:c>
      <x:c r="E145" s="16" t="str">
        <x:v>ШТ</x:v>
      </x:c>
      <x:c r="F145" s="21" t="n">
        <x:v>1</x:v>
      </x:c>
      <x:c r="G145" s="17" t="n">
        <x:v>39380.075</x:v>
      </x:c>
      <x:c r="H145" s="17" t="n">
        <x:f>G145*F145</x:f>
        <x:v>39380.075</x:v>
      </x:c>
      <x:c r="I145" s="22" t="str">
        <x:f>HYPERLINK("https://etp-aktiv.ru/catalog/materialy/truboprovodnaya-armatura-i-komplektuyushchie/2000582384-V119/","Открыть позицию")</x:f>
        <x:v>Открыть позицию</x:v>
      </x:c>
    </x:row>
    <x:row r="146" ht="28" customHeight="1">
      <x:c r="A146" s="16" t="str">
        <x:v>Красноярская ТЭЦ-1</x:v>
      </x:c>
      <x:c r="B146" s="16" t="str">
        <x:v>2000580385-V119</x:v>
      </x:c>
      <x:c r="C146" s="16" t="str">
        <x:v>КЛЮЧ ТРУБНЫЙ РЫЧАЖНЫЙ 120-800ММ 15795</x:v>
      </x:c>
      <x:c r="D146" s="16" t="str">
        <x:v>Инструмент и спецосн</x:v>
      </x:c>
      <x:c r="E146" s="16" t="str">
        <x:v>ШТ</x:v>
      </x:c>
      <x:c r="F146" s="21" t="n">
        <x:v>8</x:v>
      </x:c>
      <x:c r="G146" s="17" t="n">
        <x:v>1437.221</x:v>
      </x:c>
      <x:c r="H146" s="17" t="n">
        <x:f>G146*F146</x:f>
        <x:v>11497.768</x:v>
      </x:c>
      <x:c r="I146" s="22" t="str">
        <x:f>HYPERLINK("https://etp-aktiv.ru/catalog/materialy/instrument-i-specosnastka/2000580385-V119/","Открыть позицию")</x:f>
        <x:v>Открыть позицию</x:v>
      </x:c>
    </x:row>
    <x:row r="147" ht="28" customHeight="1">
      <x:c r="A147" s="16" t="str">
        <x:v>Красноярская ТЭЦ-1</x:v>
      </x:c>
      <x:c r="B147" s="16" t="str">
        <x:v>2000481626-V119</x:v>
      </x:c>
      <x:c r="C147" s="16" t="str">
        <x:v>КОЛЕНО ТРУБЫ ПРЕСТИЖ RAL8017 D100 60°</x:v>
      </x:c>
      <x:c r="D147" s="16" t="str">
        <x:v>Проч строит матер-ы</x:v>
      </x:c>
      <x:c r="E147" s="16" t="str">
        <x:v>ШТ</x:v>
      </x:c>
      <x:c r="F147" s="21" t="n">
        <x:v>4</x:v>
      </x:c>
      <x:c r="G147" s="17" t="n">
        <x:v>244.9882</x:v>
      </x:c>
      <x:c r="H147" s="17" t="n">
        <x:f>G147*F147</x:f>
        <x:v>979.9528</x:v>
      </x:c>
      <x:c r="I147" s="22" t="str">
        <x:f>HYPERLINK("https://etp-aktiv.ru/catalog/materialy/stroitelnye-materialy/2000481626-V119/","Открыть позицию")</x:f>
        <x:v>Открыть позицию</x:v>
      </x:c>
    </x:row>
    <x:row r="148" ht="28" customHeight="1">
      <x:c r="A148" s="16" t="str">
        <x:v>Красноярская ТЭЦ-1</x:v>
      </x:c>
      <x:c r="B148" s="16" t="str">
        <x:v>2000534953-V119</x:v>
      </x:c>
      <x:c r="C148" s="16" t="str">
        <x:v>КОМПЕНС 1,6(16)-1000-2 36 ОСТ34.10.569</x:v>
      </x:c>
      <x:c r="D148" s="16" t="str">
        <x:v>Компенсаторы</x:v>
      </x:c>
      <x:c r="E148" s="16" t="str">
        <x:v>ШТ</x:v>
      </x:c>
      <x:c r="F148" s="21" t="n">
        <x:v>1</x:v>
      </x:c>
      <x:c r="G148" s="17" t="n">
        <x:v>33416.812600000005</x:v>
      </x:c>
      <x:c r="H148" s="17" t="n">
        <x:f>G148*F148</x:f>
        <x:v>33416.812600000005</x:v>
      </x:c>
      <x:c r="I148" s="22" t="str">
        <x:f>HYPERLINK("https://etp-aktiv.ru/catalog/materialy/truboprovody/2000534953-V119/","Открыть позицию")</x:f>
        <x:v>Открыть позицию</x:v>
      </x:c>
    </x:row>
    <x:row r="149" ht="28" customHeight="1">
      <x:c r="A149" s="16" t="str">
        <x:v>Красноярская ТЭЦ-1</x:v>
      </x:c>
      <x:c r="B149" s="16" t="str">
        <x:v>2000534946-V119</x:v>
      </x:c>
      <x:c r="C149" s="16" t="str">
        <x:v>КОМПЕНСАТОР 0,6(6)-700-2 12 ОСТ34-10-570</x:v>
      </x:c>
      <x:c r="D149" s="16" t="str">
        <x:v>Компенсаторы</x:v>
      </x:c>
      <x:c r="E149" s="16" t="str">
        <x:v>ШТ</x:v>
      </x:c>
      <x:c r="F149" s="21" t="n">
        <x:v>1</x:v>
      </x:c>
      <x:c r="G149" s="17" t="n">
        <x:v>10721.3844</x:v>
      </x:c>
      <x:c r="H149" s="17" t="n">
        <x:f>G149*F149</x:f>
        <x:v>10721.3844</x:v>
      </x:c>
      <x:c r="I149" s="22" t="str">
        <x:f>HYPERLINK("https://etp-aktiv.ru/catalog/materialy/truboprovody/2000534946-V119/","Открыть позицию")</x:f>
        <x:v>Открыть позицию</x:v>
      </x:c>
    </x:row>
    <x:row r="150" ht="28" customHeight="1">
      <x:c r="A150" s="16" t="str">
        <x:v>Красноярская ТЭЦ-1</x:v>
      </x:c>
      <x:c r="B150" s="16" t="str">
        <x:v>2000673419-V119</x:v>
      </x:c>
      <x:c r="C150" s="16" t="str">
        <x:v>КРАН ПРОБКОВЫЙ 11Ч18БК DN50 PN6,3 РП ФЛ</x:v>
      </x:c>
      <x:c r="D150" s="16" t="str">
        <x:v>Армат из медн сплав</x:v>
      </x:c>
      <x:c r="E150" s="16" t="str">
        <x:v>ШТ</x:v>
      </x:c>
      <x:c r="F150" s="21" t="n">
        <x:v>5</x:v>
      </x:c>
      <x:c r="G150" s="17" t="n">
        <x:v>1601.25</x:v>
      </x:c>
      <x:c r="H150" s="17" t="n">
        <x:f>G150*F150</x:f>
        <x:v>8006.25</x:v>
      </x:c>
      <x:c r="I150" s="22" t="str">
        <x:f>HYPERLINK("https://etp-aktiv.ru/catalog/materialy/truboprovodnaya-armatura-i-komplektuyushchie/2000673419-V119/","Открыть позицию")</x:f>
        <x:v>Открыть позицию</x:v>
      </x:c>
    </x:row>
    <x:row r="151" ht="28" customHeight="1">
      <x:c r="A151" s="16" t="str">
        <x:v>Красноярская ТЭЦ-1</x:v>
      </x:c>
      <x:c r="B151" s="16" t="str">
        <x:v>2000540144-V119</x:v>
      </x:c>
      <x:c r="C151" s="16" t="str">
        <x:v>КРАН СТ20 ПП ВОДА 200° ПП DN125PN25 РП A</x:v>
      </x:c>
      <x:c r="D151" s="16" t="str">
        <x:v>Краны шаров.стальн</x:v>
      </x:c>
      <x:c r="E151" s="16" t="str">
        <x:v>ШТ</x:v>
      </x:c>
      <x:c r="F151" s="21" t="n">
        <x:v>4</x:v>
      </x:c>
      <x:c r="G151" s="17" t="n">
        <x:v>7346.8766</x:v>
      </x:c>
      <x:c r="H151" s="17" t="n">
        <x:f>G151*F151</x:f>
        <x:v>29387.5064</x:v>
      </x:c>
      <x:c r="I151" s="22" t="str">
        <x:f>HYPERLINK("https://etp-aktiv.ru/catalog/materialy/truboprovodnaya-armatura-i-komplektuyushchie/2000540144-V119/","Открыть позицию")</x:f>
        <x:v>Открыть позицию</x:v>
      </x:c>
    </x:row>
    <x:row r="152" ht="28" customHeight="1">
      <x:c r="A152" s="16" t="str">
        <x:v>Красноярская ТЭЦ-1</x:v>
      </x:c>
      <x:c r="B152" s="16" t="str">
        <x:v>2000822707-V119</x:v>
      </x:c>
      <x:c r="C152" s="16" t="str">
        <x:v>КРАН ШАР ПП СТ20 ВОДА ПП DN50 PN25 РП</x:v>
      </x:c>
      <x:c r="D152" s="16" t="str">
        <x:v>Краны шаров.стальн</x:v>
      </x:c>
      <x:c r="E152" s="16" t="str">
        <x:v>ШТ</x:v>
      </x:c>
      <x:c r="F152" s="21" t="n">
        <x:v>1</x:v>
      </x:c>
      <x:c r="G152" s="17" t="n">
        <x:v>901.2262000000001</x:v>
      </x:c>
      <x:c r="H152" s="17" t="n">
        <x:f>G152*F152</x:f>
        <x:v>901.2262000000001</x:v>
      </x:c>
      <x:c r="I152" s="22" t="str">
        <x:f>HYPERLINK("https://etp-aktiv.ru/catalog/materialy/truboprovodnaya-armatura-i-komplektuyushchie/2000822707-V119/","Открыть позицию")</x:f>
        <x:v>Открыть позицию</x:v>
      </x:c>
    </x:row>
    <x:row r="153" ht="28" customHeight="1">
      <x:c r="A153" s="16" t="str">
        <x:v>Красноярская ТЭЦ-1</x:v>
      </x:c>
      <x:c r="B153" s="16" t="str">
        <x:v>2000984329-V119</x:v>
      </x:c>
      <x:c r="C153" s="16" t="str">
        <x:v>КРАН ШАР ПП СТ20 ВОДА ФЛ DN50 PN16 РП</x:v>
      </x:c>
      <x:c r="D153" s="16" t="str">
        <x:v>Краны шаров.стальн</x:v>
      </x:c>
      <x:c r="E153" s="16" t="str">
        <x:v>ШТ</x:v>
      </x:c>
      <x:c r="F153" s="21" t="n">
        <x:v>2</x:v>
      </x:c>
      <x:c r="G153" s="17" t="n">
        <x:v>1543.4952</x:v>
      </x:c>
      <x:c r="H153" s="17" t="n">
        <x:f>G153*F153</x:f>
        <x:v>3086.9904</x:v>
      </x:c>
      <x:c r="I153" s="22" t="str">
        <x:f>HYPERLINK("https://etp-aktiv.ru/catalog/materialy/truboprovodnaya-armatura-i-komplektuyushchie/2000984329-V119/","Открыть позицию")</x:f>
        <x:v>Открыть позицию</x:v>
      </x:c>
    </x:row>
    <x:row r="154" ht="28" customHeight="1">
      <x:c r="A154" s="16" t="str">
        <x:v>Красноярская ТЭЦ-1</x:v>
      </x:c>
      <x:c r="B154" s="16" t="str">
        <x:v>2000320843-V119</x:v>
      </x:c>
      <x:c r="C154" s="16" t="str">
        <x:v>МУФТА DN25 PN16 ГОСТ8966-75</x:v>
      </x:c>
      <x:c r="D154" s="16" t="str">
        <x:v>Детали фасонные</x:v>
      </x:c>
      <x:c r="E154" s="16" t="str">
        <x:v>ШТ</x:v>
      </x:c>
      <x:c r="F154" s="21" t="n">
        <x:v>10</x:v>
      </x:c>
      <x:c r="G154" s="17" t="n">
        <x:v>21.837999999999997</x:v>
      </x:c>
      <x:c r="H154" s="17" t="n">
        <x:f>G154*F154</x:f>
        <x:v>218.37999999999997</x:v>
      </x:c>
      <x:c r="I154" s="22" t="str">
        <x:f>HYPERLINK("https://etp-aktiv.ru/catalog/materialy/truboprovody/2000320843-V119/","Открыть позицию")</x:f>
        <x:v>Открыть позицию</x:v>
      </x:c>
    </x:row>
    <x:row r="155" ht="28" customHeight="1">
      <x:c r="A155" s="16" t="str">
        <x:v>Красноярская ТЭЦ-1</x:v>
      </x:c>
      <x:c r="B155" s="16" t="str">
        <x:v>2000320842-V119</x:v>
      </x:c>
      <x:c r="C155" s="16" t="str">
        <x:v>МУФТА DN50 PN16 ГОСТ8966-75</x:v>
      </x:c>
      <x:c r="D155" s="16" t="str">
        <x:v>Детали фасонные</x:v>
      </x:c>
      <x:c r="E155" s="16" t="str">
        <x:v>ШТ</x:v>
      </x:c>
      <x:c r="F155" s="21" t="n">
        <x:v>76</x:v>
      </x:c>
      <x:c r="G155" s="17" t="n">
        <x:v>27.877000000000002</x:v>
      </x:c>
      <x:c r="H155" s="17" t="n">
        <x:f>G155*F155</x:f>
        <x:v>2118.652</x:v>
      </x:c>
      <x:c r="I155" s="22" t="str">
        <x:f>HYPERLINK("https://etp-aktiv.ru/catalog/materialy/truboprovody/2000320842-V119/","Открыть позицию")</x:f>
        <x:v>Открыть позицию</x:v>
      </x:c>
    </x:row>
    <x:row r="156" ht="28" customHeight="1">
      <x:c r="A156" s="16" t="str">
        <x:v>Красноярская ТЭЦ-1</x:v>
      </x:c>
      <x:c r="B156" s="16" t="str">
        <x:v>2000224387-V119</x:v>
      </x:c>
      <x:c r="C156" s="16" t="str">
        <x:v>НОЖНИЦЫ АРМАТУРНЫЕ SATA 93505</x:v>
      </x:c>
      <x:c r="D156" s="16" t="str">
        <x:v>Инструмент и спецосн</x:v>
      </x:c>
      <x:c r="E156" s="16" t="str">
        <x:v>ШТ</x:v>
      </x:c>
      <x:c r="F156" s="21" t="n">
        <x:v>2</x:v>
      </x:c>
      <x:c r="G156" s="17" t="n">
        <x:v>835.9318000000001</x:v>
      </x:c>
      <x:c r="H156" s="17" t="n">
        <x:f>G156*F156</x:f>
        <x:v>1671.8636000000001</x:v>
      </x:c>
      <x:c r="I156" s="22" t="str">
        <x:f>HYPERLINK("https://etp-aktiv.ru/catalog/materialy/instrument-i-specosnastka/2000224387-V119/","Открыть позицию")</x:f>
        <x:v>Открыть позицию</x:v>
      </x:c>
    </x:row>
    <x:row r="157" ht="28" customHeight="1">
      <x:c r="A157" s="16" t="str">
        <x:v>Красноярская ТЭЦ-1</x:v>
      </x:c>
      <x:c r="B157" s="16" t="str">
        <x:v>2000553115-V119</x:v>
      </x:c>
      <x:c r="C157" s="16" t="str">
        <x:v>ОПОРА 426У 63 ОСТ34-10-616-93</x:v>
      </x:c>
      <x:c r="D157" s="16" t="str">
        <x:v>Система опорн-подвес</x:v>
      </x:c>
      <x:c r="E157" s="16" t="str">
        <x:v>ШТ</x:v>
      </x:c>
      <x:c r="F157" s="21" t="n">
        <x:v>2</x:v>
      </x:c>
      <x:c r="G157" s="17" t="n">
        <x:v>1631.6768</x:v>
      </x:c>
      <x:c r="H157" s="17" t="n">
        <x:f>G157*F157</x:f>
        <x:v>3263.3536</x:v>
      </x:c>
      <x:c r="I157" s="22" t="str">
        <x:f>HYPERLINK("https://etp-aktiv.ru/catalog/materialy/truboprovody/2000553115-V119/","Открыть позицию")</x:f>
        <x:v>Открыть позицию</x:v>
      </x:c>
    </x:row>
    <x:row r="158" ht="28" customHeight="1">
      <x:c r="A158" s="16" t="str">
        <x:v>Красноярская ТЭЦ-1</x:v>
      </x:c>
      <x:c r="B158" s="16" t="str">
        <x:v>2000553129-V119</x:v>
      </x:c>
      <x:c r="C158" s="16" t="str">
        <x:v>ОПОРА 76 02 ОСТ108.275.29-80</x:v>
      </x:c>
      <x:c r="D158" s="16" t="str">
        <x:v>Система опорн-подвес</x:v>
      </x:c>
      <x:c r="E158" s="16" t="str">
        <x:v>ШТ</x:v>
      </x:c>
      <x:c r="F158" s="21" t="n">
        <x:v>108</x:v>
      </x:c>
      <x:c r="G158" s="17" t="n">
        <x:v>577.8285999999999</x:v>
      </x:c>
      <x:c r="H158" s="17" t="n">
        <x:f>G158*F158</x:f>
        <x:v>62405.48879999999</x:v>
      </x:c>
      <x:c r="I158" s="22" t="str">
        <x:f>HYPERLINK("https://etp-aktiv.ru/catalog/materialy/truboprovody/2000553129-V119/","Открыть позицию")</x:f>
        <x:v>Открыть позицию</x:v>
      </x:c>
    </x:row>
    <x:row r="159" ht="28" customHeight="1">
      <x:c r="A159" s="16" t="str">
        <x:v>Красноярская ТЭЦ-1</x:v>
      </x:c>
      <x:c r="B159" s="16" t="str">
        <x:v>2000553130-V119</x:v>
      </x:c>
      <x:c r="C159" s="16" t="str">
        <x:v>ОПОРА 76 07 ОСТ108.275.25-80</x:v>
      </x:c>
      <x:c r="D159" s="16" t="str">
        <x:v>Система опорн-подвес</x:v>
      </x:c>
      <x:c r="E159" s="16" t="str">
        <x:v>ШТ</x:v>
      </x:c>
      <x:c r="F159" s="21" t="n">
        <x:v>10</x:v>
      </x:c>
      <x:c r="G159" s="17" t="n">
        <x:v>193.38219999999998</x:v>
      </x:c>
      <x:c r="H159" s="17" t="n">
        <x:f>G159*F159</x:f>
        <x:v>1933.822</x:v>
      </x:c>
      <x:c r="I159" s="22" t="str">
        <x:f>HYPERLINK("https://etp-aktiv.ru/catalog/materialy/truboprovody/2000553130-V119/","Открыть позицию")</x:f>
        <x:v>Открыть позицию</x:v>
      </x:c>
    </x:row>
    <x:row r="160" ht="28" customHeight="1">
      <x:c r="A160" s="16" t="str">
        <x:v>Красноярская ТЭЦ-1</x:v>
      </x:c>
      <x:c r="B160" s="16" t="str">
        <x:v>2000553137-V119</x:v>
      </x:c>
      <x:c r="C160" s="16" t="str">
        <x:v>ОПОРА 820У 103 ОСТ34-10-616-93</x:v>
      </x:c>
      <x:c r="D160" s="16" t="str">
        <x:v>Система опорн-подвес</x:v>
      </x:c>
      <x:c r="E160" s="16" t="str">
        <x:v>ШТ</x:v>
      </x:c>
      <x:c r="F160" s="21" t="n">
        <x:v>2</x:v>
      </x:c>
      <x:c r="G160" s="17" t="n">
        <x:v>3515.1616000000004</x:v>
      </x:c>
      <x:c r="H160" s="17" t="n">
        <x:f>G160*F160</x:f>
        <x:v>7030.323200000001</x:v>
      </x:c>
      <x:c r="I160" s="22" t="str">
        <x:f>HYPERLINK("https://etp-aktiv.ru/catalog/materialy/truboprovody/2000553137-V119/","Открыть позицию")</x:f>
        <x:v>Открыть позицию</x:v>
      </x:c>
    </x:row>
    <x:row r="161" ht="28" customHeight="1">
      <x:c r="A161" s="16" t="str">
        <x:v>Красноярская ТЭЦ-1</x:v>
      </x:c>
      <x:c r="B161" s="16" t="str">
        <x:v>2000633299-V119</x:v>
      </x:c>
      <x:c r="C161" s="16" t="str">
        <x:v>ОПОРА СКОЛЬЗЯЩАЯ 219 07 ОСТ108.275.29-80</x:v>
      </x:c>
      <x:c r="D161" s="16" t="str">
        <x:v>Система опорн-подвес</x:v>
      </x:c>
      <x:c r="E161" s="16" t="str">
        <x:v>ШТ</x:v>
      </x:c>
      <x:c r="F161" s="21" t="n">
        <x:v>2</x:v>
      </x:c>
      <x:c r="G161" s="17" t="n">
        <x:v>1222.9035999999999</x:v>
      </x:c>
      <x:c r="H161" s="17" t="n">
        <x:f>G161*F161</x:f>
        <x:v>2445.8071999999997</x:v>
      </x:c>
      <x:c r="I161" s="22" t="str">
        <x:f>HYPERLINK("https://etp-aktiv.ru/catalog/materialy/truboprovody/2000633299-V119/","Открыть позицию")</x:f>
        <x:v>Открыть позицию</x:v>
      </x:c>
    </x:row>
    <x:row r="162" ht="28" customHeight="1">
      <x:c r="A162" s="16" t="str">
        <x:v>Красноярская ТЭЦ-1</x:v>
      </x:c>
      <x:c r="B162" s="16" t="str">
        <x:v>2000553291-V119</x:v>
      </x:c>
      <x:c r="C162" s="16" t="str">
        <x:v>ОПОРА СКОЛЬЗЯЩАЯ 76 11 ОСТ108.275.29-80</x:v>
      </x:c>
      <x:c r="D162" s="16" t="str">
        <x:v>Система опорн-подвес</x:v>
      </x:c>
      <x:c r="E162" s="16" t="str">
        <x:v>ШТ</x:v>
      </x:c>
      <x:c r="F162" s="21" t="n">
        <x:v>66</x:v>
      </x:c>
      <x:c r="G162" s="17" t="n">
        <x:v>175.8264</x:v>
      </x:c>
      <x:c r="H162" s="17" t="n">
        <x:f>G162*F162</x:f>
        <x:v>11604.5424</x:v>
      </x:c>
      <x:c r="I162" s="22" t="str">
        <x:f>HYPERLINK("https://etp-aktiv.ru/catalog/materialy/truboprovody/2000553291-V119/","Открыть позицию")</x:f>
        <x:v>Открыть позицию</x:v>
      </x:c>
    </x:row>
    <x:row r="163" ht="28" customHeight="1">
      <x:c r="A163" s="16" t="str">
        <x:v>Красноярская ТЭЦ-1</x:v>
      </x:c>
      <x:c r="B163" s="16" t="str">
        <x:v>2000554421-V119</x:v>
      </x:c>
      <x:c r="C163" s="16" t="str">
        <x:v>ОТВОД 16*3 100*100*357 005 ЦКТИ 321.02</x:v>
      </x:c>
      <x:c r="D163" s="16" t="str">
        <x:v>Детали фасонные</x:v>
      </x:c>
      <x:c r="E163" s="16" t="str">
        <x:v>ШТ</x:v>
      </x:c>
      <x:c r="F163" s="21" t="n">
        <x:v>21</x:v>
      </x:c>
      <x:c r="G163" s="17" t="n">
        <x:v>100.3816</x:v>
      </x:c>
      <x:c r="H163" s="17" t="n">
        <x:f>G163*F163</x:f>
        <x:v>2108.0136</x:v>
      </x:c>
      <x:c r="I163" s="22" t="str">
        <x:f>HYPERLINK("https://etp-aktiv.ru/catalog/materialy/truboprovody/2000554421-V119/","Открыть позицию")</x:f>
        <x:v>Открыть позицию</x:v>
      </x:c>
    </x:row>
    <x:row r="164" ht="28" customHeight="1">
      <x:c r="A164" s="16" t="str">
        <x:v>Красноярская ТЭЦ-1</x:v>
      </x:c>
      <x:c r="B164" s="16" t="str">
        <x:v>2000554295-V119</x:v>
      </x:c>
      <x:c r="C164" s="16" t="str">
        <x:v>ОТВОД 30 250*150*557 047 СТО ЦКТИ 321.01</x:v>
      </x:c>
      <x:c r="D164" s="16" t="str">
        <x:v>Детали фасонные</x:v>
      </x:c>
      <x:c r="E164" s="16" t="str">
        <x:v>ШТ</x:v>
      </x:c>
      <x:c r="F164" s="21" t="n">
        <x:v>2</x:v>
      </x:c>
      <x:c r="G164" s="17" t="n">
        <x:v>1969.0312</x:v>
      </x:c>
      <x:c r="H164" s="17" t="n">
        <x:f>G164*F164</x:f>
        <x:v>3938.0624</x:v>
      </x:c>
      <x:c r="I164" s="22" t="str">
        <x:f>HYPERLINK("https://etp-aktiv.ru/catalog/materialy/truboprovody/2000554295-V119/","Открыть позицию")</x:f>
        <x:v>Открыть позицию</x:v>
      </x:c>
    </x:row>
    <x:row r="165" ht="28" customHeight="1">
      <x:c r="A165" s="16" t="str">
        <x:v>Красноярская ТЭЦ-1</x:v>
      </x:c>
      <x:c r="B165" s="16" t="str">
        <x:v>2000583873-V119</x:v>
      </x:c>
      <x:c r="C165" s="16" t="str">
        <x:v>ОТВОД 30° СТ20 219*9 ГОСТ17375-01</x:v>
      </x:c>
      <x:c r="D165" s="16" t="str">
        <x:v>Детали фасонные</x:v>
      </x:c>
      <x:c r="E165" s="16" t="str">
        <x:v>ШТ</x:v>
      </x:c>
      <x:c r="F165" s="21" t="n">
        <x:v>1</x:v>
      </x:c>
      <x:c r="G165" s="17" t="n">
        <x:v>1370.548</x:v>
      </x:c>
      <x:c r="H165" s="17" t="n">
        <x:f>G165*F165</x:f>
        <x:v>1370.548</x:v>
      </x:c>
      <x:c r="I165" s="22" t="str">
        <x:f>HYPERLINK("https://etp-aktiv.ru/catalog/materialy/truboprovody/2000583873-V119/","Открыть позицию")</x:f>
        <x:v>Открыть позицию</x:v>
      </x:c>
    </x:row>
    <x:row r="166" ht="28" customHeight="1">
      <x:c r="A166" s="16" t="str">
        <x:v>Красноярская ТЭЦ-1</x:v>
      </x:c>
      <x:c r="B166" s="16" t="str">
        <x:v>2000554375-V119</x:v>
      </x:c>
      <x:c r="C166" s="16" t="str">
        <x:v>ОТВОД 60 250*150*714 049 СТО ЦКТИ 321.05</x:v>
      </x:c>
      <x:c r="D166" s="16" t="str">
        <x:v>Детали фасонные</x:v>
      </x:c>
      <x:c r="E166" s="16" t="str">
        <x:v>ШТ</x:v>
      </x:c>
      <x:c r="F166" s="21" t="n">
        <x:v>3</x:v>
      </x:c>
      <x:c r="G166" s="17" t="n">
        <x:v>2615.9727999999996</x:v>
      </x:c>
      <x:c r="H166" s="17" t="n">
        <x:f>G166*F166</x:f>
        <x:v>7847.918399999999</x:v>
      </x:c>
      <x:c r="I166" s="22" t="str">
        <x:f>HYPERLINK("https://etp-aktiv.ru/catalog/materialy/truboprovody/2000554375-V119/","Открыть позицию")</x:f>
        <x:v>Открыть позицию</x:v>
      </x:c>
    </x:row>
    <x:row r="167" ht="28" customHeight="1">
      <x:c r="A167" s="16" t="str">
        <x:v>Красноярская ТЭЦ-1</x:v>
      </x:c>
      <x:c r="B167" s="16" t="str">
        <x:v>2000248908-V119</x:v>
      </x:c>
      <x:c r="C167" s="16" t="str">
        <x:v>ОТВОД 60° СТ20 DN89 5 ГОСТ17375-01</x:v>
      </x:c>
      <x:c r="D167" s="16" t="str">
        <x:v>Детали фасонные</x:v>
      </x:c>
      <x:c r="E167" s="16" t="str">
        <x:v>ШТ</x:v>
      </x:c>
      <x:c r="F167" s="21" t="n">
        <x:v>13</x:v>
      </x:c>
      <x:c r="G167" s="17" t="n">
        <x:v>220.06359999999998</x:v>
      </x:c>
      <x:c r="H167" s="17" t="n">
        <x:f>G167*F167</x:f>
        <x:v>2860.8268</x:v>
      </x:c>
      <x:c r="I167" s="22" t="str">
        <x:f>HYPERLINK("https://etp-aktiv.ru/catalog/materialy/truboprovody/2000248908-V119/","Открыть позицию")</x:f>
        <x:v>Открыть позицию</x:v>
      </x:c>
    </x:row>
    <x:row r="168" ht="28" customHeight="1">
      <x:c r="A168" s="16" t="str">
        <x:v>Красноярская ТЭЦ-1</x:v>
      </x:c>
      <x:c r="B168" s="16" t="str">
        <x:v>2000558966-V119</x:v>
      </x:c>
      <x:c r="C168" s="16" t="str">
        <x:v>ОТВОД 90 28*3-100*100*436 20 20ЦКТИ32102</x:v>
      </x:c>
      <x:c r="D168" s="16" t="str">
        <x:v>Труб/элем ВД</x:v>
      </x:c>
      <x:c r="E168" s="16" t="str">
        <x:v>ШТ</x:v>
      </x:c>
      <x:c r="F168" s="21" t="n">
        <x:v>86</x:v>
      </x:c>
      <x:c r="G168" s="17" t="n">
        <x:v>870.592</x:v>
      </x:c>
      <x:c r="H168" s="17" t="n">
        <x:f>G168*F168</x:f>
        <x:v>74870.912</x:v>
      </x:c>
      <x:c r="I168" s="22" t="str">
        <x:f>HYPERLINK("https://etp-aktiv.ru/catalog/materialy/truboprovody/2000558966-V119/","Открыть позицию")</x:f>
        <x:v>Открыть позицию</x:v>
      </x:c>
    </x:row>
    <x:row r="169" ht="28" customHeight="1">
      <x:c r="A169" s="16" t="str">
        <x:v>Красноярская ТЭЦ-1</x:v>
      </x:c>
      <x:c r="B169" s="16" t="str">
        <x:v>2000559185-V119</x:v>
      </x:c>
      <x:c r="C169" s="16" t="str">
        <x:v>ОТВОД 90° 133*13-3142 12Х1МФ 14079-00</x:v>
      </x:c>
      <x:c r="D169" s="16" t="str">
        <x:v>Труб/элем ВД</x:v>
      </x:c>
      <x:c r="E169" s="16" t="str">
        <x:v>ШТ</x:v>
      </x:c>
      <x:c r="F169" s="21" t="n">
        <x:v>1</x:v>
      </x:c>
      <x:c r="G169" s="17" t="n">
        <x:v>24787.35</x:v>
      </x:c>
      <x:c r="H169" s="17" t="n">
        <x:f>G169*F169</x:f>
        <x:v>24787.35</x:v>
      </x:c>
      <x:c r="I169" s="22" t="str">
        <x:f>HYPERLINK("https://etp-aktiv.ru/catalog/materialy/truboprovody/2000559185-V119/","Открыть позицию")</x:f>
        <x:v>Открыть позицию</x:v>
      </x:c>
    </x:row>
    <x:row r="170" ht="28" customHeight="1">
      <x:c r="A170" s="16" t="str">
        <x:v>Красноярская ТЭЦ-1</x:v>
      </x:c>
      <x:c r="B170" s="16" t="str">
        <x:v>2000649683-V119</x:v>
      </x:c>
      <x:c r="C170" s="16" t="str">
        <x:v>ОТВОД 90° 28 4,5 100 436 636 R150 12Х1МФ</x:v>
      </x:c>
      <x:c r="D170" s="16" t="str">
        <x:v>Труб/элем ВД</x:v>
      </x:c>
      <x:c r="E170" s="16" t="str">
        <x:v>ШТ</x:v>
      </x:c>
      <x:c r="F170" s="21" t="n">
        <x:v>31</x:v>
      </x:c>
      <x:c r="G170" s="17" t="n">
        <x:v>2582.7522000000004</x:v>
      </x:c>
      <x:c r="H170" s="17" t="n">
        <x:f>G170*F170</x:f>
        <x:v>80065.31820000001</x:v>
      </x:c>
      <x:c r="I170" s="22" t="str">
        <x:f>HYPERLINK("https://etp-aktiv.ru/catalog/materialy/truboprovody/2000649683-V119/","Открыть позицию")</x:f>
        <x:v>Открыть позицию</x:v>
      </x:c>
    </x:row>
    <x:row r="171" ht="28" customHeight="1">
      <x:c r="A171" s="16" t="str">
        <x:v>Красноярская ТЭЦ-1</x:v>
      </x:c>
      <x:c r="B171" s="16" t="str">
        <x:v>2000735828-V119</x:v>
      </x:c>
      <x:c r="C171" s="16" t="str">
        <x:v>ОТВОД 90° СТ10 530*10 ГОСТ17375-2001</x:v>
      </x:c>
      <x:c r="D171" s="16" t="str">
        <x:v>Детали фасонные</x:v>
      </x:c>
      <x:c r="E171" s="16" t="str">
        <x:v>ШТ</x:v>
      </x:c>
      <x:c r="F171" s="21" t="n">
        <x:v>17</x:v>
      </x:c>
      <x:c r="G171" s="17" t="n">
        <x:v>16682.743599999998</x:v>
      </x:c>
      <x:c r="H171" s="17" t="n">
        <x:f>G171*F171</x:f>
        <x:v>283606.64119999995</x:v>
      </x:c>
      <x:c r="I171" s="22" t="str">
        <x:f>HYPERLINK("https://etp-aktiv.ru/catalog/materialy/truboprovody/2000735828-V119/","Открыть позицию")</x:f>
        <x:v>Открыть позицию</x:v>
      </x:c>
    </x:row>
    <x:row r="172" ht="28" customHeight="1">
      <x:c r="A172" s="16" t="str">
        <x:v>Красноярская ТЭЦ-1</x:v>
      </x:c>
      <x:c r="B172" s="16" t="str">
        <x:v>2000575310-V119</x:v>
      </x:c>
      <x:c r="C172" s="16" t="str">
        <x:v>ОТВОД 90° СТ20 133*6 ГОСТ30753-2001</x:v>
      </x:c>
      <x:c r="D172" s="16" t="str">
        <x:v>Детали фасонные</x:v>
      </x:c>
      <x:c r="E172" s="16" t="str">
        <x:v>ШТ</x:v>
      </x:c>
      <x:c r="F172" s="21" t="n">
        <x:v>5</x:v>
      </x:c>
      <x:c r="G172" s="17" t="n">
        <x:v>1370.3284</x:v>
      </x:c>
      <x:c r="H172" s="17" t="n">
        <x:f>G172*F172</x:f>
        <x:v>6851.642000000001</x:v>
      </x:c>
      <x:c r="I172" s="22" t="str">
        <x:f>HYPERLINK("https://etp-aktiv.ru/catalog/materialy/truboprovody/2000575310-V119/","Открыть позицию")</x:f>
        <x:v>Открыть позицию</x:v>
      </x:c>
    </x:row>
    <x:row r="173" ht="28" customHeight="1">
      <x:c r="A173" s="16" t="str">
        <x:v>Красноярская ТЭЦ-1</x:v>
      </x:c>
      <x:c r="B173" s="16" t="str">
        <x:v>2000161018-V119</x:v>
      </x:c>
      <x:c r="C173" s="16" t="str">
        <x:v>ОТВОД 90° СТ20 168*6 ГОСТ17375-01</x:v>
      </x:c>
      <x:c r="D173" s="16" t="str">
        <x:v>Детали фасонные</x:v>
      </x:c>
      <x:c r="E173" s="16" t="str">
        <x:v>ШТ</x:v>
      </x:c>
      <x:c r="F173" s="21" t="n">
        <x:v>1</x:v>
      </x:c>
      <x:c r="G173" s="17" t="n">
        <x:v>1800.11</x:v>
      </x:c>
      <x:c r="H173" s="17" t="n">
        <x:f>G173*F173</x:f>
        <x:v>1800.11</x:v>
      </x:c>
      <x:c r="I173" s="22" t="str">
        <x:f>HYPERLINK("https://etp-aktiv.ru/catalog/materialy/truboprovody/2000161018-V119/","Открыть позицию")</x:f>
        <x:v>Открыть позицию</x:v>
      </x:c>
    </x:row>
    <x:row r="174" ht="28" customHeight="1">
      <x:c r="A174" s="16" t="str">
        <x:v>Красноярская ТЭЦ-1</x:v>
      </x:c>
      <x:c r="B174" s="16" t="str">
        <x:v>2000789487-V119</x:v>
      </x:c>
      <x:c r="C174" s="16" t="str">
        <x:v>ОТВОД 90° СТ20 273*10 ИСП1 ГОСТ17375-01</x:v>
      </x:c>
      <x:c r="D174" s="16" t="str">
        <x:v>Детали фасонные</x:v>
      </x:c>
      <x:c r="E174" s="16" t="str">
        <x:v>ШТ</x:v>
      </x:c>
      <x:c r="F174" s="21" t="n">
        <x:v>2</x:v>
      </x:c>
      <x:c r="G174" s="17" t="n">
        <x:v>5960.0782</x:v>
      </x:c>
      <x:c r="H174" s="17" t="n">
        <x:f>G174*F174</x:f>
        <x:v>11920.1564</x:v>
      </x:c>
      <x:c r="I174" s="22" t="str">
        <x:f>HYPERLINK("https://etp-aktiv.ru/catalog/materialy/truboprovody/2000789487-V119/","Открыть позицию")</x:f>
        <x:v>Открыть позицию</x:v>
      </x:c>
    </x:row>
    <x:row r="175" ht="28" customHeight="1">
      <x:c r="A175" s="16" t="str">
        <x:v>Красноярская ТЭЦ-1</x:v>
      </x:c>
      <x:c r="B175" s="16" t="str">
        <x:v>2000007081-V119</x:v>
      </x:c>
      <x:c r="C175" s="16" t="str">
        <x:v>ОТВОД 90° СТ20 DN133 5 ГОСТ17375-01</x:v>
      </x:c>
      <x:c r="D175" s="16" t="str">
        <x:v>Детали фасонные</x:v>
      </x:c>
      <x:c r="E175" s="16" t="str">
        <x:v>ШТ</x:v>
      </x:c>
      <x:c r="F175" s="21" t="n">
        <x:v>2</x:v>
      </x:c>
      <x:c r="G175" s="17" t="n">
        <x:v>886.5862000000001</x:v>
      </x:c>
      <x:c r="H175" s="17" t="n">
        <x:f>G175*F175</x:f>
        <x:v>1773.1724000000002</x:v>
      </x:c>
      <x:c r="I175" s="22" t="str">
        <x:f>HYPERLINK("https://etp-aktiv.ru/catalog/materialy/truboprovody/2000007081-V119/","Открыть позицию")</x:f>
        <x:v>Открыть позицию</x:v>
      </x:c>
    </x:row>
    <x:row r="176" ht="28" customHeight="1">
      <x:c r="A176" s="16" t="str">
        <x:v>Красноярская ТЭЦ-1</x:v>
      </x:c>
      <x:c r="B176" s="16" t="str">
        <x:v>2000307281-V119</x:v>
      </x:c>
      <x:c r="C176" s="16" t="str">
        <x:v>ОТВОД 90° СТ20 DN159 10 ГОСТ17375-01</x:v>
      </x:c>
      <x:c r="D176" s="16" t="str">
        <x:v>Детали фасонные</x:v>
      </x:c>
      <x:c r="E176" s="16" t="str">
        <x:v>ШТ</x:v>
      </x:c>
      <x:c r="F176" s="21" t="n">
        <x:v>5</x:v>
      </x:c>
      <x:c r="G176" s="17" t="n">
        <x:v>2200.1968</x:v>
      </x:c>
      <x:c r="H176" s="17" t="n">
        <x:f>G176*F176</x:f>
        <x:v>11000.984</x:v>
      </x:c>
      <x:c r="I176" s="22" t="str">
        <x:f>HYPERLINK("https://etp-aktiv.ru/catalog/materialy/truboprovody/2000307281-V119/","Открыть позицию")</x:f>
        <x:v>Открыть позицию</x:v>
      </x:c>
    </x:row>
    <x:row r="177" ht="28" customHeight="1">
      <x:c r="A177" s="16" t="str">
        <x:v>Красноярская ТЭЦ-1</x:v>
      </x:c>
      <x:c r="B177" s="16" t="str">
        <x:v>2000681461-V119</x:v>
      </x:c>
      <x:c r="C177" s="16" t="str">
        <x:v>ОТВОД 90° СТ20 DN159*5 ГОСТ30753-01</x:v>
      </x:c>
      <x:c r="D177" s="16" t="str">
        <x:v>Детали фасонные</x:v>
      </x:c>
      <x:c r="E177" s="16" t="str">
        <x:v>ШТ</x:v>
      </x:c>
      <x:c r="F177" s="21" t="n">
        <x:v>4</x:v>
      </x:c>
      <x:c r="G177" s="17" t="n">
        <x:v>995.4345999999999</x:v>
      </x:c>
      <x:c r="H177" s="17" t="n">
        <x:f>G177*F177</x:f>
        <x:v>3981.7383999999997</x:v>
      </x:c>
      <x:c r="I177" s="22" t="str">
        <x:f>HYPERLINK("https://etp-aktiv.ru/catalog/materialy/truboprovody/2000681461-V119/","Открыть позицию")</x:f>
        <x:v>Открыть позицию</x:v>
      </x:c>
    </x:row>
    <x:row r="178" ht="28" customHeight="1">
      <x:c r="A178" s="16" t="str">
        <x:v>Красноярская ТЭЦ-1</x:v>
      </x:c>
      <x:c r="B178" s="16" t="str">
        <x:v>2000554453-V119</x:v>
      </x:c>
      <x:c r="C178" s="16" t="str">
        <x:v>ОТВОД 90° СТ3 DN377*10 ГОСТ17375-01</x:v>
      </x:c>
      <x:c r="D178" s="16" t="str">
        <x:v>Детали фасонные</x:v>
      </x:c>
      <x:c r="E178" s="16" t="str">
        <x:v>ШТ</x:v>
      </x:c>
      <x:c r="F178" s="21" t="n">
        <x:v>11</x:v>
      </x:c>
      <x:c r="G178" s="17" t="n">
        <x:v>6617.8046</x:v>
      </x:c>
      <x:c r="H178" s="17" t="n">
        <x:f>G178*F178</x:f>
        <x:v>72795.8506</x:v>
      </x:c>
      <x:c r="I178" s="22" t="str">
        <x:f>HYPERLINK("https://etp-aktiv.ru/catalog/materialy/truboprovody/2000554453-V119/","Открыть позицию")</x:f>
        <x:v>Открыть позицию</x:v>
      </x:c>
    </x:row>
    <x:row r="179" ht="28" customHeight="1">
      <x:c r="A179" s="16" t="str">
        <x:v>Красноярская ТЭЦ-1</x:v>
      </x:c>
      <x:c r="B179" s="16" t="str">
        <x:v>2000554551-V119</x:v>
      </x:c>
      <x:c r="C179" s="16" t="str">
        <x:v>ОТВОД II 90° СТ20 DN159*5 ТУ51-515-91</x:v>
      </x:c>
      <x:c r="D179" s="16" t="str">
        <x:v>Детали фасонные</x:v>
      </x:c>
      <x:c r="E179" s="16" t="str">
        <x:v>ШТ</x:v>
      </x:c>
      <x:c r="F179" s="21" t="n">
        <x:v>14</x:v>
      </x:c>
      <x:c r="G179" s="17" t="n">
        <x:v>1396.4608</x:v>
      </x:c>
      <x:c r="H179" s="17" t="n">
        <x:f>G179*F179</x:f>
        <x:v>19550.4512</x:v>
      </x:c>
      <x:c r="I179" s="22" t="str">
        <x:f>HYPERLINK("https://etp-aktiv.ru/catalog/materialy/truboprovody/2000554551-V119/","Открыть позицию")</x:f>
        <x:v>Открыть позицию</x:v>
      </x:c>
    </x:row>
    <x:row r="180" ht="28" customHeight="1">
      <x:c r="A180" s="16" t="str">
        <x:v>Красноярская ТЭЦ-1</x:v>
      </x:c>
      <x:c r="B180" s="16" t="str">
        <x:v>2000742398-V119</x:v>
      </x:c>
      <x:c r="C180" s="16" t="str">
        <x:v>ОТВОД П 90 245*8 СТ20 14317-00</x:v>
      </x:c>
      <x:c r="D180" s="16" t="str">
        <x:v>Труб/элем ВД</x:v>
      </x:c>
      <x:c r="E180" s="16" t="str">
        <x:v>ШТ</x:v>
      </x:c>
      <x:c r="F180" s="21" t="n">
        <x:v>2</x:v>
      </x:c>
      <x:c r="G180" s="17" t="n">
        <x:v>25172.8456</x:v>
      </x:c>
      <x:c r="H180" s="17" t="n">
        <x:f>G180*F180</x:f>
        <x:v>50345.6912</x:v>
      </x:c>
      <x:c r="I180" s="22" t="str">
        <x:f>HYPERLINK("https://etp-aktiv.ru/catalog/materialy/truboprovody/2000742398-V119/","Открыть позицию")</x:f>
        <x:v>Открыть позицию</x:v>
      </x:c>
    </x:row>
    <x:row r="181" ht="28" customHeight="1">
      <x:c r="A181" s="16" t="str">
        <x:v>Красноярская ТЭЦ-1</x:v>
      </x:c>
      <x:c r="B181" s="16" t="str">
        <x:v>2000253701-V119</x:v>
      </x:c>
      <x:c r="C181" s="16" t="str">
        <x:v>ПЕРЕХОД К СТ20 133*6 108 6 ГОСТ17378-01</x:v>
      </x:c>
      <x:c r="D181" s="16" t="str">
        <x:v>Детали фасонные</x:v>
      </x:c>
      <x:c r="E181" s="16" t="str">
        <x:v>ШТ</x:v>
      </x:c>
      <x:c r="F181" s="21" t="n">
        <x:v>6</x:v>
      </x:c>
      <x:c r="G181" s="17" t="n">
        <x:v>529.4068</x:v>
      </x:c>
      <x:c r="H181" s="17" t="n">
        <x:f>G181*F181</x:f>
        <x:v>3176.4408</x:v>
      </x:c>
      <x:c r="I181" s="22" t="str">
        <x:f>HYPERLINK("https://etp-aktiv.ru/catalog/materialy/truboprovody/2000253701-V119/","Открыть позицию")</x:f>
        <x:v>Открыть позицию</x:v>
      </x:c>
    </x:row>
    <x:row r="182" ht="28" customHeight="1">
      <x:c r="A182" s="16" t="str">
        <x:v>Красноярская ТЭЦ-1</x:v>
      </x:c>
      <x:c r="B182" s="16" t="str">
        <x:v>2000249410-V119</x:v>
      </x:c>
      <x:c r="C182" s="16" t="str">
        <x:v>ПЕРЕХОД К СТ20 377*9 273 9 ГОСТ17378-01</x:v>
      </x:c>
      <x:c r="D182" s="16" t="str">
        <x:v>Детали фасонные</x:v>
      </x:c>
      <x:c r="E182" s="16" t="str">
        <x:v>ШТ</x:v>
      </x:c>
      <x:c r="F182" s="21" t="n">
        <x:v>8</x:v>
      </x:c>
      <x:c r="G182" s="17" t="n">
        <x:v>2733.41</x:v>
      </x:c>
      <x:c r="H182" s="17" t="n">
        <x:f>G182*F182</x:f>
        <x:v>21867.28</x:v>
      </x:c>
      <x:c r="I182" s="22" t="str">
        <x:f>HYPERLINK("https://etp-aktiv.ru/catalog/materialy/truboprovody/2000249410-V119/","Открыть позицию")</x:f>
        <x:v>Открыть позицию</x:v>
      </x:c>
    </x:row>
    <x:row r="183" ht="28" customHeight="1">
      <x:c r="A183" s="16" t="str">
        <x:v>Красноярская ТЭЦ-1</x:v>
      </x:c>
      <x:c r="B183" s="16" t="str">
        <x:v>2000853384-V119</x:v>
      </x:c>
      <x:c r="C183" s="16" t="str">
        <x:v>ПЕРЕХОД ПК СТ20 325*8-108*6 ГОСТ17378-01</x:v>
      </x:c>
      <x:c r="D183" s="16" t="str">
        <x:v>Детали фасонные</x:v>
      </x:c>
      <x:c r="E183" s="16" t="str">
        <x:v>ШТ</x:v>
      </x:c>
      <x:c r="F183" s="21" t="n">
        <x:v>1</x:v>
      </x:c>
      <x:c r="G183" s="17" t="n">
        <x:v>3496.3857999999996</x:v>
      </x:c>
      <x:c r="H183" s="17" t="n">
        <x:f>G183*F183</x:f>
        <x:v>3496.3857999999996</x:v>
      </x:c>
      <x:c r="I183" s="22" t="str">
        <x:f>HYPERLINK("https://etp-aktiv.ru/catalog/materialy/truboprovody/2000853384-V119/","Открыть позицию")</x:f>
        <x:v>Открыть позицию</x:v>
      </x:c>
    </x:row>
    <x:row r="184" ht="28" customHeight="1">
      <x:c r="A184" s="16" t="str">
        <x:v>Красноярская ТЭЦ-1</x:v>
      </x:c>
      <x:c r="B184" s="16" t="str">
        <x:v>2000553320-V119</x:v>
      </x:c>
      <x:c r="C184" s="16" t="str">
        <x:v>ПЛИТА ОПОРНАЯ 01 ОСТ108.275.61</x:v>
      </x:c>
      <x:c r="D184" s="16" t="str">
        <x:v>Система опорн-подвес</x:v>
      </x:c>
      <x:c r="E184" s="16" t="str">
        <x:v>ШТ</x:v>
      </x:c>
      <x:c r="F184" s="21" t="n">
        <x:v>8</x:v>
      </x:c>
      <x:c r="G184" s="17" t="n">
        <x:v>93.5008</x:v>
      </x:c>
      <x:c r="H184" s="17" t="n">
        <x:f>G184*F184</x:f>
        <x:v>748.0064</x:v>
      </x:c>
      <x:c r="I184" s="22" t="str">
        <x:f>HYPERLINK("https://etp-aktiv.ru/catalog/materialy/truboprovody/2000553320-V119/","Открыть позицию")</x:f>
        <x:v>Открыть позицию</x:v>
      </x:c>
    </x:row>
    <x:row r="185" ht="28" customHeight="1">
      <x:c r="A185" s="16" t="str">
        <x:v>Красноярская ТЭЦ-1</x:v>
      </x:c>
      <x:c r="B185" s="16" t="str">
        <x:v>2000897262-V119</x:v>
      </x:c>
      <x:c r="C185" s="16" t="str">
        <x:v>ПРИВОД SA07.5-B3/45-GSM125.3/VZ4.3F16</x:v>
      </x:c>
      <x:c r="D185" s="16" t="str">
        <x:v>Приводы арматуры</x:v>
      </x:c>
      <x:c r="E185" s="16" t="str">
        <x:v>ШТ</x:v>
      </x:c>
      <x:c r="F185" s="21" t="n">
        <x:v>1</x:v>
      </x:c>
      <x:c r="G185" s="17" t="n">
        <x:v>187756.2066</x:v>
      </x:c>
      <x:c r="H185" s="17" t="n">
        <x:f>G185*F185</x:f>
        <x:v>187756.2066</x:v>
      </x:c>
      <x:c r="I185" s="22" t="str">
        <x:f>HYPERLINK("https://etp-aktiv.ru/catalog/materialy/truboprovodnaya-armatura-i-komplektuyushchie/2000897262-V119/","Открыть позицию")</x:f>
        <x:v>Открыть позицию</x:v>
      </x:c>
    </x:row>
    <x:row r="186" ht="28" customHeight="1">
      <x:c r="A186" s="16" t="str">
        <x:v>Красноярская ТЭЦ-1</x:v>
      </x:c>
      <x:c r="B186" s="16" t="str">
        <x:v>2000553331-V119</x:v>
      </x:c>
      <x:c r="C186" s="16" t="str">
        <x:v>ПРОУШИНА 1-03 ОСТ34-10-733-93</x:v>
      </x:c>
      <x:c r="D186" s="16" t="str">
        <x:v>Система опорн-подвес</x:v>
      </x:c>
      <x:c r="E186" s="16" t="str">
        <x:v>ШТ</x:v>
      </x:c>
      <x:c r="F186" s="21" t="n">
        <x:v>6</x:v>
      </x:c>
      <x:c r="G186" s="17" t="n">
        <x:v>254.13819999999998</x:v>
      </x:c>
      <x:c r="H186" s="17" t="n">
        <x:f>G186*F186</x:f>
        <x:v>1524.8292</x:v>
      </x:c>
      <x:c r="I186" s="22" t="str">
        <x:f>HYPERLINK("https://etp-aktiv.ru/catalog/materialy/truboprovody/2000553331-V119/","Открыть позицию")</x:f>
        <x:v>Открыть позицию</x:v>
      </x:c>
    </x:row>
    <x:row r="187" ht="28" customHeight="1">
      <x:c r="A187" s="16" t="str">
        <x:v>Красноярская ТЭЦ-1</x:v>
      </x:c>
      <x:c r="B187" s="16" t="str">
        <x:v>2000553342-V119</x:v>
      </x:c>
      <x:c r="C187" s="16" t="str">
        <x:v>ПРУЖИНА 05 ОСТ108.764.01-80</x:v>
      </x:c>
      <x:c r="D187" s="16" t="str">
        <x:v>Система опорн-подвес</x:v>
      </x:c>
      <x:c r="E187" s="16" t="str">
        <x:v>ШТ</x:v>
      </x:c>
      <x:c r="F187" s="21" t="n">
        <x:v>2</x:v>
      </x:c>
      <x:c r="G187" s="17" t="n">
        <x:v>1020.4445999999999</x:v>
      </x:c>
      <x:c r="H187" s="17" t="n">
        <x:f>G187*F187</x:f>
        <x:v>2040.8891999999998</x:v>
      </x:c>
      <x:c r="I187" s="22" t="str">
        <x:f>HYPERLINK("https://etp-aktiv.ru/catalog/materialy/truboprovody/2000553342-V119/","Открыть позицию")</x:f>
        <x:v>Открыть позицию</x:v>
      </x:c>
    </x:row>
    <x:row r="188" ht="28" customHeight="1">
      <x:c r="A188" s="16" t="str">
        <x:v>Красноярская ТЭЦ-1</x:v>
      </x:c>
      <x:c r="B188" s="16" t="str">
        <x:v>2000553344-V119</x:v>
      </x:c>
      <x:c r="C188" s="16" t="str">
        <x:v>ПРУЖИНА 06 ОСТ108.764.01-80</x:v>
      </x:c>
      <x:c r="D188" s="16" t="str">
        <x:v>Система опорн-подвес</x:v>
      </x:c>
      <x:c r="E188" s="16" t="str">
        <x:v>ШТ</x:v>
      </x:c>
      <x:c r="F188" s="21" t="n">
        <x:v>1</x:v>
      </x:c>
      <x:c r="G188" s="17" t="n">
        <x:v>1777.3813999999998</x:v>
      </x:c>
      <x:c r="H188" s="17" t="n">
        <x:f>G188*F188</x:f>
        <x:v>1777.3813999999998</x:v>
      </x:c>
      <x:c r="I188" s="22" t="str">
        <x:f>HYPERLINK("https://etp-aktiv.ru/catalog/materialy/truboprovody/2000553344-V119/","Открыть позицию")</x:f>
        <x:v>Открыть позицию</x:v>
      </x:c>
    </x:row>
    <x:row r="189" ht="28" customHeight="1">
      <x:c r="A189" s="16" t="str">
        <x:v>Красноярская ТЭЦ-1</x:v>
      </x:c>
      <x:c r="B189" s="16" t="str">
        <x:v>2000632157-V119</x:v>
      </x:c>
      <x:c r="C189" s="16" t="str">
        <x:v>ПРУЖИНА 07 МВН 049-63</x:v>
      </x:c>
      <x:c r="D189" s="16" t="str">
        <x:v>Система опорн-подвес</x:v>
      </x:c>
      <x:c r="E189" s="16" t="str">
        <x:v>ШТ</x:v>
      </x:c>
      <x:c r="F189" s="21" t="n">
        <x:v>4</x:v>
      </x:c>
      <x:c r="G189" s="17" t="n">
        <x:v>2611.5564</x:v>
      </x:c>
      <x:c r="H189" s="17" t="n">
        <x:f>G189*F189</x:f>
        <x:v>10446.2256</x:v>
      </x:c>
      <x:c r="I189" s="22" t="str">
        <x:f>HYPERLINK("https://etp-aktiv.ru/catalog/materialy/truboprovody/2000632157-V119/","Открыть позицию")</x:f>
        <x:v>Открыть позицию</x:v>
      </x:c>
    </x:row>
    <x:row r="190" ht="28" customHeight="1">
      <x:c r="A190" s="16" t="str">
        <x:v>Красноярская ТЭЦ-1</x:v>
      </x:c>
      <x:c r="B190" s="16" t="str">
        <x:v>2000553345-V119</x:v>
      </x:c>
      <x:c r="C190" s="16" t="str">
        <x:v>ПРУЖИНА 07 ОСТ108.764.01-80</x:v>
      </x:c>
      <x:c r="D190" s="16" t="str">
        <x:v>Система опорн-подвес</x:v>
      </x:c>
      <x:c r="E190" s="16" t="str">
        <x:v>ШТ</x:v>
      </x:c>
      <x:c r="F190" s="21" t="n">
        <x:v>1</x:v>
      </x:c>
      <x:c r="G190" s="17" t="n">
        <x:v>1094.0228</x:v>
      </x:c>
      <x:c r="H190" s="17" t="n">
        <x:f>G190*F190</x:f>
        <x:v>1094.0228</x:v>
      </x:c>
      <x:c r="I190" s="22" t="str">
        <x:f>HYPERLINK("https://etp-aktiv.ru/catalog/materialy/truboprovody/2000553345-V119/","Открыть позицию")</x:f>
        <x:v>Открыть позицию</x:v>
      </x:c>
    </x:row>
    <x:row r="191" ht="28" customHeight="1">
      <x:c r="A191" s="16" t="str">
        <x:v>Красноярская ТЭЦ-1</x:v>
      </x:c>
      <x:c r="B191" s="16" t="str">
        <x:v>2000552946-V119</x:v>
      </x:c>
      <x:c r="C191" s="16" t="str">
        <x:v>ПРУЖИНА 11193-00</x:v>
      </x:c>
      <x:c r="D191" s="16" t="str">
        <x:v>Система опорн-подвес</x:v>
      </x:c>
      <x:c r="E191" s="16" t="str">
        <x:v>ШТ</x:v>
      </x:c>
      <x:c r="F191" s="21" t="n">
        <x:v>8</x:v>
      </x:c>
      <x:c r="G191" s="17" t="n">
        <x:v>300.75440000000003</x:v>
      </x:c>
      <x:c r="H191" s="17" t="n">
        <x:f>G191*F191</x:f>
        <x:v>2406.0352000000003</x:v>
      </x:c>
      <x:c r="I191" s="22" t="str">
        <x:f>HYPERLINK("https://etp-aktiv.ru/catalog/materialy/truboprovody/2000552946-V119/","Открыть позицию")</x:f>
        <x:v>Открыть позицию</x:v>
      </x:c>
    </x:row>
    <x:row r="192" ht="28" customHeight="1">
      <x:c r="A192" s="16" t="str">
        <x:v>Красноярская ТЭЦ-1</x:v>
      </x:c>
      <x:c r="B192" s="16" t="str">
        <x:v>2000552947-V119</x:v>
      </x:c>
      <x:c r="C192" s="16" t="str">
        <x:v>ПРУЖИНА 11194-00</x:v>
      </x:c>
      <x:c r="D192" s="16" t="str">
        <x:v>Система опорн-подвес</x:v>
      </x:c>
      <x:c r="E192" s="16" t="str">
        <x:v>ШТ</x:v>
      </x:c>
      <x:c r="F192" s="21" t="n">
        <x:v>3</x:v>
      </x:c>
      <x:c r="G192" s="17" t="n">
        <x:v>567.5928</x:v>
      </x:c>
      <x:c r="H192" s="17" t="n">
        <x:f>G192*F192</x:f>
        <x:v>1702.7784000000001</x:v>
      </x:c>
      <x:c r="I192" s="22" t="str">
        <x:f>HYPERLINK("https://etp-aktiv.ru/catalog/materialy/truboprovody/2000552947-V119/","Открыть позицию")</x:f>
        <x:v>Открыть позицию</x:v>
      </x:c>
    </x:row>
    <x:row r="193" ht="28" customHeight="1">
      <x:c r="A193" s="16" t="str">
        <x:v>Красноярская ТЭЦ-1</x:v>
      </x:c>
      <x:c r="B193" s="16" t="str">
        <x:v>2000552945-V119</x:v>
      </x:c>
      <x:c r="C193" s="16" t="str">
        <x:v>ПРУЖИНА 11224-00</x:v>
      </x:c>
      <x:c r="D193" s="16" t="str">
        <x:v>Система опорн-подвес</x:v>
      </x:c>
      <x:c r="E193" s="16" t="str">
        <x:v>ШТ</x:v>
      </x:c>
      <x:c r="F193" s="21" t="n">
        <x:v>4</x:v>
      </x:c>
      <x:c r="G193" s="17" t="n">
        <x:v>140.05599999999998</x:v>
      </x:c>
      <x:c r="H193" s="17" t="n">
        <x:f>G193*F193</x:f>
        <x:v>560.2239999999999</x:v>
      </x:c>
      <x:c r="I193" s="22" t="str">
        <x:f>HYPERLINK("https://etp-aktiv.ru/catalog/materialy/truboprovody/2000552945-V119/","Открыть позицию")</x:f>
        <x:v>Открыть позицию</x:v>
      </x:c>
    </x:row>
    <x:row r="194" ht="28" customHeight="1">
      <x:c r="A194" s="16" t="str">
        <x:v>Красноярская ТЭЦ-1</x:v>
      </x:c>
      <x:c r="B194" s="16" t="str">
        <x:v>2000632172-V119</x:v>
      </x:c>
      <x:c r="C194" s="16" t="str">
        <x:v>ПРУЖИНА 17 МВН 049-63</x:v>
      </x:c>
      <x:c r="D194" s="16" t="str">
        <x:v>Система опорн-подвес</x:v>
      </x:c>
      <x:c r="E194" s="16" t="str">
        <x:v>ШТ</x:v>
      </x:c>
      <x:c r="F194" s="21" t="n">
        <x:v>2</x:v>
      </x:c>
      <x:c r="G194" s="17" t="n">
        <x:v>3387.5739999999996</x:v>
      </x:c>
      <x:c r="H194" s="17" t="n">
        <x:f>G194*F194</x:f>
        <x:v>6775.147999999999</x:v>
      </x:c>
      <x:c r="I194" s="22" t="str">
        <x:f>HYPERLINK("https://etp-aktiv.ru/catalog/materialy/truboprovody/2000632172-V119/","Открыть позицию")</x:f>
        <x:v>Открыть позицию</x:v>
      </x:c>
    </x:row>
    <x:row r="195" ht="28" customHeight="1">
      <x:c r="A195" s="16" t="str">
        <x:v>Красноярская ТЭЦ-1</x:v>
      </x:c>
      <x:c r="B195" s="16" t="str">
        <x:v>2000553350-V119</x:v>
      </x:c>
      <x:c r="C195" s="16" t="str">
        <x:v>ПРУЖИНА ИСП.14 МВН049-63</x:v>
      </x:c>
      <x:c r="D195" s="16" t="str">
        <x:v>Система опорн-подвес</x:v>
      </x:c>
      <x:c r="E195" s="16" t="str">
        <x:v>ШТ</x:v>
      </x:c>
      <x:c r="F195" s="21" t="n">
        <x:v>1</x:v>
      </x:c>
      <x:c r="G195" s="17" t="n">
        <x:v>1430.7672</x:v>
      </x:c>
      <x:c r="H195" s="17" t="n">
        <x:f>G195*F195</x:f>
        <x:v>1430.7672</x:v>
      </x:c>
      <x:c r="I195" s="22" t="str">
        <x:f>HYPERLINK("https://etp-aktiv.ru/catalog/materialy/truboprovody/2000553350-V119/","Открыть позицию")</x:f>
        <x:v>Открыть позицию</x:v>
      </x:c>
    </x:row>
    <x:row r="196" ht="28" customHeight="1">
      <x:c r="A196" s="16" t="str">
        <x:v>Красноярская ТЭЦ-1</x:v>
      </x:c>
      <x:c r="B196" s="16" t="str">
        <x:v>2000570931-V119</x:v>
      </x:c>
      <x:c r="C196" s="16" t="str">
        <x:v>РЕГ-Р РД6103.000.00-00.00 50/0,15-0,65ФЛ</x:v>
      </x:c>
      <x:c r="D196" s="16" t="str">
        <x:v>РегулирующАрматура</x:v>
      </x:c>
      <x:c r="E196" s="16" t="str">
        <x:v>ШТ</x:v>
      </x:c>
      <x:c r="F196" s="21" t="n">
        <x:v>2</x:v>
      </x:c>
      <x:c r="G196" s="17" t="n">
        <x:v>102079.6936</x:v>
      </x:c>
      <x:c r="H196" s="17" t="n">
        <x:f>G196*F196</x:f>
        <x:v>204159.3872</x:v>
      </x:c>
      <x:c r="I196" s="22" t="str">
        <x:f>HYPERLINK("https://etp-aktiv.ru/catalog/materialy/truboprovodnaya-armatura-i-komplektuyushchie/2000570931-V119/","Открыть позицию")</x:f>
        <x:v>Открыть позицию</x:v>
      </x:c>
    </x:row>
    <x:row r="197" ht="28" customHeight="1">
      <x:c r="A197" s="16" t="str">
        <x:v>Красноярская ТЭЦ-1</x:v>
      </x:c>
      <x:c r="B197" s="16" t="str">
        <x:v>2000383215-V119</x:v>
      </x:c>
      <x:c r="C197" s="16" t="str">
        <x:v>ТРОЙНИК СТ20 219*6 219 6 ГОСТ17376-2001</x:v>
      </x:c>
      <x:c r="D197" s="16" t="str">
        <x:v>Детали фасонные</x:v>
      </x:c>
      <x:c r="E197" s="16" t="str">
        <x:v>ШТ</x:v>
      </x:c>
      <x:c r="F197" s="21" t="n">
        <x:v>1</x:v>
      </x:c>
      <x:c r="G197" s="17" t="n">
        <x:v>2450.3822</x:v>
      </x:c>
      <x:c r="H197" s="17" t="n">
        <x:f>G197*F197</x:f>
        <x:v>2450.3822</x:v>
      </x:c>
      <x:c r="I197" s="22" t="str">
        <x:f>HYPERLINK("https://etp-aktiv.ru/catalog/materialy/truboprovody/2000383215-V119/","Открыть позицию")</x:f>
        <x:v>Открыть позицию</x:v>
      </x:c>
    </x:row>
    <x:row r="198" ht="28" customHeight="1">
      <x:c r="A198" s="16" t="str">
        <x:v>Красноярская ТЭЦ-1</x:v>
      </x:c>
      <x:c r="B198" s="16" t="str">
        <x:v>2000749105-V119</x:v>
      </x:c>
      <x:c r="C198" s="16" t="str">
        <x:v>ТРОЙНИК СТ20 219*6-133*5 ГОСТ17376-2001</x:v>
      </x:c>
      <x:c r="D198" s="16" t="str">
        <x:v>Детали фасонные</x:v>
      </x:c>
      <x:c r="E198" s="16" t="str">
        <x:v>ШТ</x:v>
      </x:c>
      <x:c r="F198" s="21" t="n">
        <x:v>1</x:v>
      </x:c>
      <x:c r="G198" s="17" t="n">
        <x:v>2096.4358</x:v>
      </x:c>
      <x:c r="H198" s="17" t="n">
        <x:f>G198*F198</x:f>
        <x:v>2096.4358</x:v>
      </x:c>
      <x:c r="I198" s="22" t="str">
        <x:f>HYPERLINK("https://etp-aktiv.ru/catalog/materialy/truboprovody/2000749105-V119/","Открыть позицию")</x:f>
        <x:v>Открыть позицию</x:v>
      </x:c>
    </x:row>
    <x:row r="199" ht="28" customHeight="1">
      <x:c r="A199" s="16" t="str">
        <x:v>Красноярская ТЭЦ-1</x:v>
      </x:c>
      <x:c r="B199" s="16" t="str">
        <x:v>2000383217-V119</x:v>
      </x:c>
      <x:c r="C199" s="16" t="str">
        <x:v>ТРОЙНИК СТ20 273*7 273 7 ГОСТ17376-2001</x:v>
      </x:c>
      <x:c r="D199" s="16" t="str">
        <x:v>Детали фасонные</x:v>
      </x:c>
      <x:c r="E199" s="16" t="str">
        <x:v>ШТ</x:v>
      </x:c>
      <x:c r="F199" s="21" t="n">
        <x:v>1</x:v>
      </x:c>
      <x:c r="G199" s="17" t="n">
        <x:v>2137.9402</x:v>
      </x:c>
      <x:c r="H199" s="17" t="n">
        <x:f>G199*F199</x:f>
        <x:v>2137.9402</x:v>
      </x:c>
      <x:c r="I199" s="22" t="str">
        <x:f>HYPERLINK("https://etp-aktiv.ru/catalog/materialy/truboprovody/2000383217-V119/","Открыть позицию")</x:f>
        <x:v>Открыть позицию</x:v>
      </x:c>
    </x:row>
    <x:row r="200" ht="28" customHeight="1">
      <x:c r="A200" s="16" t="str">
        <x:v>Красноярская ТЭЦ-1</x:v>
      </x:c>
      <x:c r="B200" s="16" t="str">
        <x:v>2000560156-V119</x:v>
      </x:c>
      <x:c r="C200" s="16" t="str">
        <x:v>ТРУБА 09Г2С 159*6 ГОСТ8731-74</x:v>
      </x:c>
      <x:c r="D200" s="16" t="str">
        <x:v>Трубы черные бесшов</x:v>
      </x:c>
      <x:c r="E200" s="16" t="str">
        <x:v>Т</x:v>
      </x:c>
      <x:c r="F200" s="30" t="n">
        <x:v>0.397</x:v>
      </x:c>
      <x:c r="G200" s="17" t="n">
        <x:v>52555.3064</x:v>
      </x:c>
      <x:c r="H200" s="17" t="n">
        <x:f>G200*F200</x:f>
        <x:v>20864.456640800003</x:v>
      </x:c>
      <x:c r="I200" s="22" t="str">
        <x:f>HYPERLINK("https://etp-aktiv.ru/catalog/materialy/truby-stalnye-i-polimernye/2000560156-V119/","Открыть позицию")</x:f>
        <x:v>Открыть позицию</x:v>
      </x:c>
    </x:row>
    <x:row r="201" ht="28" customHeight="1">
      <x:c r="A201" s="16" t="str">
        <x:v>Красноярская ТЭЦ-1</x:v>
      </x:c>
      <x:c r="B201" s="16" t="str">
        <x:v>2000560344-V119</x:v>
      </x:c>
      <x:c r="C201" s="16" t="str">
        <x:v>ТРУБА 09Г2С 159*8 ТУ14-3-1128-00</x:v>
      </x:c>
      <x:c r="D201" s="16" t="str">
        <x:v>Трубы черные бесшов</x:v>
      </x:c>
      <x:c r="E201" s="16" t="str">
        <x:v>Т</x:v>
      </x:c>
      <x:c r="F201" s="30" t="n">
        <x:v>0.05</x:v>
      </x:c>
      <x:c r="G201" s="17" t="n">
        <x:v>115900.02440000001</x:v>
      </x:c>
      <x:c r="H201" s="17" t="n">
        <x:f>G201*F201</x:f>
        <x:v>5795.001220000001</x:v>
      </x:c>
      <x:c r="I201" s="22" t="str">
        <x:f>HYPERLINK("https://etp-aktiv.ru/catalog/materialy/truby-stalnye-i-polimernye/2000560344-V119/","Открыть позицию")</x:f>
        <x:v>Открыть позицию</x:v>
      </x:c>
    </x:row>
    <x:row r="202" ht="28" customHeight="1">
      <x:c r="A202" s="16" t="str">
        <x:v>Красноярская ТЭЦ-1</x:v>
      </x:c>
      <x:c r="B202" s="16" t="str">
        <x:v>2000570110-V119</x:v>
      </x:c>
      <x:c r="C202" s="16" t="str">
        <x:v>ТРУБА 09Г2С 426*10 ГОСТ10705-80</x:v>
      </x:c>
      <x:c r="D202" s="16" t="str">
        <x:v>ТрбЧерСварМалСрдДиам</x:v>
      </x:c>
      <x:c r="E202" s="16" t="str">
        <x:v>Т</x:v>
      </x:c>
      <x:c r="F202" s="30" t="n">
        <x:v>0.099</x:v>
      </x:c>
      <x:c r="G202" s="17" t="n">
        <x:v>62906.274399999995</x:v>
      </x:c>
      <x:c r="H202" s="17" t="n">
        <x:f>G202*F202</x:f>
        <x:v>6227.7211656</x:v>
      </x:c>
      <x:c r="I202" s="22" t="str">
        <x:f>HYPERLINK("https://etp-aktiv.ru/catalog/materialy/truby-stalnye-i-polimernye/2000570110-V119/","Открыть позицию")</x:f>
        <x:v>Открыть позицию</x:v>
      </x:c>
    </x:row>
    <x:row r="203" ht="28" customHeight="1">
      <x:c r="A203" s="16" t="str">
        <x:v>Красноярская ТЭЦ-1</x:v>
      </x:c>
      <x:c r="B203" s="16" t="str">
        <x:v>2000560649-V119</x:v>
      </x:c>
      <x:c r="C203" s="16" t="str">
        <x:v>ТРУБА 12Х18Н10Т 16*2,5 ГОСТ9941-81</x:v>
      </x:c>
      <x:c r="D203" s="16" t="str">
        <x:v>ТрбНж(свр/бш)КрмКтВД</x:v>
      </x:c>
      <x:c r="E203" s="16" t="str">
        <x:v>Т</x:v>
      </x:c>
      <x:c r="F203" s="30" t="n">
        <x:v>0.137</x:v>
      </x:c>
      <x:c r="G203" s="17" t="n">
        <x:v>305483.3884</x:v>
      </x:c>
      <x:c r="H203" s="17" t="n">
        <x:f>G203*F203</x:f>
        <x:v>41851.2242108</x:v>
      </x:c>
      <x:c r="I203" s="22" t="str">
        <x:f>HYPERLINK("https://etp-aktiv.ru/catalog/materialy/truby-stalnye-i-polimernye/2000560649-V119/","Открыть позицию")</x:f>
        <x:v>Открыть позицию</x:v>
      </x:c>
    </x:row>
    <x:row r="204" ht="28" customHeight="1">
      <x:c r="A204" s="16" t="str">
        <x:v>Красноярская ТЭЦ-1</x:v>
      </x:c>
      <x:c r="B204" s="16" t="str">
        <x:v>2000560657-V119</x:v>
      </x:c>
      <x:c r="C204" s="16" t="str">
        <x:v>ТРУБА 12Х18Н10Т 20*2,5 ГОСТ9941-81</x:v>
      </x:c>
      <x:c r="D204" s="16" t="str">
        <x:v>ТрбНж(свр/бш)КрмКтВД</x:v>
      </x:c>
      <x:c r="E204" s="16" t="str">
        <x:v>Т</x:v>
      </x:c>
      <x:c r="F204" s="30" t="n">
        <x:v>0.062</x:v>
      </x:c>
      <x:c r="G204" s="17" t="n">
        <x:v>279925.36439999996</x:v>
      </x:c>
      <x:c r="H204" s="17" t="n">
        <x:f>G204*F204</x:f>
        <x:v>17355.3725928</x:v>
      </x:c>
      <x:c r="I204" s="22" t="str">
        <x:f>HYPERLINK("https://etp-aktiv.ru/catalog/materialy/truby-stalnye-i-polimernye/2000560657-V119/","Открыть позицию")</x:f>
        <x:v>Открыть позицию</x:v>
      </x:c>
    </x:row>
    <x:row r="205" ht="28" customHeight="1">
      <x:c r="A205" s="16" t="str">
        <x:v>Красноярская ТЭЦ-1</x:v>
      </x:c>
      <x:c r="B205" s="16" t="str">
        <x:v>2000560699-V119</x:v>
      </x:c>
      <x:c r="C205" s="16" t="str">
        <x:v>ТРУБА 12Х18Н10Т 57*4 ГОСТ9941-81</x:v>
      </x:c>
      <x:c r="D205" s="16" t="str">
        <x:v>ТрбНж(свр/бш)КрмКтВД</x:v>
      </x:c>
      <x:c r="E205" s="16" t="str">
        <x:v>Т</x:v>
      </x:c>
      <x:c r="F205" s="30" t="n">
        <x:v>0.599</x:v>
      </x:c>
      <x:c r="G205" s="17" t="n">
        <x:v>357199.6886</x:v>
      </x:c>
      <x:c r="H205" s="17" t="n">
        <x:f>G205*F205</x:f>
        <x:v>213962.6134714</x:v>
      </x:c>
      <x:c r="I205" s="22" t="str">
        <x:f>HYPERLINK("https://etp-aktiv.ru/catalog/materialy/truby-stalnye-i-polimernye/2000560699-V119/","Открыть позицию")</x:f>
        <x:v>Открыть позицию</x:v>
      </x:c>
    </x:row>
    <x:row r="206" ht="28" customHeight="1">
      <x:c r="A206" s="16" t="str">
        <x:v>Красноярская ТЭЦ-1</x:v>
      </x:c>
      <x:c r="B206" s="16" t="str">
        <x:v>2000170672-V119</x:v>
      </x:c>
      <x:c r="C206" s="16" t="str">
        <x:v>ТРУБА 12Х1МФ 133*10 ТУ14-3Р-55-01</x:v>
      </x:c>
      <x:c r="D206" s="16" t="str">
        <x:v>Трубы котельные в/д</x:v>
      </x:c>
      <x:c r="E206" s="16" t="str">
        <x:v>Т</x:v>
      </x:c>
      <x:c r="F206" s="26" t="n">
        <x:v>1.351</x:v>
      </x:c>
      <x:c r="G206" s="17" t="n">
        <x:v>449296.46379999997</x:v>
      </x:c>
      <x:c r="H206" s="17" t="n">
        <x:f>G206*F206</x:f>
        <x:v>606999.5225938</x:v>
      </x:c>
      <x:c r="I206" s="22" t="str">
        <x:f>HYPERLINK("https://etp-aktiv.ru/catalog/materialy/truby-stalnye-i-polimernye/2000170672-V119/","Открыть позицию")</x:f>
        <x:v>Открыть позицию</x:v>
      </x:c>
    </x:row>
    <x:row r="207" ht="28" customHeight="1">
      <x:c r="A207" s="16" t="str">
        <x:v>Красноярская ТЭЦ-1</x:v>
      </x:c>
      <x:c r="B207" s="16" t="str">
        <x:v>2000545993-V119</x:v>
      </x:c>
      <x:c r="C207" s="16" t="str">
        <x:v>ТРУБА 12Х1МФ 133*20 ТУ14-3Р-55-01</x:v>
      </x:c>
      <x:c r="D207" s="16" t="str">
        <x:v>Трубы котельные в/д</x:v>
      </x:c>
      <x:c r="E207" s="16" t="str">
        <x:v>Т</x:v>
      </x:c>
      <x:c r="F207" s="30" t="n">
        <x:v>0.047</x:v>
      </x:c>
      <x:c r="G207" s="17" t="n">
        <x:v>202619.25919999997</x:v>
      </x:c>
      <x:c r="H207" s="17" t="n">
        <x:f>G207*F207</x:f>
        <x:v>9523.105182399999</x:v>
      </x:c>
      <x:c r="I207" s="22" t="str">
        <x:f>HYPERLINK("https://etp-aktiv.ru/catalog/materialy/truby-stalnye-i-polimernye/2000545993-V119/","Открыть позицию")</x:f>
        <x:v>Открыть позицию</x:v>
      </x:c>
    </x:row>
    <x:row r="208" ht="28" customHeight="1">
      <x:c r="A208" s="16" t="str">
        <x:v>Красноярская ТЭЦ-1</x:v>
      </x:c>
      <x:c r="B208" s="16" t="str">
        <x:v>2000624140-V119</x:v>
      </x:c>
      <x:c r="C208" s="16" t="str">
        <x:v>ТРУБА 12Х1МФ 273*13 ТУ14-3Р-55-2001</x:v>
      </x:c>
      <x:c r="D208" s="16" t="str">
        <x:v>Трубы котельные в/д</x:v>
      </x:c>
      <x:c r="E208" s="16" t="str">
        <x:v>Т</x:v>
      </x:c>
      <x:c r="F208" s="30" t="n">
        <x:v>0.377</x:v>
      </x:c>
      <x:c r="G208" s="17" t="n">
        <x:v>187484.92740000002</x:v>
      </x:c>
      <x:c r="H208" s="17" t="n">
        <x:f>G208*F208</x:f>
        <x:v>70681.8176298</x:v>
      </x:c>
      <x:c r="I208" s="22" t="str">
        <x:f>HYPERLINK("https://etp-aktiv.ru/catalog/materialy/truby-stalnye-i-polimernye/2000624140-V119/","Открыть позицию")</x:f>
        <x:v>Открыть позицию</x:v>
      </x:c>
    </x:row>
    <x:row r="209" ht="28" customHeight="1">
      <x:c r="A209" s="16" t="str">
        <x:v>Красноярская ТЭЦ-1</x:v>
      </x:c>
      <x:c r="B209" s="16" t="str">
        <x:v>2000711063-V119</x:v>
      </x:c>
      <x:c r="C209" s="16" t="str">
        <x:v>ТРУБА 12Х1МФ 273*26 L5300ММ ТУ14-3Р-55</x:v>
      </x:c>
      <x:c r="D209" s="16" t="str">
        <x:v>Трубы котельные в/д</x:v>
      </x:c>
      <x:c r="E209" s="16" t="str">
        <x:v>Т</x:v>
      </x:c>
      <x:c r="F209" s="30" t="n">
        <x:v>0.667</x:v>
      </x:c>
      <x:c r="G209" s="17" t="n">
        <x:v>206107.6418</x:v>
      </x:c>
      <x:c r="H209" s="17" t="n">
        <x:f>G209*F209</x:f>
        <x:v>137473.79708060002</x:v>
      </x:c>
      <x:c r="I209" s="22" t="str">
        <x:f>HYPERLINK("https://etp-aktiv.ru/catalog/materialy/truby-stalnye-i-polimernye/2000711063-V119/","Открыть позицию")</x:f>
        <x:v>Открыть позицию</x:v>
      </x:c>
    </x:row>
    <x:row r="210" ht="28" customHeight="1">
      <x:c r="A210" s="16" t="str">
        <x:v>Красноярская ТЭЦ-1</x:v>
      </x:c>
      <x:c r="B210" s="16" t="str">
        <x:v>2000545987-V119</x:v>
      </x:c>
      <x:c r="C210" s="16" t="str">
        <x:v>ТРУБА 12Х1МФ 28*3,5 ТУ14-3Р-55-01</x:v>
      </x:c>
      <x:c r="D210" s="16" t="str">
        <x:v>Трубы котельные в/д</x:v>
      </x:c>
      <x:c r="E210" s="16" t="str">
        <x:v>Т</x:v>
      </x:c>
      <x:c r="F210" s="30" t="n">
        <x:v>0.033</x:v>
      </x:c>
      <x:c r="G210" s="17" t="n">
        <x:v>127789.52219999999</x:v>
      </x:c>
      <x:c r="H210" s="17" t="n">
        <x:f>G210*F210</x:f>
        <x:v>4217.0542325999995</x:v>
      </x:c>
      <x:c r="I210" s="22" t="str">
        <x:f>HYPERLINK("https://etp-aktiv.ru/catalog/materialy/truby-stalnye-i-polimernye/2000545987-V119/","Открыть позицию")</x:f>
        <x:v>Открыть позицию</x:v>
      </x:c>
    </x:row>
    <x:row r="211" ht="28" customHeight="1">
      <x:c r="A211" s="16" t="str">
        <x:v>Красноярская ТЭЦ-1</x:v>
      </x:c>
      <x:c r="B211" s="16" t="str">
        <x:v>2000546088-V119</x:v>
      </x:c>
      <x:c r="C211" s="16" t="str">
        <x:v>ТРУБА 12Х1МФ 325*32 ТУ14-3Р-55-01</x:v>
      </x:c>
      <x:c r="D211" s="16" t="str">
        <x:v>Трубы котельные в/д</x:v>
      </x:c>
      <x:c r="E211" s="16" t="str">
        <x:v>Т</x:v>
      </x:c>
      <x:c r="F211" s="26" t="n">
        <x:v>3.076</x:v>
      </x:c>
      <x:c r="G211" s="17" t="n">
        <x:v>192493.125</x:v>
      </x:c>
      <x:c r="H211" s="17" t="n">
        <x:f>G211*F211</x:f>
        <x:v>592108.8525</x:v>
      </x:c>
      <x:c r="I211" s="22" t="str">
        <x:f>HYPERLINK("https://etp-aktiv.ru/catalog/materialy/truby-stalnye-i-polimernye/2000546088-V119/","Открыть позицию")</x:f>
        <x:v>Открыть позицию</x:v>
      </x:c>
    </x:row>
    <x:row r="212" ht="28" customHeight="1">
      <x:c r="A212" s="16" t="str">
        <x:v>Красноярская ТЭЦ-1</x:v>
      </x:c>
      <x:c r="B212" s="16" t="str">
        <x:v>2000546028-V119</x:v>
      </x:c>
      <x:c r="C212" s="16" t="str">
        <x:v>ТРУБА 12Х1МФ 325*36 ТУ14-3Р-55-01</x:v>
      </x:c>
      <x:c r="D212" s="16" t="str">
        <x:v>Трубы котельные в/д</x:v>
      </x:c>
      <x:c r="E212" s="16" t="str">
        <x:v>Т</x:v>
      </x:c>
      <x:c r="F212" s="30" t="n">
        <x:v>0.166</x:v>
      </x:c>
      <x:c r="G212" s="17" t="n">
        <x:v>205652.6794</x:v>
      </x:c>
      <x:c r="H212" s="17" t="n">
        <x:f>G212*F212</x:f>
        <x:v>34138.3447804</x:v>
      </x:c>
      <x:c r="I212" s="22" t="str">
        <x:f>HYPERLINK("https://etp-aktiv.ru/catalog/materialy/truby-stalnye-i-polimernye/2000546028-V119/","Открыть позицию")</x:f>
        <x:v>Открыть позицию</x:v>
      </x:c>
    </x:row>
    <x:row r="213" ht="28" customHeight="1">
      <x:c r="A213" s="16" t="str">
        <x:v>Красноярская ТЭЦ-1</x:v>
      </x:c>
      <x:c r="B213" s="16" t="str">
        <x:v>2000545983-V119</x:v>
      </x:c>
      <x:c r="C213" s="16" t="str">
        <x:v>ТРУБА 12Х1МФ 42*4 ТУ14-3Р-55-01</x:v>
      </x:c>
      <x:c r="D213" s="16" t="str">
        <x:v>Трубы котельные в/д</x:v>
      </x:c>
      <x:c r="E213" s="16" t="str">
        <x:v>Т</x:v>
      </x:c>
      <x:c r="F213" s="30" t="n">
        <x:v>0.405</x:v>
      </x:c>
      <x:c r="G213" s="17" t="n">
        <x:v>143025.785</x:v>
      </x:c>
      <x:c r="H213" s="17" t="n">
        <x:f>G213*F213</x:f>
        <x:v>57925.442925</x:v>
      </x:c>
      <x:c r="I213" s="22" t="str">
        <x:f>HYPERLINK("https://etp-aktiv.ru/catalog/materialy/truby-stalnye-i-polimernye/2000545983-V119/","Открыть позицию")</x:f>
        <x:v>Открыть позицию</x:v>
      </x:c>
    </x:row>
    <x:row r="214" ht="28" customHeight="1">
      <x:c r="A214" s="16" t="str">
        <x:v>Красноярская ТЭЦ-1</x:v>
      </x:c>
      <x:c r="B214" s="16" t="str">
        <x:v>2000546093-V119</x:v>
      </x:c>
      <x:c r="C214" s="16" t="str">
        <x:v>ТРУБА 12Х1МФ 426*22 ТУ14-3Р-55-01</x:v>
      </x:c>
      <x:c r="D214" s="16" t="str">
        <x:v>Трубы котельные в/д</x:v>
      </x:c>
      <x:c r="E214" s="16" t="str">
        <x:v>Т</x:v>
      </x:c>
      <x:c r="F214" s="30" t="n">
        <x:v>0.517</x:v>
      </x:c>
      <x:c r="G214" s="17" t="n">
        <x:v>237148.5654</x:v>
      </x:c>
      <x:c r="H214" s="17" t="n">
        <x:f>G214*F214</x:f>
        <x:v>122605.8083118</x:v>
      </x:c>
      <x:c r="I214" s="22" t="str">
        <x:f>HYPERLINK("https://etp-aktiv.ru/catalog/materialy/truby-stalnye-i-polimernye/2000546093-V119/","Открыть позицию")</x:f>
        <x:v>Открыть позицию</x:v>
      </x:c>
    </x:row>
    <x:row r="215" ht="28" customHeight="1">
      <x:c r="A215" s="16" t="str">
        <x:v>Красноярская ТЭЦ-1</x:v>
      </x:c>
      <x:c r="B215" s="16" t="str">
        <x:v>2000246040-V119</x:v>
      </x:c>
      <x:c r="C215" s="16" t="str">
        <x:v>ТРУБА 12Х1МФ 465*22 ТУ14-3Р-55-01</x:v>
      </x:c>
      <x:c r="D215" s="16" t="str">
        <x:v>Трубы котельные в/д</x:v>
      </x:c>
      <x:c r="E215" s="16" t="str">
        <x:v>Т</x:v>
      </x:c>
      <x:c r="F215" s="30" t="n">
        <x:v>0.529</x:v>
      </x:c>
      <x:c r="G215" s="17" t="n">
        <x:v>296695.13060000003</x:v>
      </x:c>
      <x:c r="H215" s="17" t="n">
        <x:f>G215*F215</x:f>
        <x:v>156951.7240874</x:v>
      </x:c>
      <x:c r="I215" s="22" t="str">
        <x:f>HYPERLINK("https://etp-aktiv.ru/catalog/materialy/truby-stalnye-i-polimernye/2000246040-V119/","Открыть позицию")</x:f>
        <x:v>Открыть позицию</x:v>
      </x:c>
    </x:row>
    <x:row r="216" ht="28" customHeight="1">
      <x:c r="A216" s="16" t="str">
        <x:v>Красноярская ТЭЦ-1</x:v>
      </x:c>
      <x:c r="B216" s="16" t="str">
        <x:v>2000545981-V119</x:v>
      </x:c>
      <x:c r="C216" s="16" t="str">
        <x:v>ТРУБА 12Х1МФ 60*6 ТУ14-3Р-55-01</x:v>
      </x:c>
      <x:c r="D216" s="16" t="str">
        <x:v>Трубы котельные в/д</x:v>
      </x:c>
      <x:c r="E216" s="16" t="str">
        <x:v>Т</x:v>
      </x:c>
      <x:c r="F216" s="30" t="n">
        <x:v>0.013</x:v>
      </x:c>
      <x:c r="G216" s="17" t="n">
        <x:v>169160.625</x:v>
      </x:c>
      <x:c r="H216" s="17" t="n">
        <x:f>G216*F216</x:f>
        <x:v>2199.0881249999998</x:v>
      </x:c>
      <x:c r="I216" s="22" t="str">
        <x:f>HYPERLINK("https://etp-aktiv.ru/catalog/materialy/truby-stalnye-i-polimernye/2000545981-V119/","Открыть позицию")</x:f>
        <x:v>Открыть позицию</x:v>
      </x:c>
    </x:row>
    <x:row r="217" ht="28" customHeight="1">
      <x:c r="A217" s="16" t="str">
        <x:v>Красноярская ТЭЦ-1</x:v>
      </x:c>
      <x:c r="B217" s="16" t="str">
        <x:v>2000147498-V119</x:v>
      </x:c>
      <x:c r="C217" s="16" t="str">
        <x:v>ТРУБА 12Х1МФ 76*10 ТУ14-3Р-55-01</x:v>
      </x:c>
      <x:c r="D217" s="16" t="str">
        <x:v>Трубы котельные в/д</x:v>
      </x:c>
      <x:c r="E217" s="16" t="str">
        <x:v>Т</x:v>
      </x:c>
      <x:c r="F217" s="30" t="n">
        <x:v>0.504</x:v>
      </x:c>
      <x:c r="G217" s="17" t="n">
        <x:v>110697.0904</x:v>
      </x:c>
      <x:c r="H217" s="17" t="n">
        <x:f>G217*F217</x:f>
        <x:v>55791.333561600004</x:v>
      </x:c>
      <x:c r="I217" s="22" t="str">
        <x:f>HYPERLINK("https://etp-aktiv.ru/catalog/materialy/truby-stalnye-i-polimernye/2000147498-V119/","Открыть позицию")</x:f>
        <x:v>Открыть позицию</x:v>
      </x:c>
    </x:row>
    <x:row r="218" ht="28" customHeight="1">
      <x:c r="A218" s="16" t="str">
        <x:v>Красноярская ТЭЦ-1</x:v>
      </x:c>
      <x:c r="B218" s="16" t="str">
        <x:v>2000545989-V119</x:v>
      </x:c>
      <x:c r="C218" s="16" t="str">
        <x:v>ТРУБА 12Х1МФ 76*12 ТУ14-3Р-55-01</x:v>
      </x:c>
      <x:c r="D218" s="16" t="str">
        <x:v>Трубы котельные в/д</x:v>
      </x:c>
      <x:c r="E218" s="16" t="str">
        <x:v>Т</x:v>
      </x:c>
      <x:c r="F218" s="30" t="n">
        <x:v>0.301</x:v>
      </x:c>
      <x:c r="G218" s="17" t="n">
        <x:v>147872.0398</x:v>
      </x:c>
      <x:c r="H218" s="17" t="n">
        <x:f>G218*F218</x:f>
        <x:v>44509.483979799996</x:v>
      </x:c>
      <x:c r="I218" s="22" t="str">
        <x:f>HYPERLINK("https://etp-aktiv.ru/catalog/materialy/truby-stalnye-i-polimernye/2000545989-V119/","Открыть позицию")</x:f>
        <x:v>Открыть позицию</x:v>
      </x:c>
    </x:row>
    <x:row r="219" ht="28" customHeight="1">
      <x:c r="A219" s="16" t="str">
        <x:v>Красноярская ТЭЦ-1</x:v>
      </x:c>
      <x:c r="B219" s="16" t="str">
        <x:v>2000147499-V119</x:v>
      </x:c>
      <x:c r="C219" s="16" t="str">
        <x:v>ТРУБА 12Х1МФ 76*13 ТУ14-3Р-55-01</x:v>
      </x:c>
      <x:c r="D219" s="16" t="str">
        <x:v>Трубы котельные в/д</x:v>
      </x:c>
      <x:c r="E219" s="16" t="str">
        <x:v>Т</x:v>
      </x:c>
      <x:c r="F219" s="26" t="n">
        <x:v>5.594</x:v>
      </x:c>
      <x:c r="G219" s="17" t="n">
        <x:v>288845.2724</x:v>
      </x:c>
      <x:c r="H219" s="17" t="n">
        <x:f>G219*F219</x:f>
        <x:v>1615800.4538056003</x:v>
      </x:c>
      <x:c r="I219" s="22" t="str">
        <x:f>HYPERLINK("https://etp-aktiv.ru/catalog/materialy/truby-stalnye-i-polimernye/2000147499-V119/","Открыть позицию")</x:f>
        <x:v>Открыть позицию</x:v>
      </x:c>
    </x:row>
    <x:row r="220" ht="28" customHeight="1">
      <x:c r="A220" s="16" t="str">
        <x:v>Красноярская ТЭЦ-1</x:v>
      </x:c>
      <x:c r="B220" s="16" t="str">
        <x:v>2000946516-V119</x:v>
      </x:c>
      <x:c r="C220" s="16" t="str">
        <x:v>ТРУБА PPR SDR11 20*1,9 PN10 ГОСТ32415-13</x:v>
      </x:c>
      <x:c r="D220" s="16" t="str">
        <x:v>Трубы проч.стальные</x:v>
      </x:c>
      <x:c r="E220" s="16" t="str">
        <x:v>ПМ</x:v>
      </x:c>
      <x:c r="F220" s="21" t="n">
        <x:v>200</x:v>
      </x:c>
      <x:c r="G220" s="17" t="n">
        <x:v>137.25</x:v>
      </x:c>
      <x:c r="H220" s="17" t="n">
        <x:f>G220*F220</x:f>
        <x:v>27450</x:v>
      </x:c>
      <x:c r="I220" s="22" t="str">
        <x:f>HYPERLINK("https://etp-aktiv.ru/catalog/materialy/truby-stalnye-i-polimernye/2000946516-V119/","Открыть позицию")</x:f>
        <x:v>Открыть позицию</x:v>
      </x:c>
    </x:row>
    <x:row r="221" ht="28" customHeight="1">
      <x:c r="A221" s="16" t="str">
        <x:v>Красноярская ТЭЦ-1</x:v>
      </x:c>
      <x:c r="B221" s="16" t="str">
        <x:v>2000238855-V119</x:v>
      </x:c>
      <x:c r="C221" s="16" t="str">
        <x:v>ТРУБА Б/Ш 09Г2С Г/Д 377*10 ГОСТ8732-78</x:v>
      </x:c>
      <x:c r="D221" s="16" t="str">
        <x:v>Трубы черные бесшов</x:v>
      </x:c>
      <x:c r="E221" s="16" t="str">
        <x:v>Т</x:v>
      </x:c>
      <x:c r="F221" s="30" t="n">
        <x:v>0.706</x:v>
      </x:c>
      <x:c r="G221" s="17" t="n">
        <x:v>86210.77540000001</x:v>
      </x:c>
      <x:c r="H221" s="17" t="n">
        <x:f>G221*F221</x:f>
        <x:v>60864.807432400004</x:v>
      </x:c>
      <x:c r="I221" s="22" t="str">
        <x:f>HYPERLINK("https://etp-aktiv.ru/catalog/materialy/truby-stalnye-i-polimernye/2000238855-V119/","Открыть позицию")</x:f>
        <x:v>Открыть позицию</x:v>
      </x:c>
    </x:row>
    <x:row r="222" ht="28" customHeight="1">
      <x:c r="A222" s="16" t="str">
        <x:v>Красноярская ТЭЦ-1</x:v>
      </x:c>
      <x:c r="B222" s="16" t="str">
        <x:v>2000239711-V119</x:v>
      </x:c>
      <x:c r="C222" s="16" t="str">
        <x:v>ТРУБА Б/Ш СТ20 Г/Д 168*6 ГОСТ8732-78</x:v>
      </x:c>
      <x:c r="D222" s="16" t="str">
        <x:v>Трубы черные бесшов</x:v>
      </x:c>
      <x:c r="E222" s="16" t="str">
        <x:v>Т</x:v>
      </x:c>
      <x:c r="F222" s="30" t="n">
        <x:v>0.335</x:v>
      </x:c>
      <x:c r="G222" s="17" t="n">
        <x:v>174297.252</x:v>
      </x:c>
      <x:c r="H222" s="17" t="n">
        <x:f>G222*F222</x:f>
        <x:v>58389.57942000001</x:v>
      </x:c>
      <x:c r="I222" s="22" t="str">
        <x:f>HYPERLINK("https://etp-aktiv.ru/catalog/materialy/truby-stalnye-i-polimernye/2000239711-V119/","Открыть позицию")</x:f>
        <x:v>Открыть позицию</x:v>
      </x:c>
    </x:row>
    <x:row r="223" ht="28" customHeight="1">
      <x:c r="A223" s="16" t="str">
        <x:v>Красноярская ТЭЦ-1</x:v>
      </x:c>
      <x:c r="B223" s="16" t="str">
        <x:v>2000250152-V119</x:v>
      </x:c>
      <x:c r="C223" s="16" t="str">
        <x:v>ТРУБА Б/Ш СТ20 Г/Д 89*8 ГОСТ8732-78</x:v>
      </x:c>
      <x:c r="D223" s="16" t="str">
        <x:v>Трубы черные бесшов</x:v>
      </x:c>
      <x:c r="E223" s="16" t="str">
        <x:v>Т</x:v>
      </x:c>
      <x:c r="F223" s="30" t="n">
        <x:v>0.149</x:v>
      </x:c>
      <x:c r="G223" s="17" t="n">
        <x:v>86330.25</x:v>
      </x:c>
      <x:c r="H223" s="17" t="n">
        <x:f>G223*F223</x:f>
        <x:v>12863.20725</x:v>
      </x:c>
      <x:c r="I223" s="22" t="str">
        <x:f>HYPERLINK("https://etp-aktiv.ru/catalog/materialy/truby-stalnye-i-polimernye/2000250152-V119/","Открыть позицию")</x:f>
        <x:v>Открыть позицию</x:v>
      </x:c>
    </x:row>
    <x:row r="224" ht="28" customHeight="1">
      <x:c r="A224" s="16" t="str">
        <x:v>Красноярская ТЭЦ-1</x:v>
      </x:c>
      <x:c r="B224" s="16" t="str">
        <x:v>2000732094-V119</x:v>
      </x:c>
      <x:c r="C224" s="16" t="str">
        <x:v>ТРУБА Б/Ш СТ3 Г/Д 377*10 ГОСТ8732-78</x:v>
      </x:c>
      <x:c r="D224" s="16" t="str">
        <x:v>Трубы черные бесшов</x:v>
      </x:c>
      <x:c r="E224" s="16" t="str">
        <x:v>Т</x:v>
      </x:c>
      <x:c r="F224" s="21" t="n">
        <x:v>2</x:v>
      </x:c>
      <x:c r="G224" s="17" t="n">
        <x:v>62414.4436</x:v>
      </x:c>
      <x:c r="H224" s="17" t="n">
        <x:f>G224*F224</x:f>
        <x:v>124828.8872</x:v>
      </x:c>
      <x:c r="I224" s="22" t="str">
        <x:f>HYPERLINK("https://etp-aktiv.ru/catalog/materialy/truby-stalnye-i-polimernye/2000732094-V119/","Открыть позицию")</x:f>
        <x:v>Открыть позицию</x:v>
      </x:c>
    </x:row>
    <x:row r="225" ht="28" customHeight="1">
      <x:c r="A225" s="16" t="str">
        <x:v>Красноярская ТЭЦ-1</x:v>
      </x:c>
      <x:c r="B225" s="16" t="str">
        <x:v>2000143002-V119</x:v>
      </x:c>
      <x:c r="C225" s="16" t="str">
        <x:v>ТРУБА Б/Ш СТ3 Г/Д 50*3,5 ГОСТ3262-75</x:v>
      </x:c>
      <x:c r="D225" s="16" t="str">
        <x:v>ТрбЧерСварМалСрдДиам</x:v>
      </x:c>
      <x:c r="E225" s="16" t="str">
        <x:v>Т</x:v>
      </x:c>
      <x:c r="F225" s="30" t="n">
        <x:v>0.453</x:v>
      </x:c>
      <x:c r="G225" s="17" t="n">
        <x:v>45249.861000000004</x:v>
      </x:c>
      <x:c r="H225" s="17" t="n">
        <x:f>G225*F225</x:f>
        <x:v>20498.187033000002</x:v>
      </x:c>
      <x:c r="I225" s="22" t="str">
        <x:f>HYPERLINK("https://etp-aktiv.ru/catalog/materialy/truby-stalnye-i-polimernye/2000143002-V119/","Открыть позицию")</x:f>
        <x:v>Открыть позицию</x:v>
      </x:c>
    </x:row>
    <x:row r="226" ht="28" customHeight="1">
      <x:c r="A226" s="16" t="str">
        <x:v>Красноярская ТЭЦ-1</x:v>
      </x:c>
      <x:c r="B226" s="16" t="str">
        <x:v>2000566590-V119</x:v>
      </x:c>
      <x:c r="C226" s="16" t="str">
        <x:v>ТРУБА В-20 76*10 ГОСТ8731-74</x:v>
      </x:c>
      <x:c r="D226" s="16" t="str">
        <x:v>Трубы черные бесшов</x:v>
      </x:c>
      <x:c r="E226" s="16" t="str">
        <x:v>Т</x:v>
      </x:c>
      <x:c r="F226" s="30" t="n">
        <x:v>0.125</x:v>
      </x:c>
      <x:c r="G226" s="17" t="n">
        <x:v>49184.0926</x:v>
      </x:c>
      <x:c r="H226" s="17" t="n">
        <x:f>G226*F226</x:f>
        <x:v>6148.011575</x:v>
      </x:c>
      <x:c r="I226" s="22" t="str">
        <x:f>HYPERLINK("https://etp-aktiv.ru/catalog/materialy/truby-stalnye-i-polimernye/2000566590-V119/","Открыть позицию")</x:f>
        <x:v>Открыть позицию</x:v>
      </x:c>
    </x:row>
    <x:row r="227" ht="28" customHeight="1">
      <x:c r="A227" s="16" t="str">
        <x:v>Красноярская ТЭЦ-1</x:v>
      </x:c>
      <x:c r="B227" s="16" t="str">
        <x:v>2000142997-V119</x:v>
      </x:c>
      <x:c r="C227" s="16" t="str">
        <x:v>ТРУБА ВОДОГАЗОПРОВОД СТ3 25*3,2 ГОСТ3262</x:v>
      </x:c>
      <x:c r="D227" s="16" t="str">
        <x:v>ТрбЧерСварМалСрдДиам</x:v>
      </x:c>
      <x:c r="E227" s="16" t="str">
        <x:v>Т</x:v>
      </x:c>
      <x:c r="F227" s="30" t="n">
        <x:v>0.007</x:v>
      </x:c>
      <x:c r="G227" s="17" t="n">
        <x:v>54248.0686</x:v>
      </x:c>
      <x:c r="H227" s="17" t="n">
        <x:f>G227*F227</x:f>
        <x:v>379.7364802</x:v>
      </x:c>
      <x:c r="I227" s="22" t="str">
        <x:f>HYPERLINK("https://etp-aktiv.ru/catalog/materialy/truby-stalnye-i-polimernye/2000142997-V119/","Открыть позицию")</x:f>
        <x:v>Открыть позицию</x:v>
      </x:c>
    </x:row>
    <x:row r="228" ht="28" customHeight="1">
      <x:c r="A228" s="16" t="str">
        <x:v>Красноярская ТЭЦ-1</x:v>
      </x:c>
      <x:c r="B228" s="16" t="str">
        <x:v>2000481580-V119</x:v>
      </x:c>
      <x:c r="C228" s="16" t="str">
        <x:v>ТРУБА ВОДОСТ ПРЕСТИЖ RAL8017 100*3000</x:v>
      </x:c>
      <x:c r="D228" s="16" t="str">
        <x:v>Проч строит матер-ы</x:v>
      </x:c>
      <x:c r="E228" s="16" t="str">
        <x:v>ШТ</x:v>
      </x:c>
      <x:c r="F228" s="21" t="n">
        <x:v>12</x:v>
      </x:c>
      <x:c r="G228" s="17" t="n">
        <x:v>944.9631999999999</x:v>
      </x:c>
      <x:c r="H228" s="17" t="n">
        <x:f>G228*F228</x:f>
        <x:v>11339.558399999998</x:v>
      </x:c>
      <x:c r="I228" s="22" t="str">
        <x:f>HYPERLINK("https://etp-aktiv.ru/catalog/materialy/stroitelnye-materialy/2000481580-V119/","Открыть позицию")</x:f>
        <x:v>Открыть позицию</x:v>
      </x:c>
    </x:row>
    <x:row r="229" ht="28" customHeight="1">
      <x:c r="A229" s="16" t="str">
        <x:v>Красноярская ТЭЦ-1</x:v>
      </x:c>
      <x:c r="B229" s="16" t="str">
        <x:v>2000533173-V119</x:v>
      </x:c>
      <x:c r="C229" s="16" t="str">
        <x:v>ТРУБА ГИБКАЯ 2-СТЕН 50ММ КРАСНАЯ 120950</x:v>
      </x:c>
      <x:c r="D229" s="16" t="str">
        <x:v>Монтажн изд д/кабел</x:v>
      </x:c>
      <x:c r="E229" s="16" t="str">
        <x:v>М</x:v>
      </x:c>
      <x:c r="F229" s="21" t="n">
        <x:v>700</x:v>
      </x:c>
      <x:c r="G229" s="17" t="n">
        <x:v>44.042</x:v>
      </x:c>
      <x:c r="H229" s="17" t="n">
        <x:f>G229*F229</x:f>
        <x:v>30829.4</x:v>
      </x:c>
      <x:c r="I229" s="22" t="str">
        <x:f>HYPERLINK("https://etp-aktiv.ru/catalog/materialy/ehlektrotekhnicheskie-materialy/2000533173-V119/","Открыть позицию")</x:f>
        <x:v>Открыть позицию</x:v>
      </x:c>
    </x:row>
    <x:row r="230" ht="28" customHeight="1">
      <x:c r="A230" s="16" t="str">
        <x:v>Красноярская ТЭЦ-1</x:v>
      </x:c>
      <x:c r="B230" s="16" t="str">
        <x:v>2000694866-V119</x:v>
      </x:c>
      <x:c r="C230" s="16" t="str">
        <x:v>ТРУБА ДКРПМ Л68 16*1*2320 ГОСТ21646-2003</x:v>
      </x:c>
      <x:c r="D230" s="16" t="str">
        <x:v>М/прокат цветной</x:v>
      </x:c>
      <x:c r="E230" s="16" t="str">
        <x:v>КГ</x:v>
      </x:c>
      <x:c r="F230" s="21" t="n">
        <x:v>240</x:v>
      </x:c>
      <x:c r="G230" s="17" t="n">
        <x:v>719.8</x:v>
      </x:c>
      <x:c r="H230" s="17" t="n">
        <x:f>G230*F230</x:f>
        <x:v>172752</x:v>
      </x:c>
      <x:c r="I230" s="22" t="str">
        <x:f>HYPERLINK("https://etp-aktiv.ru/catalog/materialy/metalloprodukciya/2000694866-V119/","Открыть позицию")</x:f>
        <x:v>Открыть позицию</x:v>
      </x:c>
    </x:row>
    <x:row r="231" ht="28" customHeight="1">
      <x:c r="A231" s="16" t="str">
        <x:v>Красноярская ТЭЦ-1</x:v>
      </x:c>
      <x:c r="B231" s="16" t="str">
        <x:v>2000546165-V119</x:v>
      </x:c>
      <x:c r="C231" s="16" t="str">
        <x:v>ТРУБА КВД 12Х1МФ 16*4 ТУ14-3Р-55-01</x:v>
      </x:c>
      <x:c r="D231" s="16" t="str">
        <x:v>Трубы котельные в/д</x:v>
      </x:c>
      <x:c r="E231" s="16" t="str">
        <x:v>КГ</x:v>
      </x:c>
      <x:c r="F231" s="26" t="n">
        <x:v>5.192</x:v>
      </x:c>
      <x:c r="G231" s="17" t="n">
        <x:v>262.4952</x:v>
      </x:c>
      <x:c r="H231" s="17" t="n">
        <x:f>G231*F231</x:f>
        <x:v>1362.8750784000001</x:v>
      </x:c>
      <x:c r="I231" s="22" t="str">
        <x:f>HYPERLINK("https://etp-aktiv.ru/catalog/materialy/truby-stalnye-i-polimernye/2000546165-V119/","Открыть позицию")</x:f>
        <x:v>Открыть позицию</x:v>
      </x:c>
    </x:row>
    <x:row r="232" ht="28" customHeight="1">
      <x:c r="A232" s="16" t="str">
        <x:v>Красноярская ТЭЦ-1</x:v>
      </x:c>
      <x:c r="B232" s="16" t="str">
        <x:v>2000546190-V119</x:v>
      </x:c>
      <x:c r="C232" s="16" t="str">
        <x:v>ТРУБА КВД 12Х1МФ 219*25 ТУ14-3Р-55-01</x:v>
      </x:c>
      <x:c r="D232" s="16" t="str">
        <x:v>Трубы котельные в/д</x:v>
      </x:c>
      <x:c r="E232" s="16" t="str">
        <x:v>Т</x:v>
      </x:c>
      <x:c r="F232" s="30" t="n">
        <x:v>0.068</x:v>
      </x:c>
      <x:c r="G232" s="17" t="n">
        <x:v>129240.13879999999</x:v>
      </x:c>
      <x:c r="H232" s="17" t="n">
        <x:f>G232*F232</x:f>
        <x:v>8788.3294384</x:v>
      </x:c>
      <x:c r="I232" s="22" t="str">
        <x:f>HYPERLINK("https://etp-aktiv.ru/catalog/materialy/truby-stalnye-i-polimernye/2000546190-V119/","Открыть позицию")</x:f>
        <x:v>Открыть позицию</x:v>
      </x:c>
    </x:row>
    <x:row r="233" ht="28" customHeight="1">
      <x:c r="A233" s="16" t="str">
        <x:v>Красноярская ТЭЦ-1</x:v>
      </x:c>
      <x:c r="B233" s="16" t="str">
        <x:v>2000546198-V119</x:v>
      </x:c>
      <x:c r="C233" s="16" t="str">
        <x:v>ТРУБА КВД 12Х1МФ 219*28 ТУ14-3Р-55-01</x:v>
      </x:c>
      <x:c r="D233" s="16" t="str">
        <x:v>Трубы котельные в/д</x:v>
      </x:c>
      <x:c r="E233" s="16" t="str">
        <x:v>Т</x:v>
      </x:c>
      <x:c r="F233" s="30" t="n">
        <x:v>0.042</x:v>
      </x:c>
      <x:c r="G233" s="17" t="n">
        <x:v>154787.5122</x:v>
      </x:c>
      <x:c r="H233" s="17" t="n">
        <x:f>G233*F233</x:f>
        <x:v>6501.075512400001</x:v>
      </x:c>
      <x:c r="I233" s="22" t="str">
        <x:f>HYPERLINK("https://etp-aktiv.ru/catalog/materialy/truby-stalnye-i-polimernye/2000546198-V119/","Открыть позицию")</x:f>
        <x:v>Открыть позицию</x:v>
      </x:c>
    </x:row>
    <x:row r="234" ht="28" customHeight="1">
      <x:c r="A234" s="16" t="str">
        <x:v>Красноярская ТЭЦ-1</x:v>
      </x:c>
      <x:c r="B234" s="16" t="str">
        <x:v>2000546196-V119</x:v>
      </x:c>
      <x:c r="C234" s="16" t="str">
        <x:v>ТРУБА КВД 12Х1МФ 273*22 ТУ14-3Р-55-01</x:v>
      </x:c>
      <x:c r="D234" s="16" t="str">
        <x:v>Трубы котельные в/д</x:v>
      </x:c>
      <x:c r="E234" s="16" t="str">
        <x:v>Т</x:v>
      </x:c>
      <x:c r="F234" s="30" t="n">
        <x:v>0.7</x:v>
      </x:c>
      <x:c r="G234" s="17" t="n">
        <x:v>160125</x:v>
      </x:c>
      <x:c r="H234" s="17" t="n">
        <x:f>G234*F234</x:f>
        <x:v>112087.5</x:v>
      </x:c>
      <x:c r="I234" s="22" t="str">
        <x:f>HYPERLINK("https://etp-aktiv.ru/catalog/materialy/truby-stalnye-i-polimernye/2000546196-V119/","Открыть позицию")</x:f>
        <x:v>Открыть позицию</x:v>
      </x:c>
    </x:row>
    <x:row r="235" ht="28" customHeight="1">
      <x:c r="A235" s="16" t="str">
        <x:v>Красноярская ТЭЦ-1</x:v>
      </x:c>
      <x:c r="B235" s="16" t="str">
        <x:v>2000546144-V119</x:v>
      </x:c>
      <x:c r="C235" s="16" t="str">
        <x:v>ТРУБА КВД 12Х1МФ 273*50 ТУ14-3Р-55-01</x:v>
      </x:c>
      <x:c r="D235" s="16" t="str">
        <x:v>Трубы котельные в/д</x:v>
      </x:c>
      <x:c r="E235" s="16" t="str">
        <x:v>КГ</x:v>
      </x:c>
      <x:c r="F235" s="21" t="n">
        <x:v>78</x:v>
      </x:c>
      <x:c r="G235" s="17" t="n">
        <x:v>552.172</x:v>
      </x:c>
      <x:c r="H235" s="17" t="n">
        <x:f>G235*F235</x:f>
        <x:v>43069.416000000005</x:v>
      </x:c>
      <x:c r="I235" s="22" t="str">
        <x:f>HYPERLINK("https://etp-aktiv.ru/catalog/materialy/truby-stalnye-i-polimernye/2000546144-V119/","Открыть позицию")</x:f>
        <x:v>Открыть позицию</x:v>
      </x:c>
    </x:row>
    <x:row r="236" ht="28" customHeight="1">
      <x:c r="A236" s="16" t="str">
        <x:v>Красноярская ТЭЦ-1</x:v>
      </x:c>
      <x:c r="B236" s="16" t="str">
        <x:v>2000545857-V119</x:v>
      </x:c>
      <x:c r="C236" s="16" t="str">
        <x:v>ТРУБА КВД 12Х1МФ 32*4 ТУ14-3Р-55-01</x:v>
      </x:c>
      <x:c r="D236" s="16" t="str">
        <x:v>Трубы котельные в/д</x:v>
      </x:c>
      <x:c r="E236" s="16" t="str">
        <x:v>Т</x:v>
      </x:c>
      <x:c r="F236" s="30" t="n">
        <x:v>0.039</x:v>
      </x:c>
      <x:c r="G236" s="17" t="n">
        <x:v>210793.0884</x:v>
      </x:c>
      <x:c r="H236" s="17" t="n">
        <x:f>G236*F236</x:f>
        <x:v>8220.9304476</x:v>
      </x:c>
      <x:c r="I236" s="22" t="str">
        <x:f>HYPERLINK("https://etp-aktiv.ru/catalog/materialy/truby-stalnye-i-polimernye/2000545857-V119/","Открыть позицию")</x:f>
        <x:v>Открыть позицию</x:v>
      </x:c>
    </x:row>
    <x:row r="237" ht="28" customHeight="1">
      <x:c r="A237" s="16" t="str">
        <x:v>Красноярская ТЭЦ-1</x:v>
      </x:c>
      <x:c r="B237" s="16" t="str">
        <x:v>2000546177-V119</x:v>
      </x:c>
      <x:c r="C237" s="16" t="str">
        <x:v>ТРУБА КВД 12Х1МФ 38*6 ТУ14-3-460-75</x:v>
      </x:c>
      <x:c r="D237" s="16" t="str">
        <x:v>Трубы котельные в/д</x:v>
      </x:c>
      <x:c r="E237" s="16" t="str">
        <x:v>Т</x:v>
      </x:c>
      <x:c r="F237" s="30" t="n">
        <x:v>0.164</x:v>
      </x:c>
      <x:c r="G237" s="17" t="n">
        <x:v>145828.125</x:v>
      </x:c>
      <x:c r="H237" s="17" t="n">
        <x:f>G237*F237</x:f>
        <x:v>23915.8125</x:v>
      </x:c>
      <x:c r="I237" s="22" t="str">
        <x:f>HYPERLINK("https://etp-aktiv.ru/catalog/materialy/truby-stalnye-i-polimernye/2000546177-V119/","Открыть позицию")</x:f>
        <x:v>Открыть позицию</x:v>
      </x:c>
    </x:row>
    <x:row r="238" ht="28" customHeight="1">
      <x:c r="A238" s="16" t="str">
        <x:v>Красноярская ТЭЦ-1</x:v>
      </x:c>
      <x:c r="B238" s="16" t="str">
        <x:v>2000297127-V119</x:v>
      </x:c>
      <x:c r="C238" s="16" t="str">
        <x:v>ТРУБА ПРОФ 09Г2С 100*100*4 ГОСТ30245-03</x:v>
      </x:c>
      <x:c r="D238" s="16" t="str">
        <x:v>Трубы профильные</x:v>
      </x:c>
      <x:c r="E238" s="16" t="str">
        <x:v>Т</x:v>
      </x:c>
      <x:c r="F238" s="30" t="n">
        <x:v>0.071</x:v>
      </x:c>
      <x:c r="G238" s="17" t="n">
        <x:v>76997.25</x:v>
      </x:c>
      <x:c r="H238" s="17" t="n">
        <x:f>G238*F238</x:f>
        <x:v>5466.804749999999</x:v>
      </x:c>
      <x:c r="I238" s="22" t="str">
        <x:f>HYPERLINK("https://etp-aktiv.ru/catalog/materialy/truby-stalnye-i-polimernye/2000297127-V119/","Открыть позицию")</x:f>
        <x:v>Открыть позицию</x:v>
      </x:c>
    </x:row>
    <x:row r="239" ht="28" customHeight="1">
      <x:c r="A239" s="16" t="str">
        <x:v>Красноярская ТЭЦ-1</x:v>
      </x:c>
      <x:c r="B239" s="16" t="str">
        <x:v>2000560573-V119</x:v>
      </x:c>
      <x:c r="C239" s="16" t="str">
        <x:v>ТРУБА СТ20 1220*12 ГОСТ10706-76</x:v>
      </x:c>
      <x:c r="D239" s="16" t="str">
        <x:v>ТрубЧерСварБольшДиам</x:v>
      </x:c>
      <x:c r="E239" s="16" t="str">
        <x:v>Т</x:v>
      </x:c>
      <x:c r="F239" s="30" t="n">
        <x:v>0.618</x:v>
      </x:c>
      <x:c r="G239" s="17" t="n">
        <x:v>58876.6388</x:v>
      </x:c>
      <x:c r="H239" s="17" t="n">
        <x:f>G239*F239</x:f>
        <x:v>36385.7627784</x:v>
      </x:c>
      <x:c r="I239" s="22" t="str">
        <x:f>HYPERLINK("https://etp-aktiv.ru/catalog/materialy/truby-stalnye-i-polimernye/2000560573-V119/","Открыть позицию")</x:f>
        <x:v>Открыть позицию</x:v>
      </x:c>
    </x:row>
    <x:row r="240" ht="28" customHeight="1">
      <x:c r="A240" s="16" t="str">
        <x:v>Красноярская ТЭЦ-1</x:v>
      </x:c>
      <x:c r="B240" s="16" t="str">
        <x:v>2000546058-V119</x:v>
      </x:c>
      <x:c r="C240" s="16" t="str">
        <x:v>ТРУБА СТ20 133*10 ТУ14-3Р-55-01</x:v>
      </x:c>
      <x:c r="D240" s="16" t="str">
        <x:v>Трубы котельные в/д</x:v>
      </x:c>
      <x:c r="E240" s="16" t="str">
        <x:v>Т</x:v>
      </x:c>
      <x:c r="F240" s="30" t="n">
        <x:v>0.925</x:v>
      </x:c>
      <x:c r="G240" s="17" t="n">
        <x:v>195889.9222</x:v>
      </x:c>
      <x:c r="H240" s="17" t="n">
        <x:f>G240*F240</x:f>
        <x:v>181198.17803500002</x:v>
      </x:c>
      <x:c r="I240" s="22" t="str">
        <x:f>HYPERLINK("https://etp-aktiv.ru/catalog/materialy/truby-stalnye-i-polimernye/2000546058-V119/","Открыть позицию")</x:f>
        <x:v>Открыть позицию</x:v>
      </x:c>
    </x:row>
    <x:row r="241" ht="28" customHeight="1">
      <x:c r="A241" s="16" t="str">
        <x:v>Красноярская ТЭЦ-1</x:v>
      </x:c>
      <x:c r="B241" s="16" t="str">
        <x:v>2000560137-V119</x:v>
      </x:c>
      <x:c r="C241" s="16" t="str">
        <x:v>ТРУБА СТ20 133*16 ГОСТ8731-74</x:v>
      </x:c>
      <x:c r="D241" s="16" t="str">
        <x:v>Трубы черные бесшов</x:v>
      </x:c>
      <x:c r="E241" s="16" t="str">
        <x:v>Т</x:v>
      </x:c>
      <x:c r="F241" s="30" t="n">
        <x:v>0.341</x:v>
      </x:c>
      <x:c r="G241" s="17" t="n">
        <x:v>95860.46299999999</x:v>
      </x:c>
      <x:c r="H241" s="17" t="n">
        <x:f>G241*F241</x:f>
        <x:v>32688.417883</x:v>
      </x:c>
      <x:c r="I241" s="22" t="str">
        <x:f>HYPERLINK("https://etp-aktiv.ru/catalog/materialy/truby-stalnye-i-polimernye/2000560137-V119/","Открыть позицию")</x:f>
        <x:v>Открыть позицию</x:v>
      </x:c>
    </x:row>
    <x:row r="242" ht="28" customHeight="1">
      <x:c r="A242" s="16" t="str">
        <x:v>Красноярская ТЭЦ-1</x:v>
      </x:c>
      <x:c r="B242" s="16" t="str">
        <x:v>2000560479-V119</x:v>
      </x:c>
      <x:c r="C242" s="16" t="str">
        <x:v>ТРУБА СТ20 133*6 ГОСТ10705-80</x:v>
      </x:c>
      <x:c r="D242" s="16" t="str">
        <x:v>ТрбЧерСварМалСрдДиам</x:v>
      </x:c>
      <x:c r="E242" s="16" t="str">
        <x:v>Т</x:v>
      </x:c>
      <x:c r="F242" s="30" t="n">
        <x:v>0.284</x:v>
      </x:c>
      <x:c r="G242" s="17" t="n">
        <x:v>30385.0516</x:v>
      </x:c>
      <x:c r="H242" s="17" t="n">
        <x:f>G242*F242</x:f>
        <x:v>8629.354654399998</x:v>
      </x:c>
      <x:c r="I242" s="22" t="str">
        <x:f>HYPERLINK("https://etp-aktiv.ru/catalog/materialy/truby-stalnye-i-polimernye/2000560479-V119/","Открыть позицию")</x:f>
        <x:v>Открыть позицию</x:v>
      </x:c>
    </x:row>
    <x:row r="243" ht="28" customHeight="1">
      <x:c r="A243" s="16" t="str">
        <x:v>Красноярская ТЭЦ-1</x:v>
      </x:c>
      <x:c r="B243" s="16" t="str">
        <x:v>2000546009-V119</x:v>
      </x:c>
      <x:c r="C243" s="16" t="str">
        <x:v>ТРУБА СТ20 159*8 ТУ14-3-190-04</x:v>
      </x:c>
      <x:c r="D243" s="16" t="str">
        <x:v>Трубы котельные в/д</x:v>
      </x:c>
      <x:c r="E243" s="16" t="str">
        <x:v>Т</x:v>
      </x:c>
      <x:c r="F243" s="30" t="n">
        <x:v>0.5</x:v>
      </x:c>
      <x:c r="G243" s="17" t="n">
        <x:v>143083.6618</x:v>
      </x:c>
      <x:c r="H243" s="17" t="n">
        <x:f>G243*F243</x:f>
        <x:v>71541.8309</x:v>
      </x:c>
      <x:c r="I243" s="22" t="str">
        <x:f>HYPERLINK("https://etp-aktiv.ru/catalog/materialy/truby-stalnye-i-polimernye/2000546009-V119/","Открыть позицию")</x:f>
        <x:v>Открыть позицию</x:v>
      </x:c>
    </x:row>
    <x:row r="244" ht="28" customHeight="1">
      <x:c r="A244" s="16" t="str">
        <x:v>Красноярская ТЭЦ-1</x:v>
      </x:c>
      <x:c r="B244" s="16" t="str">
        <x:v>2000560515-V119</x:v>
      </x:c>
      <x:c r="C244" s="16" t="str">
        <x:v>ТРУБА СТ20 377*10 ГОСТ10705-80</x:v>
      </x:c>
      <x:c r="D244" s="16" t="str">
        <x:v>ТрбЧерСварМалСрдДиам</x:v>
      </x:c>
      <x:c r="E244" s="16" t="str">
        <x:v>Т</x:v>
      </x:c>
      <x:c r="F244" s="30" t="n">
        <x:v>0.048</x:v>
      </x:c>
      <x:c r="G244" s="17" t="n">
        <x:v>57482.3008</x:v>
      </x:c>
      <x:c r="H244" s="17" t="n">
        <x:f>G244*F244</x:f>
        <x:v>2759.1504384</x:v>
      </x:c>
      <x:c r="I244" s="22" t="str">
        <x:f>HYPERLINK("https://etp-aktiv.ru/catalog/materialy/truby-stalnye-i-polimernye/2000560515-V119/","Открыть позицию")</x:f>
        <x:v>Открыть позицию</x:v>
      </x:c>
    </x:row>
    <x:row r="245" ht="28" customHeight="1">
      <x:c r="A245" s="16" t="str">
        <x:v>Красноярская ТЭЦ-1</x:v>
      </x:c>
      <x:c r="B245" s="16" t="str">
        <x:v>2000560235-V119</x:v>
      </x:c>
      <x:c r="C245" s="16" t="str">
        <x:v>ТРУБА СТ20 377*9 ГОСТ8731-74</x:v>
      </x:c>
      <x:c r="D245" s="16" t="str">
        <x:v>Трубы черные бесшов</x:v>
      </x:c>
      <x:c r="E245" s="16" t="str">
        <x:v>Т</x:v>
      </x:c>
      <x:c r="F245" s="30" t="n">
        <x:v>0.906</x:v>
      </x:c>
      <x:c r="G245" s="17" t="n">
        <x:v>79046.31319999999</x:v>
      </x:c>
      <x:c r="H245" s="17" t="n">
        <x:f>G245*F245</x:f>
        <x:v>71615.95975919999</x:v>
      </x:c>
      <x:c r="I245" s="22" t="str">
        <x:f>HYPERLINK("https://etp-aktiv.ru/catalog/materialy/truby-stalnye-i-polimernye/2000560235-V119/","Открыть позицию")</x:f>
        <x:v>Открыть позицию</x:v>
      </x:c>
    </x:row>
    <x:row r="246" ht="28" customHeight="1">
      <x:c r="A246" s="16" t="str">
        <x:v>Красноярская ТЭЦ-1</x:v>
      </x:c>
      <x:c r="B246" s="16" t="str">
        <x:v>2000225182-V119</x:v>
      </x:c>
      <x:c r="C246" s="16" t="str">
        <x:v>ТРУБА СТ20 76*10 ТУ14-3Р-55-2001</x:v>
      </x:c>
      <x:c r="D246" s="16" t="str">
        <x:v>Трубы котельные в/д</x:v>
      </x:c>
      <x:c r="E246" s="16" t="str">
        <x:v>Т</x:v>
      </x:c>
      <x:c r="F246" s="30" t="n">
        <x:v>0.348</x:v>
      </x:c>
      <x:c r="G246" s="17" t="n">
        <x:v>155550</x:v>
      </x:c>
      <x:c r="H246" s="17" t="n">
        <x:f>G246*F246</x:f>
        <x:v>54131.399999999994</x:v>
      </x:c>
      <x:c r="I246" s="22" t="str">
        <x:f>HYPERLINK("https://etp-aktiv.ru/catalog/materialy/truby-stalnye-i-polimernye/2000225182-V119/","Открыть позицию")</x:f>
        <x:v>Открыть позицию</x:v>
      </x:c>
    </x:row>
    <x:row r="247" ht="28" customHeight="1">
      <x:c r="A247" s="16" t="str">
        <x:v>Красноярская ТЭЦ-1</x:v>
      </x:c>
      <x:c r="B247" s="16" t="str">
        <x:v>2000545854-V119</x:v>
      </x:c>
      <x:c r="C247" s="16" t="str">
        <x:v>ТРУБА СТ20 76*7 ТУ14-3Р-55-01</x:v>
      </x:c>
      <x:c r="D247" s="16" t="str">
        <x:v>Трубы котельные в/д</x:v>
      </x:c>
      <x:c r="E247" s="16" t="str">
        <x:v>Т</x:v>
      </x:c>
      <x:c r="F247" s="30" t="n">
        <x:v>0.504</x:v>
      </x:c>
      <x:c r="G247" s="17" t="n">
        <x:v>60937.9752</x:v>
      </x:c>
      <x:c r="H247" s="17" t="n">
        <x:f>G247*F247</x:f>
        <x:v>30712.739500800002</x:v>
      </x:c>
      <x:c r="I247" s="22" t="str">
        <x:f>HYPERLINK("https://etp-aktiv.ru/catalog/materialy/truby-stalnye-i-polimernye/2000545854-V119/","Открыть позицию")</x:f>
        <x:v>Открыть позицию</x:v>
      </x:c>
    </x:row>
    <x:row r="248" ht="28" customHeight="1">
      <x:c r="A248" s="16" t="str">
        <x:v>Красноярская ТЭЦ-1</x:v>
      </x:c>
      <x:c r="B248" s="16" t="str">
        <x:v>2000560300-V119</x:v>
      </x:c>
      <x:c r="C248" s="16" t="str">
        <x:v>ТРУБА СТ20 76*8 ГОСТ8731-74</x:v>
      </x:c>
      <x:c r="D248" s="16" t="str">
        <x:v>Трубы черные бесшов</x:v>
      </x:c>
      <x:c r="E248" s="16" t="str">
        <x:v>Т</x:v>
      </x:c>
      <x:c r="F248" s="30" t="n">
        <x:v>0.654</x:v>
      </x:c>
      <x:c r="G248" s="17" t="n">
        <x:v>55580.943</x:v>
      </x:c>
      <x:c r="H248" s="17" t="n">
        <x:f>G248*F248</x:f>
        <x:v>36349.936722</x:v>
      </x:c>
      <x:c r="I248" s="22" t="str">
        <x:f>HYPERLINK("https://etp-aktiv.ru/catalog/materialy/truby-stalnye-i-polimernye/2000560300-V119/","Открыть позицию")</x:f>
        <x:v>Открыть позицию</x:v>
      </x:c>
    </x:row>
    <x:row r="249" ht="28" customHeight="1">
      <x:c r="A249" s="16" t="str">
        <x:v>Красноярская ТЭЦ-1</x:v>
      </x:c>
      <x:c r="B249" s="16" t="str">
        <x:v>2000585448-V119</x:v>
      </x:c>
      <x:c r="C249" s="16" t="str">
        <x:v>ТРУБА СТ3ПС 325*8 ГОСТ10705-80</x:v>
      </x:c>
      <x:c r="D249" s="16" t="str">
        <x:v>ТрбЧерСварМалСрдДиам</x:v>
      </x:c>
      <x:c r="E249" s="16" t="str">
        <x:v>Т</x:v>
      </x:c>
      <x:c r="F249" s="30" t="n">
        <x:v>0.201</x:v>
      </x:c>
      <x:c r="G249" s="17" t="n">
        <x:v>48380.625</x:v>
      </x:c>
      <x:c r="H249" s="17" t="n">
        <x:f>G249*F249</x:f>
        <x:v>9724.505625</x:v>
      </x:c>
      <x:c r="I249" s="22" t="str">
        <x:f>HYPERLINK("https://etp-aktiv.ru/catalog/materialy/truby-stalnye-i-polimernye/2000585448-V119/","Открыть позицию")</x:f>
        <x:v>Открыть позицию</x:v>
      </x:c>
    </x:row>
    <x:row r="250" ht="28" customHeight="1">
      <x:c r="A250" s="16" t="str">
        <x:v>Красноярская ТЭЦ-1</x:v>
      </x:c>
      <x:c r="B250" s="16" t="str">
        <x:v>2000548686-V119</x:v>
      </x:c>
      <x:c r="C250" s="16" t="str">
        <x:v>ТРУБКА ПВХ 305 ТВ-40 8ММ БЕЛЫЙ ГОСТ19034</x:v>
      </x:c>
      <x:c r="D250" s="16" t="str">
        <x:v>Э/изоляцион мат-лы</x:v>
      </x:c>
      <x:c r="E250" s="16" t="str">
        <x:v>КГ</x:v>
      </x:c>
      <x:c r="F250" s="26" t="n">
        <x:v>5.9</x:v>
      </x:c>
      <x:c r="G250" s="17" t="n">
        <x:v>237.9976</x:v>
      </x:c>
      <x:c r="H250" s="17" t="n">
        <x:f>G250*F250</x:f>
        <x:v>1404.18584</x:v>
      </x:c>
      <x:c r="I250" s="22" t="str">
        <x:f>HYPERLINK("https://etp-aktiv.ru/catalog/materialy/ehlektroizolyacionnye-materialy/2000548686-V119/","Открыть позицию")</x:f>
        <x:v>Открыть позицию</x:v>
      </x:c>
    </x:row>
    <x:row r="251" ht="28" customHeight="1">
      <x:c r="A251" s="16" t="str">
        <x:v>Красноярская ТЭЦ-1</x:v>
      </x:c>
      <x:c r="B251" s="16" t="str">
        <x:v>2000043306-V119</x:v>
      </x:c>
      <x:c r="C251" s="16" t="str">
        <x:v>ТРУБКА ПХВ КЛ-30 D12ММ</x:v>
      </x:c>
      <x:c r="D251" s="16" t="str">
        <x:v>Э/изоляцион мат-лы</x:v>
      </x:c>
      <x:c r="E251" s="16" t="str">
        <x:v>КГ</x:v>
      </x:c>
      <x:c r="F251" s="21" t="n">
        <x:v>5</x:v>
      </x:c>
      <x:c r="G251" s="17" t="n">
        <x:v>195.5782</x:v>
      </x:c>
      <x:c r="H251" s="17" t="n">
        <x:f>G251*F251</x:f>
        <x:v>977.8910000000001</x:v>
      </x:c>
      <x:c r="I251" s="22" t="str">
        <x:f>HYPERLINK("https://etp-aktiv.ru/catalog/materialy/ehlektroizolyacionnye-materialy/2000043306-V119/","Открыть позицию")</x:f>
        <x:v>Открыть позицию</x:v>
      </x:c>
    </x:row>
    <x:row r="252" ht="28" customHeight="1">
      <x:c r="A252" s="16" t="str">
        <x:v>Красноярская ТЭЦ-1</x:v>
      </x:c>
      <x:c r="B252" s="16" t="str">
        <x:v>2000043317-V119</x:v>
      </x:c>
      <x:c r="C252" s="16" t="str">
        <x:v>ТРУБКА ПХВ КЛ-30 D4ММ</x:v>
      </x:c>
      <x:c r="D252" s="16" t="str">
        <x:v>Э/изоляцион мат-лы</x:v>
      </x:c>
      <x:c r="E252" s="16" t="str">
        <x:v>КГ</x:v>
      </x:c>
      <x:c r="F252" s="21" t="n">
        <x:v>5</x:v>
      </x:c>
      <x:c r="G252" s="17" t="n">
        <x:v>195.5782</x:v>
      </x:c>
      <x:c r="H252" s="17" t="n">
        <x:f>G252*F252</x:f>
        <x:v>977.8910000000001</x:v>
      </x:c>
      <x:c r="I252" s="22" t="str">
        <x:f>HYPERLINK("https://etp-aktiv.ru/catalog/materialy/ehlektroizolyacionnye-materialy/2000043317-V119/","Открыть позицию")</x:f>
        <x:v>Открыть позицию</x:v>
      </x:c>
    </x:row>
    <x:row r="253" ht="28" customHeight="1">
      <x:c r="A253" s="16" t="str">
        <x:v>Красноярская ТЭЦ-1</x:v>
      </x:c>
      <x:c r="B253" s="16" t="str">
        <x:v>2000043320-V119</x:v>
      </x:c>
      <x:c r="C253" s="16" t="str">
        <x:v>ТРУБКА ПХВ КЛ-30 D6ММ</x:v>
      </x:c>
      <x:c r="D253" s="16" t="str">
        <x:v>Э/изоляцион мат-лы</x:v>
      </x:c>
      <x:c r="E253" s="16" t="str">
        <x:v>КГ</x:v>
      </x:c>
      <x:c r="F253" s="21" t="n">
        <x:v>5</x:v>
      </x:c>
      <x:c r="G253" s="17" t="n">
        <x:v>195.5782</x:v>
      </x:c>
      <x:c r="H253" s="17" t="n">
        <x:f>G253*F253</x:f>
        <x:v>977.8910000000001</x:v>
      </x:c>
      <x:c r="I253" s="22" t="str">
        <x:f>HYPERLINK("https://etp-aktiv.ru/catalog/materialy/ehlektroizolyacionnye-materialy/2000043320-V119/","Открыть позицию")</x:f>
        <x:v>Открыть позицию</x:v>
      </x:c>
    </x:row>
    <x:row r="254" ht="28" customHeight="1">
      <x:c r="A254" s="16" t="str">
        <x:v>Красноярская ТЭЦ-1</x:v>
      </x:c>
      <x:c r="B254" s="16" t="str">
        <x:v>2000043339-V119</x:v>
      </x:c>
      <x:c r="C254" s="16" t="str">
        <x:v>ТРУБКА Т/УСАД РАДПЛАСТ Т-2 (ТУТ) 100-50</x:v>
      </x:c>
      <x:c r="D254" s="16" t="str">
        <x:v>Э/изоляцион мат-лы</x:v>
      </x:c>
      <x:c r="E254" s="16" t="str">
        <x:v>М</x:v>
      </x:c>
      <x:c r="F254" s="21" t="n">
        <x:v>24</x:v>
      </x:c>
      <x:c r="G254" s="17" t="n">
        <x:v>120.09679999999999</x:v>
      </x:c>
      <x:c r="H254" s="17" t="n">
        <x:f>G254*F254</x:f>
        <x:v>2882.3232</x:v>
      </x:c>
      <x:c r="I254" s="22" t="str">
        <x:f>HYPERLINK("https://etp-aktiv.ru/catalog/materialy/ehlektroizolyacionnye-materialy/2000043339-V119/","Открыть позицию")</x:f>
        <x:v>Открыть позицию</x:v>
      </x:c>
    </x:row>
    <x:row r="255" ht="28" customHeight="1">
      <x:c r="A255" s="16" t="str">
        <x:v>Красноярская ТЭЦ-1</x:v>
      </x:c>
      <x:c r="B255" s="16" t="str">
        <x:v>2000043341-V119</x:v>
      </x:c>
      <x:c r="C255" s="16" t="str">
        <x:v>ТРУБКА Т/УСАД РАДПЛАСТ Т-2 (ТУТ) 30-15</x:v>
      </x:c>
      <x:c r="D255" s="16" t="str">
        <x:v>Э/изоляцион мат-лы</x:v>
      </x:c>
      <x:c r="E255" s="16" t="str">
        <x:v>М</x:v>
      </x:c>
      <x:c r="F255" s="21" t="n">
        <x:v>24</x:v>
      </x:c>
      <x:c r="G255" s="17" t="n">
        <x:v>29.5118</x:v>
      </x:c>
      <x:c r="H255" s="17" t="n">
        <x:f>G255*F255</x:f>
        <x:v>708.2832000000001</x:v>
      </x:c>
      <x:c r="I255" s="22" t="str">
        <x:f>HYPERLINK("https://etp-aktiv.ru/catalog/materialy/ehlektroizolyacionnye-materialy/2000043341-V119/","Открыть позицию")</x:f>
        <x:v>Открыть позицию</x:v>
      </x:c>
    </x:row>
    <x:row r="256" ht="28" customHeight="1">
      <x:c r="A256" s="16" t="str">
        <x:v>Красноярская ТЭЦ-1</x:v>
      </x:c>
      <x:c r="B256" s="16" t="str">
        <x:v>2000043374-V119</x:v>
      </x:c>
      <x:c r="C256" s="16" t="str">
        <x:v>ТРУБКА ТКР ТИП 203 3ММ</x:v>
      </x:c>
      <x:c r="D256" s="16" t="str">
        <x:v>Э/изоляцион мат-лы</x:v>
      </x:c>
      <x:c r="E256" s="16" t="str">
        <x:v>М</x:v>
      </x:c>
      <x:c r="F256" s="26" t="n">
        <x:v>167.25</x:v>
      </x:c>
      <x:c r="G256" s="17" t="n">
        <x:v>7.490799999999999</x:v>
      </x:c>
      <x:c r="H256" s="17" t="n">
        <x:f>G256*F256</x:f>
        <x:v>1252.8363</x:v>
      </x:c>
      <x:c r="I256" s="22" t="str">
        <x:f>HYPERLINK("https://etp-aktiv.ru/catalog/materialy/ehlektroizolyacionnye-materialy/2000043374-V119/","Открыть позицию")</x:f>
        <x:v>Открыть позицию</x:v>
      </x:c>
    </x:row>
    <x:row r="257" ht="28" customHeight="1">
      <x:c r="A257" s="16" t="str">
        <x:v>Красноярская ТЭЦ-1</x:v>
      </x:c>
      <x:c r="B257" s="16" t="str">
        <x:v>2000043375-V119</x:v>
      </x:c>
      <x:c r="C257" s="16" t="str">
        <x:v>ТРУБКА ТКР ТИП 203 4ММ</x:v>
      </x:c>
      <x:c r="D257" s="16" t="str">
        <x:v>Э/изоляцион мат-лы</x:v>
      </x:c>
      <x:c r="E257" s="16" t="str">
        <x:v>М</x:v>
      </x:c>
      <x:c r="F257" s="21" t="n">
        <x:v>214</x:v>
      </x:c>
      <x:c r="G257" s="17" t="n">
        <x:v>11.114199999999999</x:v>
      </x:c>
      <x:c r="H257" s="17" t="n">
        <x:f>G257*F257</x:f>
        <x:v>2378.4388</x:v>
      </x:c>
      <x:c r="I257" s="22" t="str">
        <x:f>HYPERLINK("https://etp-aktiv.ru/catalog/materialy/ehlektroizolyacionnye-materialy/2000043375-V119/","Открыть позицию")</x:f>
        <x:v>Открыть позицию</x:v>
      </x:c>
    </x:row>
    <x:row r="258" ht="28" customHeight="1">
      <x:c r="A258" s="16" t="str">
        <x:v>Красноярская ТЭЦ-1</x:v>
      </x:c>
      <x:c r="B258" s="16" t="str">
        <x:v>2000136200-V119</x:v>
      </x:c>
      <x:c r="C258" s="16" t="str">
        <x:v>ТРУБКА ТУТ 50/25</x:v>
      </x:c>
      <x:c r="D258" s="16" t="str">
        <x:v>Э/изоляцион мат-лы</x:v>
      </x:c>
      <x:c r="E258" s="16" t="str">
        <x:v>М</x:v>
      </x:c>
      <x:c r="F258" s="21" t="n">
        <x:v>1</x:v>
      </x:c>
      <x:c r="G258" s="17" t="n">
        <x:v>58.3282</x:v>
      </x:c>
      <x:c r="H258" s="17" t="n">
        <x:f>G258*F258</x:f>
        <x:v>58.3282</x:v>
      </x:c>
      <x:c r="I258" s="22" t="str">
        <x:f>HYPERLINK("https://etp-aktiv.ru/catalog/materialy/ehlektroizolyacionnye-materialy/2000136200-V119/","Открыть позицию")</x:f>
        <x:v>Открыть позицию</x:v>
      </x:c>
    </x:row>
    <x:row r="259" ht="28" customHeight="1">
      <x:c r="A259" s="16" t="str">
        <x:v>Красноярская ТЭЦ-1</x:v>
      </x:c>
      <x:c r="B259" s="16" t="str">
        <x:v>2000284715-V119</x:v>
      </x:c>
      <x:c r="C259" s="16" t="str">
        <x:v>ТРУБКА ТУТНГ 80/40 ЧЕРНЫЙ</x:v>
      </x:c>
      <x:c r="D259" s="16" t="str">
        <x:v>Э/изоляцион мат-лы</x:v>
      </x:c>
      <x:c r="E259" s="16" t="str">
        <x:v>М</x:v>
      </x:c>
      <x:c r="F259" s="21" t="n">
        <x:v>25</x:v>
      </x:c>
      <x:c r="G259" s="17" t="n">
        <x:v>120.78</x:v>
      </x:c>
      <x:c r="H259" s="17" t="n">
        <x:f>G259*F259</x:f>
        <x:v>3019.5</x:v>
      </x:c>
      <x:c r="I259" s="22" t="str">
        <x:f>HYPERLINK("https://etp-aktiv.ru/catalog/materialy/ehlektroizolyacionnye-materialy/2000284715-V119/","Открыть позицию")</x:f>
        <x:v>Открыть позицию</x:v>
      </x:c>
    </x:row>
    <x:row r="260" ht="28" customHeight="1">
      <x:c r="A260" s="16" t="str">
        <x:v>Красноярская ТЭЦ-1</x:v>
      </x:c>
      <x:c r="B260" s="16" t="str">
        <x:v>2000553366-V119</x:v>
      </x:c>
      <x:c r="C260" s="16" t="str">
        <x:v>ТЯГА 01 ОСТ108.632.02-80</x:v>
      </x:c>
      <x:c r="D260" s="16" t="str">
        <x:v>Система опорн-подвес</x:v>
      </x:c>
      <x:c r="E260" s="16" t="str">
        <x:v>ШТ</x:v>
      </x:c>
      <x:c r="F260" s="21" t="n">
        <x:v>8</x:v>
      </x:c>
      <x:c r="G260" s="17" t="n">
        <x:v>137.12800000000001</x:v>
      </x:c>
      <x:c r="H260" s="17" t="n">
        <x:f>G260*F260</x:f>
        <x:v>1097.0240000000001</x:v>
      </x:c>
      <x:c r="I260" s="22" t="str">
        <x:f>HYPERLINK("https://etp-aktiv.ru/catalog/materialy/truboprovody/2000553366-V119/","Открыть позицию")</x:f>
        <x:v>Открыть позицию</x:v>
      </x:c>
    </x:row>
    <x:row r="261" ht="28" customHeight="1">
      <x:c r="A261" s="16" t="str">
        <x:v>Красноярская ТЭЦ-1</x:v>
      </x:c>
      <x:c r="B261" s="16" t="str">
        <x:v>2000539875-V119</x:v>
      </x:c>
      <x:c r="C261" s="16" t="str">
        <x:v>УСТР-ВО ЗАП 12С13БК 20/40 Р/П ЦАП B СТ20</x:v>
      </x:c>
      <x:c r="D261" s="16" t="str">
        <x:v>Армат из медн сплав</x:v>
      </x:c>
      <x:c r="E261" s="16" t="str">
        <x:v>ШТ</x:v>
      </x:c>
      <x:c r="F261" s="21" t="n">
        <x:v>11</x:v>
      </x:c>
      <x:c r="G261" s="17" t="n">
        <x:v>10924.941400000002</x:v>
      </x:c>
      <x:c r="H261" s="17" t="n">
        <x:f>G261*F261</x:f>
        <x:v>120174.35540000001</x:v>
      </x:c>
      <x:c r="I261" s="22" t="str">
        <x:f>HYPERLINK("https://etp-aktiv.ru/catalog/materialy/truboprovodnaya-armatura-i-komplektuyushchie/2000539875-V119/","Открыть позицию")</x:f>
        <x:v>Открыть позицию</x:v>
      </x:c>
    </x:row>
    <x:row r="262" ht="28" customHeight="1">
      <x:c r="A262" s="16" t="str">
        <x:v>Красноярская ТЭЦ-1</x:v>
      </x:c>
      <x:c r="B262" s="16" t="str">
        <x:v>2000553427-V119</x:v>
      </x:c>
      <x:c r="C262" s="16" t="str">
        <x:v>УШКО 04 ОСТ108.643.01-80</x:v>
      </x:c>
      <x:c r="D262" s="16" t="str">
        <x:v>Система опорн-подвес</x:v>
      </x:c>
      <x:c r="E262" s="16" t="str">
        <x:v>ШТ</x:v>
      </x:c>
      <x:c r="F262" s="21" t="n">
        <x:v>8</x:v>
      </x:c>
      <x:c r="G262" s="17" t="n">
        <x:v>57.2424</x:v>
      </x:c>
      <x:c r="H262" s="17" t="n">
        <x:f>G262*F262</x:f>
        <x:v>457.9392</x:v>
      </x:c>
      <x:c r="I262" s="22" t="str">
        <x:f>HYPERLINK("https://etp-aktiv.ru/catalog/materialy/truboprovody/2000553427-V119/","Открыть позицию")</x:f>
        <x:v>Открыть позицию</x:v>
      </x:c>
    </x:row>
    <x:row r="263" ht="28" customHeight="1">
      <x:c r="A263" s="16" t="str">
        <x:v>Красноярская ТЭЦ-1</x:v>
      </x:c>
      <x:c r="B263" s="16" t="str">
        <x:v>2000553429-V119</x:v>
      </x:c>
      <x:c r="C263" s="16" t="str">
        <x:v>УШКО 06 ОСТ108.643.01-80</x:v>
      </x:c>
      <x:c r="D263" s="16" t="str">
        <x:v>Система опорн-подвес</x:v>
      </x:c>
      <x:c r="E263" s="16" t="str">
        <x:v>ШТ</x:v>
      </x:c>
      <x:c r="F263" s="21" t="n">
        <x:v>8</x:v>
      </x:c>
      <x:c r="G263" s="17" t="n">
        <x:v>112.2644</x:v>
      </x:c>
      <x:c r="H263" s="17" t="n">
        <x:f>G263*F263</x:f>
        <x:v>898.1152</x:v>
      </x:c>
      <x:c r="I263" s="22" t="str">
        <x:f>HYPERLINK("https://etp-aktiv.ru/catalog/materialy/truboprovody/2000553429-V119/","Открыть позицию")</x:f>
        <x:v>Открыть позицию</x:v>
      </x:c>
    </x:row>
    <x:row r="264" ht="28" customHeight="1">
      <x:c r="A264" s="16" t="str">
        <x:v>Красноярская ТЭЦ-1</x:v>
      </x:c>
      <x:c r="B264" s="16" t="str">
        <x:v>2000553434-V119</x:v>
      </x:c>
      <x:c r="C264" s="16" t="str">
        <x:v>УШКО 1-03 ОСТ34.10.729-93</x:v>
      </x:c>
      <x:c r="D264" s="16" t="str">
        <x:v>Система опорн-подвес</x:v>
      </x:c>
      <x:c r="E264" s="16" t="str">
        <x:v>ШТ</x:v>
      </x:c>
      <x:c r="F264" s="21" t="n">
        <x:v>6</x:v>
      </x:c>
      <x:c r="G264" s="17" t="n">
        <x:v>165.32219999999998</x:v>
      </x:c>
      <x:c r="H264" s="17" t="n">
        <x:f>G264*F264</x:f>
        <x:v>991.9331999999999</x:v>
      </x:c>
      <x:c r="I264" s="22" t="str">
        <x:f>HYPERLINK("https://etp-aktiv.ru/catalog/materialy/truboprovody/2000553434-V119/","Открыть позицию")</x:f>
        <x:v>Открыть позицию</x:v>
      </x:c>
    </x:row>
    <x:row r="265" ht="28" customHeight="1">
      <x:c r="A265" s="16" t="str">
        <x:v>Красноярская ТЭЦ-1</x:v>
      </x:c>
      <x:c r="B265" s="16" t="str">
        <x:v>2000931902-V119</x:v>
      </x:c>
      <x:c r="C265" s="16" t="str">
        <x:v>ФЛАНЕЦ 09Г2С 65-10-01-1-Е-III ГОСТ33259</x:v>
      </x:c>
      <x:c r="D265" s="16" t="str">
        <x:v>Детали фасонные</x:v>
      </x:c>
      <x:c r="E265" s="16" t="str">
        <x:v>ШТ</x:v>
      </x:c>
      <x:c r="F265" s="21" t="n">
        <x:v>4</x:v>
      </x:c>
      <x:c r="G265" s="17" t="n">
        <x:v>634.8636</x:v>
      </x:c>
      <x:c r="H265" s="17" t="n">
        <x:f>G265*F265</x:f>
        <x:v>2539.4544</x:v>
      </x:c>
      <x:c r="I265" s="22" t="str">
        <x:f>HYPERLINK("https://etp-aktiv.ru/catalog/materialy/truboprovody/2000931902-V119/","Открыть позицию")</x:f>
        <x:v>Открыть позицию</x:v>
      </x:c>
    </x:row>
    <x:row r="266" ht="28" customHeight="1">
      <x:c r="A266" s="16" t="str">
        <x:v>Красноярская ТЭЦ-1</x:v>
      </x:c>
      <x:c r="B266" s="16" t="str">
        <x:v>2000487341-V119</x:v>
      </x:c>
      <x:c r="C266" s="16" t="str">
        <x:v>ФЛАНЕЦ 09Г2С DN150 PN10 ИСП 1В ГОСТ33259</x:v>
      </x:c>
      <x:c r="D266" s="16" t="str">
        <x:v>Детали фасонные</x:v>
      </x:c>
      <x:c r="E266" s="16" t="str">
        <x:v>ШТ</x:v>
      </x:c>
      <x:c r="F266" s="21" t="n">
        <x:v>1</x:v>
      </x:c>
      <x:c r="G266" s="17" t="n">
        <x:v>1094.5718</x:v>
      </x:c>
      <x:c r="H266" s="17" t="n">
        <x:f>G266*F266</x:f>
        <x:v>1094.5718</x:v>
      </x:c>
      <x:c r="I266" s="22" t="str">
        <x:f>HYPERLINK("https://etp-aktiv.ru/catalog/materialy/truboprovody/2000487341-V119/","Открыть позицию")</x:f>
        <x:v>Открыть позицию</x:v>
      </x:c>
    </x:row>
    <x:row r="267" ht="28" customHeight="1">
      <x:c r="A267" s="16" t="str">
        <x:v>Красноярская ТЭЦ-1</x:v>
      </x:c>
      <x:c r="B267" s="16" t="str">
        <x:v>2000554753-V119</x:v>
      </x:c>
      <x:c r="C267" s="16" t="str">
        <x:v>ФЛАНЕЦ 09Г2С DN500 PN4 ИСП.1 ГОСТ12821</x:v>
      </x:c>
      <x:c r="D267" s="16" t="str">
        <x:v>Детали фасонные</x:v>
      </x:c>
      <x:c r="E267" s="16" t="str">
        <x:v>ШТ</x:v>
      </x:c>
      <x:c r="F267" s="21" t="n">
        <x:v>1</x:v>
      </x:c>
      <x:c r="G267" s="17" t="n">
        <x:v>17156.25</x:v>
      </x:c>
      <x:c r="H267" s="17" t="n">
        <x:f>G267*F267</x:f>
        <x:v>17156.25</x:v>
      </x:c>
      <x:c r="I267" s="22" t="str">
        <x:f>HYPERLINK("https://etp-aktiv.ru/catalog/materialy/truboprovody/2000554753-V119/","Открыть позицию")</x:f>
        <x:v>Открыть позицию</x:v>
      </x:c>
    </x:row>
    <x:row r="268" ht="28" customHeight="1">
      <x:c r="A268" s="16" t="str">
        <x:v>Красноярская ТЭЦ-2</x:v>
      </x:c>
      <x:c r="B268" s="16" t="str">
        <x:v>2000559140-V113</x:v>
      </x:c>
      <x:c r="C268" s="16" t="str">
        <x:v>ГИБ 90° 76*9*1671 12Х1МФ К-2496-18</x:v>
      </x:c>
      <x:c r="D268" s="16" t="str">
        <x:v>Труб/элем ВД</x:v>
      </x:c>
      <x:c r="E268" s="16" t="str">
        <x:v>ШТ</x:v>
      </x:c>
      <x:c r="F268" s="21" t="n">
        <x:v>2</x:v>
      </x:c>
      <x:c r="G268" s="17" t="n">
        <x:v>10659.2254</x:v>
      </x:c>
      <x:c r="H268" s="17" t="n">
        <x:f>G268*F268</x:f>
        <x:v>21318.4508</x:v>
      </x:c>
      <x:c r="I268" s="22" t="str">
        <x:f>HYPERLINK("https://etp-aktiv.ru/catalog/materialy/truboprovody/2000559140-V113/","Открыть позицию")</x:f>
        <x:v>Открыть позицию</x:v>
      </x:c>
    </x:row>
    <x:row r="269" ht="28" customHeight="1">
      <x:c r="A269" s="16" t="str">
        <x:v>Красноярская ТЭЦ-2</x:v>
      </x:c>
      <x:c r="B269" s="16" t="str">
        <x:v>2000539540-V113</x:v>
      </x:c>
      <x:c r="C269" s="16" t="str">
        <x:v>КЛАПАН 15Б3Р DN32 PN16 Р.П МАХОВИК ФЛ A</x:v>
      </x:c>
      <x:c r="D269" s="16" t="str">
        <x:v>Армат из медн сплав</x:v>
      </x:c>
      <x:c r="E269" s="16" t="str">
        <x:v>ШТ</x:v>
      </x:c>
      <x:c r="F269" s="21" t="n">
        <x:v>14</x:v>
      </x:c>
      <x:c r="G269" s="17" t="n">
        <x:v>449.9482</x:v>
      </x:c>
      <x:c r="H269" s="17" t="n">
        <x:f>G269*F269</x:f>
        <x:v>6299.2748</x:v>
      </x:c>
      <x:c r="I269" s="22" t="str">
        <x:f>HYPERLINK("https://etp-aktiv.ru/catalog/materialy/truboprovodnaya-armatura-i-komplektuyushchie/2000539540-V113/","Открыть позицию")</x:f>
        <x:v>Открыть позицию</x:v>
      </x:c>
    </x:row>
    <x:row r="270" ht="28" customHeight="1">
      <x:c r="A270" s="16" t="str">
        <x:v>Красноярская ТЭЦ-2</x:v>
      </x:c>
      <x:c r="B270" s="16" t="str">
        <x:v>2000539732-V113</x:v>
      </x:c>
      <x:c r="C270" s="16" t="str">
        <x:v>КЛАПАН 19С47НЖ DN500 PN40 Р/П П/П А</x:v>
      </x:c>
      <x:c r="D270" s="16" t="str">
        <x:v>Обратная арматура</x:v>
      </x:c>
      <x:c r="E270" s="16" t="str">
        <x:v>ШТ</x:v>
      </x:c>
      <x:c r="F270" s="21" t="n">
        <x:v>1</x:v>
      </x:c>
      <x:c r="G270" s="17" t="n">
        <x:v>108459.9642</x:v>
      </x:c>
      <x:c r="H270" s="17" t="n">
        <x:f>G270*F270</x:f>
        <x:v>108459.9642</x:v>
      </x:c>
      <x:c r="I270" s="22" t="str">
        <x:f>HYPERLINK("https://etp-aktiv.ru/catalog/materialy/truboprovodnaya-armatura-i-komplektuyushchie/2000539732-V113/","Открыть позицию")</x:f>
        <x:v>Открыть позицию</x:v>
      </x:c>
    </x:row>
    <x:row r="271" ht="28" customHeight="1">
      <x:c r="A271" s="16" t="str">
        <x:v>Красноярская ТЭЦ-2</x:v>
      </x:c>
      <x:c r="B271" s="16" t="str">
        <x:v>2000792254-V113</x:v>
      </x:c>
      <x:c r="C271" s="16" t="str">
        <x:v>КОЛЕСО ЧЕРВЯЧНОЕ ЗПЧ.011.009-А 795-Э-0</x:v>
      </x:c>
      <x:c r="D271" s="16" t="str">
        <x:v>ЗЧ трубопр арматуры</x:v>
      </x:c>
      <x:c r="E271" s="16" t="str">
        <x:v>ШТ</x:v>
      </x:c>
      <x:c r="F271" s="21" t="n">
        <x:v>2</x:v>
      </x:c>
      <x:c r="G271" s="17" t="n">
        <x:v>19835.4676</x:v>
      </x:c>
      <x:c r="H271" s="17" t="n">
        <x:f>G271*F271</x:f>
        <x:v>39670.9352</x:v>
      </x:c>
      <x:c r="I271" s="22" t="str">
        <x:f>HYPERLINK("https://etp-aktiv.ru/catalog/materialy/truboprovodnaya-armatura-i-komplektuyushchie/2000792254-V113/","Открыть позицию")</x:f>
        <x:v>Открыть позицию</x:v>
      </x:c>
    </x:row>
    <x:row r="272" ht="28" customHeight="1">
      <x:c r="A272" s="16" t="str">
        <x:v>Красноярская ТЭЦ-2</x:v>
      </x:c>
      <x:c r="B272" s="16" t="str">
        <x:v>2000795264-V113</x:v>
      </x:c>
      <x:c r="C272" s="16" t="str">
        <x:v>КОМПЕНСАТОР 1,6(16)-350-2 45ОСТ34-10-570</x:v>
      </x:c>
      <x:c r="D272" s="16" t="str">
        <x:v>Компенсаторы</x:v>
      </x:c>
      <x:c r="E272" s="16" t="str">
        <x:v>ШТ</x:v>
      </x:c>
      <x:c r="F272" s="21" t="n">
        <x:v>14</x:v>
      </x:c>
      <x:c r="G272" s="17" t="n">
        <x:v>13721.5718</x:v>
      </x:c>
      <x:c r="H272" s="17" t="n">
        <x:f>G272*F272</x:f>
        <x:v>192102.00519999999</x:v>
      </x:c>
      <x:c r="I272" s="22" t="str">
        <x:f>HYPERLINK("https://etp-aktiv.ru/catalog/materialy/truboprovody/2000795264-V113/","Открыть позицию")</x:f>
        <x:v>Открыть позицию</x:v>
      </x:c>
    </x:row>
    <x:row r="273" ht="28" customHeight="1">
      <x:c r="A273" s="16" t="str">
        <x:v>Красноярская ТЭЦ-2</x:v>
      </x:c>
      <x:c r="B273" s="16" t="str">
        <x:v>2000794268-V113</x:v>
      </x:c>
      <x:c r="C273" s="16" t="str">
        <x:v>КОМПЕНСАТОР 1,6(16)-600-2 49ОСТ34-10-569</x:v>
      </x:c>
      <x:c r="D273" s="16" t="str">
        <x:v>Компенсаторы</x:v>
      </x:c>
      <x:c r="E273" s="16" t="str">
        <x:v>ШТ</x:v>
      </x:c>
      <x:c r="F273" s="21" t="n">
        <x:v>2</x:v>
      </x:c>
      <x:c r="G273" s="17" t="n">
        <x:v>14777.8722</x:v>
      </x:c>
      <x:c r="H273" s="17" t="n">
        <x:f>G273*F273</x:f>
        <x:v>29555.7444</x:v>
      </x:c>
      <x:c r="I273" s="22" t="str">
        <x:f>HYPERLINK("https://etp-aktiv.ru/catalog/materialy/truboprovody/2000794268-V113/","Открыть позицию")</x:f>
        <x:v>Открыть позицию</x:v>
      </x:c>
    </x:row>
    <x:row r="274" ht="28" customHeight="1">
      <x:c r="A274" s="16" t="str">
        <x:v>Красноярская ТЭЦ-2</x:v>
      </x:c>
      <x:c r="B274" s="16" t="str">
        <x:v>2000969737-V113</x:v>
      </x:c>
      <x:c r="C274" s="16" t="str">
        <x:v>КОМПЕНСАТОР 1,6(16)-700-2 33ОСТ34-10-570</x:v>
      </x:c>
      <x:c r="D274" s="16" t="str">
        <x:v>Компенсаторы</x:v>
      </x:c>
      <x:c r="E274" s="16" t="str">
        <x:v>ШТ</x:v>
      </x:c>
      <x:c r="F274" s="21" t="n">
        <x:v>4</x:v>
      </x:c>
      <x:c r="G274" s="17" t="n">
        <x:v>26763.75</x:v>
      </x:c>
      <x:c r="H274" s="17" t="n">
        <x:f>G274*F274</x:f>
        <x:v>107055</x:v>
      </x:c>
      <x:c r="I274" s="22" t="str">
        <x:f>HYPERLINK("https://etp-aktiv.ru/catalog/materialy/truboprovody/2000969737-V113/","Открыть позицию")</x:f>
        <x:v>Открыть позицию</x:v>
      </x:c>
    </x:row>
    <x:row r="275" ht="28" customHeight="1">
      <x:c r="A275" s="16" t="str">
        <x:v>Красноярская ТЭЦ-2</x:v>
      </x:c>
      <x:c r="B275" s="16" t="str">
        <x:v>2000581386-V113</x:v>
      </x:c>
      <x:c r="C275" s="16" t="str">
        <x:v>КОРПУС КЛАПАНА VFG2 Ф/Ф DN80 KVS 80 PN16</x:v>
      </x:c>
      <x:c r="D275" s="16" t="str">
        <x:v>ЗЧ трубопр арматуры</x:v>
      </x:c>
      <x:c r="E275" s="16" t="str">
        <x:v>ШТ</x:v>
      </x:c>
      <x:c r="F275" s="21" t="n">
        <x:v>1</x:v>
      </x:c>
      <x:c r="G275" s="17" t="n">
        <x:v>2782.0514</x:v>
      </x:c>
      <x:c r="H275" s="17" t="n">
        <x:f>G275*F275</x:f>
        <x:v>2782.0514</x:v>
      </x:c>
      <x:c r="I275" s="22" t="str">
        <x:f>HYPERLINK("https://etp-aktiv.ru/catalog/materialy/truboprovodnaya-armatura-i-komplektuyushchie/2000581386-V113/","Открыть позицию")</x:f>
        <x:v>Открыть позицию</x:v>
      </x:c>
    </x:row>
    <x:row r="276" ht="28" customHeight="1">
      <x:c r="A276" s="16" t="str">
        <x:v>Красноярская ТЭЦ-2</x:v>
      </x:c>
      <x:c r="B276" s="16" t="str">
        <x:v>2000557781-V113</x:v>
      </x:c>
      <x:c r="C276" s="16" t="str">
        <x:v>КРАН ШАРОВОЙ ПВХ DN20 PN16 VXELV034E</x:v>
      </x:c>
      <x:c r="D276" s="16" t="str">
        <x:v>Фитинги труб полимер</x:v>
      </x:c>
      <x:c r="E276" s="16" t="str">
        <x:v>ШТ</x:v>
      </x:c>
      <x:c r="F276" s="21" t="n">
        <x:v>8</x:v>
      </x:c>
      <x:c r="G276" s="17" t="n">
        <x:v>308.8186</x:v>
      </x:c>
      <x:c r="H276" s="17" t="n">
        <x:f>G276*F276</x:f>
        <x:v>2470.5488</x:v>
      </x:c>
      <x:c r="I276" s="22" t="str">
        <x:f>HYPERLINK("https://etp-aktiv.ru/catalog/materialy/truboprovody/2000557781-V113/","Открыть позицию")</x:f>
        <x:v>Открыть позицию</x:v>
      </x:c>
    </x:row>
    <x:row r="277" ht="28" customHeight="1">
      <x:c r="A277" s="16" t="str">
        <x:v>Красноярская ТЭЦ-2</x:v>
      </x:c>
      <x:c r="B277" s="16" t="str">
        <x:v>2000559362-V113</x:v>
      </x:c>
      <x:c r="C277" s="16" t="str">
        <x:v>КРАН ШАРОВОЙ ПВХ DN40 PN16 VEELV112E</x:v>
      </x:c>
      <x:c r="D277" s="16" t="str">
        <x:v>Фитинги труб полимер</x:v>
      </x:c>
      <x:c r="E277" s="16" t="str">
        <x:v>ШТ</x:v>
      </x:c>
      <x:c r="F277" s="21" t="n">
        <x:v>11</x:v>
      </x:c>
      <x:c r="G277" s="17" t="n">
        <x:v>658.2388</x:v>
      </x:c>
      <x:c r="H277" s="17" t="n">
        <x:f>G277*F277</x:f>
        <x:v>7240.6268</x:v>
      </x:c>
      <x:c r="I277" s="22" t="str">
        <x:f>HYPERLINK("https://etp-aktiv.ru/catalog/materialy/truboprovody/2000559362-V113/","Открыть позицию")</x:f>
        <x:v>Открыть позицию</x:v>
      </x:c>
    </x:row>
    <x:row r="278" ht="28" customHeight="1">
      <x:c r="A278" s="16" t="str">
        <x:v>Красноярская ТЭЦ-2</x:v>
      </x:c>
      <x:c r="B278" s="16" t="str">
        <x:v>2000766811-V113</x:v>
      </x:c>
      <x:c r="C278" s="16" t="str">
        <x:v>МЕХАНИЗМ МЭО-1600/25-0,25-ЕД-07К У2</x:v>
      </x:c>
      <x:c r="D278" s="16" t="str">
        <x:v>Приводы арматуры</x:v>
      </x:c>
      <x:c r="E278" s="16" t="str">
        <x:v>ШТ</x:v>
      </x:c>
      <x:c r="F278" s="21" t="n">
        <x:v>1</x:v>
      </x:c>
      <x:c r="G278" s="17" t="n">
        <x:v>36087.6366</x:v>
      </x:c>
      <x:c r="H278" s="17" t="n">
        <x:f>G278*F278</x:f>
        <x:v>36087.6366</x:v>
      </x:c>
      <x:c r="I278" s="22" t="str">
        <x:f>HYPERLINK("https://etp-aktiv.ru/catalog/materialy/truboprovodnaya-armatura-i-komplektuyushchie/2000766811-V113/","Открыть позицию")</x:f>
        <x:v>Открыть позицию</x:v>
      </x:c>
    </x:row>
    <x:row r="279" ht="28" customHeight="1">
      <x:c r="A279" s="16" t="str">
        <x:v>Красноярская ТЭЦ-2</x:v>
      </x:c>
      <x:c r="B279" s="16" t="str">
        <x:v>2000463740-V113</x:v>
      </x:c>
      <x:c r="C279" s="16" t="str">
        <x:v>МЕХАНИЗМ МЭОФ 4000/63-0.25М-97К</x:v>
      </x:c>
      <x:c r="D279" s="16" t="str">
        <x:v>Приводы арматуры</x:v>
      </x:c>
      <x:c r="E279" s="16" t="str">
        <x:v>ШТ</x:v>
      </x:c>
      <x:c r="F279" s="21" t="n">
        <x:v>1</x:v>
      </x:c>
      <x:c r="G279" s="17" t="n">
        <x:v>52875.5686</x:v>
      </x:c>
      <x:c r="H279" s="17" t="n">
        <x:f>G279*F279</x:f>
        <x:v>52875.5686</x:v>
      </x:c>
      <x:c r="I279" s="22" t="str">
        <x:f>HYPERLINK("https://etp-aktiv.ru/catalog/materialy/truboprovodnaya-armatura-i-komplektuyushchie/2000463740-V113/","Открыть позицию")</x:f>
        <x:v>Открыть позицию</x:v>
      </x:c>
    </x:row>
    <x:row r="280" ht="28" customHeight="1">
      <x:c r="A280" s="16" t="str">
        <x:v>Красноярская ТЭЦ-2</x:v>
      </x:c>
      <x:c r="B280" s="16" t="str">
        <x:v>2000554292-V113</x:v>
      </x:c>
      <x:c r="C280" s="16" t="str">
        <x:v>ОТВОД 30° 09Г2С DN630*12 ОСТ34.10.699</x:v>
      </x:c>
      <x:c r="D280" s="16" t="str">
        <x:v>Детали фасонные</x:v>
      </x:c>
      <x:c r="E280" s="16" t="str">
        <x:v>ШТ</x:v>
      </x:c>
      <x:c r="F280" s="21" t="n">
        <x:v>1</x:v>
      </x:c>
      <x:c r="G280" s="17" t="n">
        <x:v>12450.3928</x:v>
      </x:c>
      <x:c r="H280" s="17" t="n">
        <x:f>G280*F280</x:f>
        <x:v>12450.3928</x:v>
      </x:c>
      <x:c r="I280" s="22" t="str">
        <x:f>HYPERLINK("https://etp-aktiv.ru/catalog/materialy/truboprovody/2000554292-V113/","Открыть позицию")</x:f>
        <x:v>Открыть позицию</x:v>
      </x:c>
    </x:row>
    <x:row r="281" ht="28" customHeight="1">
      <x:c r="A281" s="16" t="str">
        <x:v>Красноярская ТЭЦ-2</x:v>
      </x:c>
      <x:c r="B281" s="16" t="str">
        <x:v>2000247501-V113</x:v>
      </x:c>
      <x:c r="C281" s="16" t="str">
        <x:v>ОТВОД 60° 09Г2С DN159 4,5 ГОСТ17375-01</x:v>
      </x:c>
      <x:c r="D281" s="16" t="str">
        <x:v>Детали фасонные</x:v>
      </x:c>
      <x:c r="E281" s="16" t="str">
        <x:v>ШТ</x:v>
      </x:c>
      <x:c r="F281" s="21" t="n">
        <x:v>14</x:v>
      </x:c>
      <x:c r="G281" s="17" t="n">
        <x:v>926.4436</x:v>
      </x:c>
      <x:c r="H281" s="17" t="n">
        <x:f>G281*F281</x:f>
        <x:v>12970.2104</x:v>
      </x:c>
      <x:c r="I281" s="22" t="str">
        <x:f>HYPERLINK("https://etp-aktiv.ru/catalog/materialy/truboprovody/2000247501-V113/","Открыть позицию")</x:f>
        <x:v>Открыть позицию</x:v>
      </x:c>
    </x:row>
    <x:row r="282" ht="28" customHeight="1">
      <x:c r="A282" s="16" t="str">
        <x:v>Красноярская ТЭЦ-2</x:v>
      </x:c>
      <x:c r="B282" s="16" t="str">
        <x:v>2000554423-V113</x:v>
      </x:c>
      <x:c r="C282" s="16" t="str">
        <x:v>ОТВОД 90° 09Г2С DN219*10 ГОСТ17375-01</x:v>
      </x:c>
      <x:c r="D282" s="16" t="str">
        <x:v>Детали фасонные</x:v>
      </x:c>
      <x:c r="E282" s="16" t="str">
        <x:v>ШТ</x:v>
      </x:c>
      <x:c r="F282" s="21" t="n">
        <x:v>10</x:v>
      </x:c>
      <x:c r="G282" s="17" t="n">
        <x:v>4379.3607999999995</x:v>
      </x:c>
      <x:c r="H282" s="17" t="n">
        <x:f>G282*F282</x:f>
        <x:v>43793.60799999999</x:v>
      </x:c>
      <x:c r="I282" s="22" t="str">
        <x:f>HYPERLINK("https://etp-aktiv.ru/catalog/materialy/truboprovody/2000554423-V113/","Открыть позицию")</x:f>
        <x:v>Открыть позицию</x:v>
      </x:c>
    </x:row>
    <x:row r="283" ht="28" customHeight="1">
      <x:c r="A283" s="16" t="str">
        <x:v>Красноярская ТЭЦ-2</x:v>
      </x:c>
      <x:c r="B283" s="16" t="str">
        <x:v>2000286395-V113</x:v>
      </x:c>
      <x:c r="C283" s="16" t="str">
        <x:v>ОТВОД 90° ПЭ100 DN560 SDR17</x:v>
      </x:c>
      <x:c r="D283" s="16" t="str">
        <x:v>Детали фасонные</x:v>
      </x:c>
      <x:c r="E283" s="16" t="str">
        <x:v>ШТ</x:v>
      </x:c>
      <x:c r="F283" s="21" t="n">
        <x:v>2</x:v>
      </x:c>
      <x:c r="G283" s="17" t="n">
        <x:v>31430.25</x:v>
      </x:c>
      <x:c r="H283" s="17" t="n">
        <x:f>G283*F283</x:f>
        <x:v>62860.5</x:v>
      </x:c>
      <x:c r="I283" s="22" t="str">
        <x:f>HYPERLINK("https://etp-aktiv.ru/catalog/materialy/truboprovody/2000286395-V113/","Открыть позицию")</x:f>
        <x:v>Открыть позицию</x:v>
      </x:c>
    </x:row>
    <x:row r="284" ht="28" customHeight="1">
      <x:c r="A284" s="16" t="str">
        <x:v>Красноярская ТЭЦ-2</x:v>
      </x:c>
      <x:c r="B284" s="16" t="str">
        <x:v>2000335279-V113</x:v>
      </x:c>
      <x:c r="C284" s="16" t="str">
        <x:v>ОТВОД 90° СТ20 133*4 ГОСТ17375-01</x:v>
      </x:c>
      <x:c r="D284" s="16" t="str">
        <x:v>Детали фасонные</x:v>
      </x:c>
      <x:c r="E284" s="16" t="str">
        <x:v>ШТ</x:v>
      </x:c>
      <x:c r="F284" s="21" t="n">
        <x:v>4</x:v>
      </x:c>
      <x:c r="G284" s="17" t="n">
        <x:v>694.4728</x:v>
      </x:c>
      <x:c r="H284" s="17" t="n">
        <x:f>G284*F284</x:f>
        <x:v>2777.8912</x:v>
      </x:c>
      <x:c r="I284" s="22" t="str">
        <x:f>HYPERLINK("https://etp-aktiv.ru/catalog/materialy/truboprovody/2000335279-V113/","Открыть позицию")</x:f>
        <x:v>Открыть позицию</x:v>
      </x:c>
    </x:row>
    <x:row r="285" ht="28" customHeight="1">
      <x:c r="A285" s="16" t="str">
        <x:v>Красноярская ТЭЦ-2</x:v>
      </x:c>
      <x:c r="B285" s="16" t="str">
        <x:v>2000153597-V113</x:v>
      </x:c>
      <x:c r="C285" s="16" t="str">
        <x:v>ОТВОД 90° СТ20 DN273 10 ГОСТ17375-01</x:v>
      </x:c>
      <x:c r="D285" s="16" t="str">
        <x:v>Детали фасонные</x:v>
      </x:c>
      <x:c r="E285" s="16" t="str">
        <x:v>ШТ</x:v>
      </x:c>
      <x:c r="F285" s="21" t="n">
        <x:v>8</x:v>
      </x:c>
      <x:c r="G285" s="17" t="n">
        <x:v>7686</x:v>
      </x:c>
      <x:c r="H285" s="17" t="n">
        <x:f>G285*F285</x:f>
        <x:v>61488</x:v>
      </x:c>
      <x:c r="I285" s="22" t="str">
        <x:f>HYPERLINK("https://etp-aktiv.ru/catalog/materialy/truboprovody/2000153597-V113/","Открыть позицию")</x:f>
        <x:v>Открыть позицию</x:v>
      </x:c>
    </x:row>
    <x:row r="286" ht="28" customHeight="1">
      <x:c r="A286" s="16" t="str">
        <x:v>Красноярская ТЭЦ-2</x:v>
      </x:c>
      <x:c r="B286" s="16" t="str">
        <x:v>2000554469-V113</x:v>
      </x:c>
      <x:c r="C286" s="16" t="str">
        <x:v>ОТВОД 90° СТ20 DN426*9 ГОСТ30753-2001</x:v>
      </x:c>
      <x:c r="D286" s="16" t="str">
        <x:v>Детали фасонные</x:v>
      </x:c>
      <x:c r="E286" s="16" t="str">
        <x:v>ШТ</x:v>
      </x:c>
      <x:c r="F286" s="21" t="n">
        <x:v>2</x:v>
      </x:c>
      <x:c r="G286" s="17" t="n">
        <x:v>21410.536399999997</x:v>
      </x:c>
      <x:c r="H286" s="17" t="n">
        <x:f>G286*F286</x:f>
        <x:v>42821.072799999994</x:v>
      </x:c>
      <x:c r="I286" s="22" t="str">
        <x:f>HYPERLINK("https://etp-aktiv.ru/catalog/materialy/truboprovody/2000554469-V113/","Открыть позицию")</x:f>
        <x:v>Открыть позицию</x:v>
      </x:c>
    </x:row>
    <x:row r="287" ht="28" customHeight="1">
      <x:c r="A287" s="16" t="str">
        <x:v>Красноярская ТЭЦ-2</x:v>
      </x:c>
      <x:c r="B287" s="16" t="str">
        <x:v>2000575329-V113</x:v>
      </x:c>
      <x:c r="C287" s="16" t="str">
        <x:v>ПЕРЕХОД К 17Г1С 600*-400 2,5 07 3410753</x:v>
      </x:c>
      <x:c r="D287" s="16" t="str">
        <x:v>Детали фасонные</x:v>
      </x:c>
      <x:c r="E287" s="16" t="str">
        <x:v>ШТ</x:v>
      </x:c>
      <x:c r="F287" s="21" t="n">
        <x:v>1</x:v>
      </x:c>
      <x:c r="G287" s="17" t="n">
        <x:v>13721.5718</x:v>
      </x:c>
      <x:c r="H287" s="17" t="n">
        <x:f>G287*F287</x:f>
        <x:v>13721.5718</x:v>
      </x:c>
      <x:c r="I287" s="22" t="str">
        <x:f>HYPERLINK("https://etp-aktiv.ru/catalog/materialy/truboprovody/2000575329-V113/","Открыть позицию")</x:f>
        <x:v>Открыть позицию</x:v>
      </x:c>
    </x:row>
    <x:row r="288" ht="28" customHeight="1">
      <x:c r="A288" s="16" t="str">
        <x:v>Красноярская ТЭЦ-2</x:v>
      </x:c>
      <x:c r="B288" s="16" t="str">
        <x:v>2000148659-V113</x:v>
      </x:c>
      <x:c r="C288" s="16" t="str">
        <x:v>ПЕРЕХОД К СТ20 108*4 57 3 ГОСТ17378-01</x:v>
      </x:c>
      <x:c r="D288" s="16" t="str">
        <x:v>Детали фасонные</x:v>
      </x:c>
      <x:c r="E288" s="16" t="str">
        <x:v>ШТ</x:v>
      </x:c>
      <x:c r="F288" s="21" t="n">
        <x:v>1</x:v>
      </x:c>
      <x:c r="G288" s="17" t="n">
        <x:v>193.33339999999998</x:v>
      </x:c>
      <x:c r="H288" s="17" t="n">
        <x:f>G288*F288</x:f>
        <x:v>193.33339999999998</x:v>
      </x:c>
      <x:c r="I288" s="22" t="str">
        <x:f>HYPERLINK("https://etp-aktiv.ru/catalog/materialy/truboprovody/2000148659-V113/","Открыть позицию")</x:f>
        <x:v>Открыть позицию</x:v>
      </x:c>
    </x:row>
    <x:row r="289" ht="28" customHeight="1">
      <x:c r="A289" s="16" t="str">
        <x:v>Красноярская ТЭЦ-2</x:v>
      </x:c>
      <x:c r="B289" s="16" t="str">
        <x:v>2000554951-V113</x:v>
      </x:c>
      <x:c r="C289" s="16" t="str">
        <x:v>ПЕРЕХОД К СТ20 273*8-219*7 ОСТ34.10.700</x:v>
      </x:c>
      <x:c r="D289" s="16" t="str">
        <x:v>Детали фасонные</x:v>
      </x:c>
      <x:c r="E289" s="16" t="str">
        <x:v>ШТ</x:v>
      </x:c>
      <x:c r="F289" s="21" t="n">
        <x:v>1</x:v>
      </x:c>
      <x:c r="G289" s="17" t="n">
        <x:v>2055.3218</x:v>
      </x:c>
      <x:c r="H289" s="17" t="n">
        <x:f>G289*F289</x:f>
        <x:v>2055.3218</x:v>
      </x:c>
      <x:c r="I289" s="22" t="str">
        <x:f>HYPERLINK("https://etp-aktiv.ru/catalog/materialy/truboprovody/2000554951-V113/","Открыть позицию")</x:f>
        <x:v>Открыть позицию</x:v>
      </x:c>
    </x:row>
    <x:row r="290" ht="28" customHeight="1">
      <x:c r="A290" s="16" t="str">
        <x:v>Красноярская ТЭЦ-2</x:v>
      </x:c>
      <x:c r="B290" s="16" t="str">
        <x:v>2000568276-V113</x:v>
      </x:c>
      <x:c r="C290" s="16" t="str">
        <x:v>ПЕРЕХОД Э 17Г1С 600*500- ТС-586-37</x:v>
      </x:c>
      <x:c r="D290" s="16" t="str">
        <x:v>Детали фасонные</x:v>
      </x:c>
      <x:c r="E290" s="16" t="str">
        <x:v>ШТ</x:v>
      </x:c>
      <x:c r="F290" s="21" t="n">
        <x:v>2</x:v>
      </x:c>
      <x:c r="G290" s="17" t="n">
        <x:v>3680.3618</x:v>
      </x:c>
      <x:c r="H290" s="17" t="n">
        <x:f>G290*F290</x:f>
        <x:v>7360.7236</x:v>
      </x:c>
      <x:c r="I290" s="22" t="str">
        <x:f>HYPERLINK("https://etp-aktiv.ru/catalog/materialy/truboprovody/2000568276-V113/","Открыть позицию")</x:f>
        <x:v>Открыть позицию</x:v>
      </x:c>
    </x:row>
    <x:row r="291" ht="28" customHeight="1">
      <x:c r="A291" s="16" t="str">
        <x:v>Красноярская ТЭЦ-2</x:v>
      </x:c>
      <x:c r="B291" s="16" t="str">
        <x:v>2000758256-V113</x:v>
      </x:c>
      <x:c r="C291" s="16" t="str">
        <x:v>ПЕРЕХОД Э СТ20 325*8-219*7 ГОСТ17378</x:v>
      </x:c>
      <x:c r="D291" s="16" t="str">
        <x:v>Детали фасонные</x:v>
      </x:c>
      <x:c r="E291" s="16" t="str">
        <x:v>ШТ</x:v>
      </x:c>
      <x:c r="F291" s="21" t="n">
        <x:v>2</x:v>
      </x:c>
      <x:c r="G291" s="17" t="n">
        <x:v>4800.3218</x:v>
      </x:c>
      <x:c r="H291" s="17" t="n">
        <x:f>G291*F291</x:f>
        <x:v>9600.6436</x:v>
      </x:c>
      <x:c r="I291" s="22" t="str">
        <x:f>HYPERLINK("https://etp-aktiv.ru/catalog/materialy/truboprovody/2000758256-V113/","Открыть позицию")</x:f>
        <x:v>Открыть позицию</x:v>
      </x:c>
    </x:row>
    <x:row r="292" ht="28" customHeight="1">
      <x:c r="A292" s="16" t="str">
        <x:v>Красноярская ТЭЦ-2</x:v>
      </x:c>
      <x:c r="B292" s="16" t="str">
        <x:v>2000632517-V113</x:v>
      </x:c>
      <x:c r="C292" s="16" t="str">
        <x:v>ТРОЙНИК СТ20 920*22-820*20 ТС588.000-159</x:v>
      </x:c>
      <x:c r="D292" s="16" t="str">
        <x:v>Детали фасонные</x:v>
      </x:c>
      <x:c r="E292" s="16" t="str">
        <x:v>ШТ</x:v>
      </x:c>
      <x:c r="F292" s="21" t="n">
        <x:v>1</x:v>
      </x:c>
      <x:c r="G292" s="17" t="n">
        <x:v>59256.8762</x:v>
      </x:c>
      <x:c r="H292" s="17" t="n">
        <x:f>G292*F292</x:f>
        <x:v>59256.8762</x:v>
      </x:c>
      <x:c r="I292" s="22" t="str">
        <x:f>HYPERLINK("https://etp-aktiv.ru/catalog/materialy/truboprovody/2000632517-V113/","Открыть позицию")</x:f>
        <x:v>Открыть позицию</x:v>
      </x:c>
    </x:row>
    <x:row r="293" ht="28" customHeight="1">
      <x:c r="A293" s="16" t="str">
        <x:v>Красноярская ТЭЦ-2</x:v>
      </x:c>
      <x:c r="B293" s="16" t="str">
        <x:v>2000719756-V113</x:v>
      </x:c>
      <x:c r="C293" s="16" t="str">
        <x:v>ТРУБА 09Г2С 159*9 ТУ14-3-1128-00</x:v>
      </x:c>
      <x:c r="D293" s="16" t="str">
        <x:v>Трубы черные бесшов</x:v>
      </x:c>
      <x:c r="E293" s="16" t="str">
        <x:v>Т</x:v>
      </x:c>
      <x:c r="F293" s="26" t="n">
        <x:v>1.33</x:v>
      </x:c>
      <x:c r="G293" s="17" t="n">
        <x:v>80062.5</x:v>
      </x:c>
      <x:c r="H293" s="17" t="n">
        <x:f>G293*F293</x:f>
        <x:v>106483.125</x:v>
      </x:c>
      <x:c r="I293" s="22" t="str">
        <x:f>HYPERLINK("https://etp-aktiv.ru/catalog/materialy/truby-stalnye-i-polimernye/2000719756-V113/","Открыть позицию")</x:f>
        <x:v>Открыть позицию</x:v>
      </x:c>
    </x:row>
    <x:row r="294" ht="28" customHeight="1">
      <x:c r="A294" s="16" t="str">
        <x:v>Красноярская ТЭЦ-2</x:v>
      </x:c>
      <x:c r="B294" s="16" t="str">
        <x:v>2000560666-V113</x:v>
      </x:c>
      <x:c r="C294" s="16" t="str">
        <x:v>ТРУБА 12Х18Н10Т 24*1 ГОСТ9941-81</x:v>
      </x:c>
      <x:c r="D294" s="16" t="str">
        <x:v>ТрбНж(свр/бш)КрмКтВД</x:v>
      </x:c>
      <x:c r="E294" s="16" t="str">
        <x:v>Т</x:v>
      </x:c>
      <x:c r="F294" s="30" t="n">
        <x:v>0.117</x:v>
      </x:c>
      <x:c r="G294" s="17" t="n">
        <x:v>255511.7614</x:v>
      </x:c>
      <x:c r="H294" s="17" t="n">
        <x:f>G294*F294</x:f>
        <x:v>29894.8760838</x:v>
      </x:c>
      <x:c r="I294" s="22" t="str">
        <x:f>HYPERLINK("https://etp-aktiv.ru/catalog/materialy/truby-stalnye-i-polimernye/2000560666-V113/","Открыть позицию")</x:f>
        <x:v>Открыть позицию</x:v>
      </x:c>
    </x:row>
    <x:row r="295" ht="28" customHeight="1">
      <x:c r="A295" s="16" t="str">
        <x:v>Красноярская ТЭЦ-2</x:v>
      </x:c>
      <x:c r="B295" s="16" t="str">
        <x:v>2000546071-V113</x:v>
      </x:c>
      <x:c r="C295" s="16" t="str">
        <x:v>ТРУБА 12Х1МФ 325*50 ТУ14-3Р-55-01</x:v>
      </x:c>
      <x:c r="D295" s="16" t="str">
        <x:v>Трубы котельные в/д</x:v>
      </x:c>
      <x:c r="E295" s="16" t="str">
        <x:v>Т</x:v>
      </x:c>
      <x:c r="F295" s="26" t="n">
        <x:v>3.368</x:v>
      </x:c>
      <x:c r="G295" s="17" t="n">
        <x:v>163741.5436</x:v>
      </x:c>
      <x:c r="H295" s="17" t="n">
        <x:f>G295*F295</x:f>
        <x:v>551481.5188448</x:v>
      </x:c>
      <x:c r="I295" s="22" t="str">
        <x:f>HYPERLINK("https://etp-aktiv.ru/catalog/materialy/truby-stalnye-i-polimernye/2000546071-V113/","Открыть позицию")</x:f>
        <x:v>Открыть позицию</x:v>
      </x:c>
    </x:row>
    <x:row r="296" ht="28" customHeight="1">
      <x:c r="A296" s="16" t="str">
        <x:v>Красноярская ТЭЦ-2</x:v>
      </x:c>
      <x:c r="B296" s="16" t="str">
        <x:v>2000545989-V113</x:v>
      </x:c>
      <x:c r="C296" s="16" t="str">
        <x:v>ТРУБА 12Х1МФ 76*12 ТУ14-3Р-55-01</x:v>
      </x:c>
      <x:c r="D296" s="16" t="str">
        <x:v>Трубы котельные в/д</x:v>
      </x:c>
      <x:c r="E296" s="16" t="str">
        <x:v>Т</x:v>
      </x:c>
      <x:c r="F296" s="30" t="n">
        <x:v>0.002</x:v>
      </x:c>
      <x:c r="G296" s="17" t="n">
        <x:v>262883.5992</x:v>
      </x:c>
      <x:c r="H296" s="17" t="n">
        <x:f>G296*F296</x:f>
        <x:v>525.7671984</x:v>
      </x:c>
      <x:c r="I296" s="22" t="str">
        <x:f>HYPERLINK("https://etp-aktiv.ru/catalog/materialy/truby-stalnye-i-polimernye/2000545989-V113/","Открыть позицию")</x:f>
        <x:v>Открыть позицию</x:v>
      </x:c>
    </x:row>
    <x:row r="297" ht="28" customHeight="1">
      <x:c r="A297" s="16" t="str">
        <x:v>Красноярская ТЭЦ-2</x:v>
      </x:c>
      <x:c r="B297" s="16" t="str">
        <x:v>2000885408-V113</x:v>
      </x:c>
      <x:c r="C297" s="16" t="str">
        <x:v>ТРУБА Б/Ш 09Г2С Г/Д 76*8 ГОСТ8732-78</x:v>
      </x:c>
      <x:c r="D297" s="16" t="str">
        <x:v>Трубы черные бесшов</x:v>
      </x:c>
      <x:c r="E297" s="16" t="str">
        <x:v>Т</x:v>
      </x:c>
      <x:c r="F297" s="30" t="n">
        <x:v>0.131</x:v>
      </x:c>
      <x:c r="G297" s="17" t="n">
        <x:v>63980.1916</x:v>
      </x:c>
      <x:c r="H297" s="17" t="n">
        <x:f>G297*F297</x:f>
        <x:v>8381.4050996</x:v>
      </x:c>
      <x:c r="I297" s="22" t="str">
        <x:f>HYPERLINK("https://etp-aktiv.ru/catalog/materialy/truby-stalnye-i-polimernye/2000885408-V113/","Открыть позицию")</x:f>
        <x:v>Открыть позицию</x:v>
      </x:c>
    </x:row>
    <x:row r="298" ht="28" customHeight="1">
      <x:c r="A298" s="16" t="str">
        <x:v>Красноярская ТЭЦ-2</x:v>
      </x:c>
      <x:c r="B298" s="16" t="str">
        <x:v>2000286639-V113</x:v>
      </x:c>
      <x:c r="C298" s="16" t="str">
        <x:v>ТРУБА ПЭ100 SDR17 560*33,2 ГОСТ18599-01</x:v>
      </x:c>
      <x:c r="D298" s="16" t="str">
        <x:v>Трубы полимерные</x:v>
      </x:c>
      <x:c r="E298" s="16" t="str">
        <x:v>М</x:v>
      </x:c>
      <x:c r="F298" s="26" t="n">
        <x:v>35.95</x:v>
      </x:c>
      <x:c r="G298" s="17" t="n">
        <x:v>6133.367</x:v>
      </x:c>
      <x:c r="H298" s="17" t="n">
        <x:f>G298*F298</x:f>
        <x:v>220494.54365000004</x:v>
      </x:c>
      <x:c r="I298" s="22" t="str">
        <x:f>HYPERLINK("https://etp-aktiv.ru/catalog/materialy/truby-stalnye-i-polimernye/2000286639-V113/","Открыть позицию")</x:f>
        <x:v>Открыть позицию</x:v>
      </x:c>
    </x:row>
    <x:row r="299" ht="28" customHeight="1">
      <x:c r="A299" s="16" t="str">
        <x:v>Красноярская ТЭЦ-2</x:v>
      </x:c>
      <x:c r="B299" s="16" t="str">
        <x:v>2000560176-V113</x:v>
      </x:c>
      <x:c r="C299" s="16" t="str">
        <x:v>ТРУБА СТ20 219*20 ГОСТ8731-74</x:v>
      </x:c>
      <x:c r="D299" s="16" t="str">
        <x:v>Трубы черные бесшов</x:v>
      </x:c>
      <x:c r="E299" s="16" t="str">
        <x:v>Т</x:v>
      </x:c>
      <x:c r="F299" s="26" t="n">
        <x:v>1.447</x:v>
      </x:c>
      <x:c r="G299" s="17" t="n">
        <x:v>77835.01180000001</x:v>
      </x:c>
      <x:c r="H299" s="17" t="n">
        <x:f>G299*F299</x:f>
        <x:v>112627.26207460002</x:v>
      </x:c>
      <x:c r="I299" s="22" t="str">
        <x:f>HYPERLINK("https://etp-aktiv.ru/catalog/materialy/truby-stalnye-i-polimernye/2000560176-V113/","Открыть позицию")</x:f>
        <x:v>Открыть позицию</x:v>
      </x:c>
    </x:row>
    <x:row r="300" ht="28" customHeight="1">
      <x:c r="A300" s="16" t="str">
        <x:v>Красноярская ТЭЦ-2</x:v>
      </x:c>
      <x:c r="B300" s="16" t="str">
        <x:v>2000560300-V113</x:v>
      </x:c>
      <x:c r="C300" s="16" t="str">
        <x:v>ТРУБА СТ20 76*8 ГОСТ8731-74</x:v>
      </x:c>
      <x:c r="D300" s="16" t="str">
        <x:v>Трубы черные бесшов</x:v>
      </x:c>
      <x:c r="E300" s="16" t="str">
        <x:v>Т</x:v>
      </x:c>
      <x:c r="F300" s="30" t="n">
        <x:v>0.015</x:v>
      </x:c>
      <x:c r="G300" s="17" t="n">
        <x:v>55580.76</x:v>
      </x:c>
      <x:c r="H300" s="17" t="n">
        <x:f>G300*F300</x:f>
        <x:v>833.7114</x:v>
      </x:c>
      <x:c r="I300" s="22" t="str">
        <x:f>HYPERLINK("https://etp-aktiv.ru/catalog/materialy/truby-stalnye-i-polimernye/2000560300-V113/","Открыть позицию")</x:f>
        <x:v>Открыть позицию</x:v>
      </x:c>
    </x:row>
    <x:row r="301" ht="28" customHeight="1">
      <x:c r="A301" s="16" t="str">
        <x:v>Красноярская ТЭЦ-2</x:v>
      </x:c>
      <x:c r="B301" s="16" t="str">
        <x:v>2000260583-V113</x:v>
      </x:c>
      <x:c r="C301" s="16" t="str">
        <x:v>ТРУБА СТ3ПС5 325*6 ГОСТ10705-80</x:v>
      </x:c>
      <x:c r="D301" s="16" t="str">
        <x:v>ТрбЧерСварМалСрдДиам</x:v>
      </x:c>
      <x:c r="E301" s="16" t="str">
        <x:v>Т</x:v>
      </x:c>
      <x:c r="F301" s="30" t="n">
        <x:v>0.519</x:v>
      </x:c>
      <x:c r="G301" s="17" t="n">
        <x:v>50785.3792</x:v>
      </x:c>
      <x:c r="H301" s="17" t="n">
        <x:f>G301*F301</x:f>
        <x:v>26357.611804800003</x:v>
      </x:c>
      <x:c r="I301" s="22" t="str">
        <x:f>HYPERLINK("https://etp-aktiv.ru/catalog/materialy/truby-stalnye-i-polimernye/2000260583-V113/","Открыть позицию")</x:f>
        <x:v>Открыть позицию</x:v>
      </x:c>
    </x:row>
    <x:row r="302" ht="28" customHeight="1">
      <x:c r="A302" s="16" t="str">
        <x:v>Красноярская ТЭЦ-2</x:v>
      </x:c>
      <x:c r="B302" s="16" t="str">
        <x:v>2001010235-V113</x:v>
      </x:c>
      <x:c r="C302" s="16" t="str">
        <x:v>ТРУБКА ТЕПЛОИЗОЛ K-FLEX ST 18*9*2000ММ</x:v>
      </x:c>
      <x:c r="D302" s="16" t="str">
        <x:v>Теплоизоляция</x:v>
      </x:c>
      <x:c r="E302" s="16" t="str">
        <x:v>ШТ</x:v>
      </x:c>
      <x:c r="F302" s="21" t="n">
        <x:v>8</x:v>
      </x:c>
      <x:c r="G302" s="17" t="n">
        <x:v>257.3468</x:v>
      </x:c>
      <x:c r="H302" s="17" t="n">
        <x:f>G302*F302</x:f>
        <x:v>2058.7744</x:v>
      </x:c>
      <x:c r="I302" s="22" t="str">
        <x:f>HYPERLINK("https://etp-aktiv.ru/catalog/materialy/teploizolyaciya/2001010235-V113/","Открыть позицию")</x:f>
        <x:v>Открыть позицию</x:v>
      </x:c>
    </x:row>
    <x:row r="303" ht="28" customHeight="1">
      <x:c r="A303" s="16" t="str">
        <x:v>Красноярская ТЭЦ-2</x:v>
      </x:c>
      <x:c r="B303" s="16" t="str">
        <x:v>2001009371-V113</x:v>
      </x:c>
      <x:c r="C303" s="16" t="str">
        <x:v>ТРУБКА ТЕПЛОИЗОЛЯЦИОННАЯ K-FLEX ST6 10*6</x:v>
      </x:c>
      <x:c r="D303" s="16" t="str">
        <x:v>Теплоизоляция</x:v>
      </x:c>
      <x:c r="E303" s="16" t="str">
        <x:v>М</x:v>
      </x:c>
      <x:c r="F303" s="21" t="n">
        <x:v>2</x:v>
      </x:c>
      <x:c r="G303" s="17" t="n">
        <x:v>451.5586</x:v>
      </x:c>
      <x:c r="H303" s="17" t="n">
        <x:f>G303*F303</x:f>
        <x:v>903.1172</x:v>
      </x:c>
      <x:c r="I303" s="22" t="str">
        <x:f>HYPERLINK("https://etp-aktiv.ru/catalog/materialy/teploizolyaciya/2001009371-V113/","Открыть позицию")</x:f>
        <x:v>Открыть позицию</x:v>
      </x:c>
    </x:row>
    <x:row r="304" ht="28" customHeight="1">
      <x:c r="A304" s="16" t="str">
        <x:v>Красноярская ТЭЦ-2</x:v>
      </x:c>
      <x:c r="B304" s="16" t="str">
        <x:v>2000043375-V113</x:v>
      </x:c>
      <x:c r="C304" s="16" t="str">
        <x:v>ТРУБКА ТКР ТИП 203 4ММ</x:v>
      </x:c>
      <x:c r="D304" s="16" t="str">
        <x:v>Э/изоляцион мат-лы</x:v>
      </x:c>
      <x:c r="E304" s="16" t="str">
        <x:v>М</x:v>
      </x:c>
      <x:c r="F304" s="21" t="n">
        <x:v>17</x:v>
      </x:c>
      <x:c r="G304" s="17" t="n">
        <x:v>12.0414</x:v>
      </x:c>
      <x:c r="H304" s="17" t="n">
        <x:f>G304*F304</x:f>
        <x:v>204.7038</x:v>
      </x:c>
      <x:c r="I304" s="22" t="str">
        <x:f>HYPERLINK("https://etp-aktiv.ru/catalog/materialy/ehlektroizolyacionnye-materialy/2000043375-V113/","Открыть позицию")</x:f>
        <x:v>Открыть позицию</x:v>
      </x:c>
    </x:row>
    <x:row r="305" ht="28" customHeight="1">
      <x:c r="A305" s="16" t="str">
        <x:v>Красноярская ТЭЦ-2</x:v>
      </x:c>
      <x:c r="B305" s="16" t="str">
        <x:v>2000553428-V113</x:v>
      </x:c>
      <x:c r="C305" s="16" t="str">
        <x:v>УШКО 05 ОСТ108.643.01-80</x:v>
      </x:c>
      <x:c r="D305" s="16" t="str">
        <x:v>Система опорн-подвес</x:v>
      </x:c>
      <x:c r="E305" s="16" t="str">
        <x:v>ШТ</x:v>
      </x:c>
      <x:c r="F305" s="21" t="n">
        <x:v>12</x:v>
      </x:c>
      <x:c r="G305" s="17" t="n">
        <x:v>177.0952</x:v>
      </x:c>
      <x:c r="H305" s="17" t="n">
        <x:f>G305*F305</x:f>
        <x:v>2125.1424</x:v>
      </x:c>
      <x:c r="I305" s="22" t="str">
        <x:f>HYPERLINK("https://etp-aktiv.ru/catalog/materialy/truboprovody/2000553428-V113/","Открыть позицию")</x:f>
        <x:v>Открыть позицию</x:v>
      </x:c>
    </x:row>
    <x:row r="306" ht="28" customHeight="1">
      <x:c r="A306" s="16" t="str">
        <x:v>Красноярская ТЭЦ-2</x:v>
      </x:c>
      <x:c r="B306" s="16" t="str">
        <x:v>2000008284-V113</x:v>
      </x:c>
      <x:c r="C306" s="16" t="str">
        <x:v>ФЛАНЕЦ СТ DN125 PN16 ИСП1 ГОСТ12820-80</x:v>
      </x:c>
      <x:c r="D306" s="16" t="str">
        <x:v>Детали фасонные</x:v>
      </x:c>
      <x:c r="E306" s="16" t="str">
        <x:v>ШТ</x:v>
      </x:c>
      <x:c r="F306" s="21" t="n">
        <x:v>2</x:v>
      </x:c>
      <x:c r="G306" s="17" t="n">
        <x:v>656.7748</x:v>
      </x:c>
      <x:c r="H306" s="17" t="n">
        <x:f>G306*F306</x:f>
        <x:v>1313.5496</x:v>
      </x:c>
      <x:c r="I306" s="22" t="str">
        <x:f>HYPERLINK("https://etp-aktiv.ru/catalog/materialy/truboprovody/2000008284-V113/","Открыть позицию")</x:f>
        <x:v>Открыть позицию</x:v>
      </x:c>
    </x:row>
    <x:row r="307" ht="28" customHeight="1">
      <x:c r="A307" s="16" t="str">
        <x:v>Красноярская ТЭЦ-2</x:v>
      </x:c>
      <x:c r="B307" s="16" t="str">
        <x:v>2000748949-V113</x:v>
      </x:c>
      <x:c r="C307" s="16" t="str">
        <x:v>ФЛАНЕЦ СТ20 DN125 PN16 ИСП1 ГОСТ12820-80</x:v>
      </x:c>
      <x:c r="D307" s="16" t="str">
        <x:v>Детали фасонные</x:v>
      </x:c>
      <x:c r="E307" s="16" t="str">
        <x:v>ШТ</x:v>
      </x:c>
      <x:c r="F307" s="21" t="n">
        <x:v>23</x:v>
      </x:c>
      <x:c r="G307" s="17" t="n">
        <x:v>998.631</x:v>
      </x:c>
      <x:c r="H307" s="17" t="n">
        <x:f>G307*F307</x:f>
        <x:v>22968.513</x:v>
      </x:c>
      <x:c r="I307" s="22" t="str">
        <x:f>HYPERLINK("https://etp-aktiv.ru/catalog/materialy/truboprovody/2000748949-V113/","Открыть позицию")</x:f>
        <x:v>Открыть позицию</x:v>
      </x:c>
    </x:row>
    <x:row r="308" ht="28" customHeight="1">
      <x:c r="A308" s="16" t="str">
        <x:v>Красноярская ТЭЦ-2</x:v>
      </x:c>
      <x:c r="B308" s="16" t="str">
        <x:v>2000160956-V113</x:v>
      </x:c>
      <x:c r="C308" s="16" t="str">
        <x:v>ФЛАНЕЦ СТ20 DN200 PN25 ИСП1 ГОСТ12820-80</x:v>
      </x:c>
      <x:c r="D308" s="16" t="str">
        <x:v>Детали фасонные</x:v>
      </x:c>
      <x:c r="E308" s="16" t="str">
        <x:v>ШТ</x:v>
      </x:c>
      <x:c r="F308" s="21" t="n">
        <x:v>1</x:v>
      </x:c>
      <x:c r="G308" s="17" t="n">
        <x:v>2297.6625999999997</x:v>
      </x:c>
      <x:c r="H308" s="17" t="n">
        <x:f>G308*F308</x:f>
        <x:v>2297.6625999999997</x:v>
      </x:c>
      <x:c r="I308" s="22" t="str">
        <x:f>HYPERLINK("https://etp-aktiv.ru/catalog/materialy/truboprovody/2000160956-V113/","Открыть позицию")</x:f>
        <x:v>Открыть позицию</x:v>
      </x:c>
    </x:row>
    <x:row r="309" ht="28" customHeight="1">
      <x:c r="A309" s="16" t="str">
        <x:v>Красноярская ТЭЦ-2</x:v>
      </x:c>
      <x:c r="B309" s="16" t="str">
        <x:v>2000822272-V113</x:v>
      </x:c>
      <x:c r="C309" s="16" t="str">
        <x:v>ШТУЦЕР 09Г2С 14*2-50 004 ОСТ34.10.761-97</x:v>
      </x:c>
      <x:c r="D309" s="16" t="str">
        <x:v>Детали фасонные</x:v>
      </x:c>
      <x:c r="E309" s="16" t="str">
        <x:v>ШТ</x:v>
      </x:c>
      <x:c r="F309" s="21" t="n">
        <x:v>8</x:v>
      </x:c>
      <x:c r="G309" s="17" t="n">
        <x:v>241.5478</x:v>
      </x:c>
      <x:c r="H309" s="17" t="n">
        <x:f>G309*F309</x:f>
        <x:v>1932.3824</x:v>
      </x:c>
      <x:c r="I309" s="22" t="str">
        <x:f>HYPERLINK("https://etp-aktiv.ru/catalog/materialy/truboprovody/2000822272-V113/","Открыть позицию")</x:f>
        <x:v>Открыть позицию</x:v>
      </x:c>
    </x:row>
    <x:row r="310" ht="28" customHeight="1">
      <x:c r="A310" s="16" t="str">
        <x:v>Красноярская ТЭЦ-2</x:v>
      </x:c>
      <x:c r="B310" s="16" t="str">
        <x:v>2000555389-V113</x:v>
      </x:c>
      <x:c r="C310" s="16" t="str">
        <x:v>ШТУЦЕР В-10Г2 32*2-400 044 ОСТ34.10.761</x:v>
      </x:c>
      <x:c r="D310" s="16" t="str">
        <x:v>Детали фасонные</x:v>
      </x:c>
      <x:c r="E310" s="16" t="str">
        <x:v>ШТ</x:v>
      </x:c>
      <x:c r="F310" s="21" t="n">
        <x:v>8</x:v>
      </x:c>
      <x:c r="G310" s="17" t="n">
        <x:v>911.6206</x:v>
      </x:c>
      <x:c r="H310" s="17" t="n">
        <x:f>G310*F310</x:f>
        <x:v>7292.9648</x:v>
      </x:c>
      <x:c r="I310" s="22" t="str">
        <x:f>HYPERLINK("https://etp-aktiv.ru/catalog/materialy/truboprovody/2000555389-V113/","Открыть позицию")</x:f>
        <x:v>Открыть позицию</x:v>
      </x:c>
    </x:row>
    <x:row r="311" ht="28" customHeight="1">
      <x:c r="A311" s="16" t="str">
        <x:v>Красноярская ТЭЦ-3</x:v>
      </x:c>
      <x:c r="B311" s="16" t="str">
        <x:v>2000527616-V114</x:v>
      </x:c>
      <x:c r="C311" s="16" t="str">
        <x:v>ВТУЛКА КЦ-401 РЕГ КЛАПАН DN200 БРАЖ9-4</x:v>
      </x:c>
      <x:c r="D311" s="16" t="str">
        <x:v>ЗЧ трубопр арматуры</x:v>
      </x:c>
      <x:c r="E311" s="16" t="str">
        <x:v>ШТ</x:v>
      </x:c>
      <x:c r="F311" s="21" t="n">
        <x:v>1</x:v>
      </x:c>
      <x:c r="G311" s="17" t="n">
        <x:v>5909.5946</x:v>
      </x:c>
      <x:c r="H311" s="17" t="n">
        <x:f>G311*F311</x:f>
        <x:v>5909.5946</x:v>
      </x:c>
      <x:c r="I311" s="22" t="str">
        <x:f>HYPERLINK("https://etp-aktiv.ru/catalog/materialy/truboprovodnaya-armatura-i-komplektuyushchie/2000527616-V114/","Открыть позицию")</x:f>
        <x:v>Открыть позицию</x:v>
      </x:c>
    </x:row>
    <x:row r="312" ht="28" customHeight="1">
      <x:c r="A312" s="16" t="str">
        <x:v>Красноярская ТЭЦ-3</x:v>
      </x:c>
      <x:c r="B312" s="16" t="str">
        <x:v>2000539417-V114</x:v>
      </x:c>
      <x:c r="C312" s="16" t="str">
        <x:v>ЗАДВИЖКА 30С946НЖ 400/6 Б099.098ФЛ D КОФ</x:v>
      </x:c>
      <x:c r="D312" s="16" t="str">
        <x:v>Задвиж/клапан стальн</x:v>
      </x:c>
      <x:c r="E312" s="16" t="str">
        <x:v>КМП</x:v>
      </x:c>
      <x:c r="F312" s="21" t="n">
        <x:v>1</x:v>
      </x:c>
      <x:c r="G312" s="17" t="n">
        <x:v>142968.75</x:v>
      </x:c>
      <x:c r="H312" s="17" t="n">
        <x:f>G312*F312</x:f>
        <x:v>142968.75</x:v>
      </x:c>
      <x:c r="I312" s="22" t="str">
        <x:f>HYPERLINK("https://etp-aktiv.ru/catalog/materialy/truboprovodnaya-armatura-i-komplektuyushchie/2000539417-V114/","Открыть позицию")</x:f>
        <x:v>Открыть позицию</x:v>
      </x:c>
    </x:row>
    <x:row r="313" ht="28" customHeight="1">
      <x:c r="A313" s="16" t="str">
        <x:v>Красноярская ТЭЦ-3</x:v>
      </x:c>
      <x:c r="B313" s="16" t="str">
        <x:v>2000539469-V114</x:v>
      </x:c>
      <x:c r="C313" s="16" t="str">
        <x:v>ЗАДВИЖКА ASTM A216-WCB 450/40 Р/ПР ФЛ А</x:v>
      </x:c>
      <x:c r="D313" s="16" t="str">
        <x:v>Иностранная арматура</x:v>
      </x:c>
      <x:c r="E313" s="16" t="str">
        <x:v>ШТ</x:v>
      </x:c>
      <x:c r="F313" s="21" t="n">
        <x:v>2</x:v>
      </x:c>
      <x:c r="G313" s="17" t="n">
        <x:v>383336.17559999996</x:v>
      </x:c>
      <x:c r="H313" s="17" t="n">
        <x:f>G313*F313</x:f>
        <x:v>766672.3511999999</x:v>
      </x:c>
      <x:c r="I313" s="22" t="str">
        <x:f>HYPERLINK("https://etp-aktiv.ru/catalog/materialy/truboprovodnaya-armatura-i-komplektuyushchie/2000539469-V114/","Открыть позицию")</x:f>
        <x:v>Открыть позицию</x:v>
      </x:c>
    </x:row>
    <x:row r="314" ht="28" customHeight="1">
      <x:c r="A314" s="16" t="str">
        <x:v>Красноярская ТЭЦ-3</x:v>
      </x:c>
      <x:c r="B314" s="16" t="str">
        <x:v>2000552626-V114</x:v>
      </x:c>
      <x:c r="C314" s="16" t="str">
        <x:v>КЛАПАН 1456-10-0 10/100 РУЧН П/П C 250°C</x:v>
      </x:c>
      <x:c r="D314" s="16" t="str">
        <x:v>Трубопр арматура в/д</x:v>
      </x:c>
      <x:c r="E314" s="16" t="str">
        <x:v>ШТ</x:v>
      </x:c>
      <x:c r="F314" s="21" t="n">
        <x:v>4</x:v>
      </x:c>
      <x:c r="G314" s="17" t="n">
        <x:v>1682.1604</x:v>
      </x:c>
      <x:c r="H314" s="17" t="n">
        <x:f>G314*F314</x:f>
        <x:v>6728.6416</x:v>
      </x:c>
      <x:c r="I314" s="22" t="str">
        <x:f>HYPERLINK("https://etp-aktiv.ru/catalog/materialy/truboprovodnaya-armatura-i-komplektuyushchie/2000552626-V114/","Открыть позицию")</x:f>
        <x:v>Открыть позицию</x:v>
      </x:c>
    </x:row>
    <x:row r="315" ht="28" customHeight="1">
      <x:c r="A315" s="16" t="str">
        <x:v>Красноярская ТЭЦ-3</x:v>
      </x:c>
      <x:c r="B315" s="16" t="str">
        <x:v>2000688727-V114</x:v>
      </x:c>
      <x:c r="C315" s="16" t="str">
        <x:v>КЛАПАН 15КЧ18П2 DN15 PN16 РП МУФ</x:v>
      </x:c>
      <x:c r="D315" s="16" t="str">
        <x:v>ЧугунАрмат (кр.затв)</x:v>
      </x:c>
      <x:c r="E315" s="16" t="str">
        <x:v>ШТ</x:v>
      </x:c>
      <x:c r="F315" s="21" t="n">
        <x:v>1</x:v>
      </x:c>
      <x:c r="G315" s="17" t="n">
        <x:v>131.2476</x:v>
      </x:c>
      <x:c r="H315" s="17" t="n">
        <x:f>G315*F315</x:f>
        <x:v>131.2476</x:v>
      </x:c>
      <x:c r="I315" s="22" t="str">
        <x:f>HYPERLINK("https://etp-aktiv.ru/catalog/materialy/truboprovodnaya-armatura-i-komplektuyushchie/2000688727-V114/","Открыть позицию")</x:f>
        <x:v>Открыть позицию</x:v>
      </x:c>
    </x:row>
    <x:row r="316" ht="28" customHeight="1">
      <x:c r="A316" s="16" t="str">
        <x:v>Красноярская ТЭЦ-3</x:v>
      </x:c>
      <x:c r="B316" s="16" t="str">
        <x:v>2000539610-V114</x:v>
      </x:c>
      <x:c r="C316" s="16" t="str">
        <x:v>КЛАПАН 15С52НЖ DN20 PN63 Р/П ФЛ А</x:v>
      </x:c>
      <x:c r="D316" s="16" t="str">
        <x:v>Задвиж/клапан стальн</x:v>
      </x:c>
      <x:c r="E316" s="16" t="str">
        <x:v>ШТ</x:v>
      </x:c>
      <x:c r="F316" s="21" t="n">
        <x:v>4</x:v>
      </x:c>
      <x:c r="G316" s="17" t="n">
        <x:v>2230.3186</x:v>
      </x:c>
      <x:c r="H316" s="17" t="n">
        <x:f>G316*F316</x:f>
        <x:v>8921.2744</x:v>
      </x:c>
      <x:c r="I316" s="22" t="str">
        <x:f>HYPERLINK("https://etp-aktiv.ru/catalog/materialy/truboprovodnaya-armatura-i-komplektuyushchie/2000539610-V114/","Открыть позицию")</x:f>
        <x:v>Открыть позицию</x:v>
      </x:c>
    </x:row>
    <x:row r="317" ht="28" customHeight="1">
      <x:c r="A317" s="16" t="str">
        <x:v>Красноярская ТЭЦ-3</x:v>
      </x:c>
      <x:c r="B317" s="16" t="str">
        <x:v>2000539628-V114</x:v>
      </x:c>
      <x:c r="C317" s="16" t="str">
        <x:v>КЛАПАН 15С65НЖ DN25 PN16 Р.П МАХ ФЛ A</x:v>
      </x:c>
      <x:c r="D317" s="16" t="str">
        <x:v>Задвиж/клапан стальн</x:v>
      </x:c>
      <x:c r="E317" s="16" t="str">
        <x:v>ШТ</x:v>
      </x:c>
      <x:c r="F317" s="21" t="n">
        <x:v>1</x:v>
      </x:c>
      <x:c r="G317" s="17" t="n">
        <x:v>1817.9098</x:v>
      </x:c>
      <x:c r="H317" s="17" t="n">
        <x:f>G317*F317</x:f>
        <x:v>1817.9098</x:v>
      </x:c>
      <x:c r="I317" s="22" t="str">
        <x:f>HYPERLINK("https://etp-aktiv.ru/catalog/materialy/truboprovodnaya-armatura-i-komplektuyushchie/2000539628-V114/","Открыть позицию")</x:f>
        <x:v>Открыть позицию</x:v>
      </x:c>
    </x:row>
    <x:row r="318" ht="28" customHeight="1">
      <x:c r="A318" s="16" t="str">
        <x:v>Красноярская ТЭЦ-3</x:v>
      </x:c>
      <x:c r="B318" s="16" t="str">
        <x:v>2000552656-V114</x:v>
      </x:c>
      <x:c r="C318" s="16" t="str">
        <x:v>КЛАПАН 6С-13-3Э DN150 PN100 Э/П П/П МЭОФ</x:v>
      </x:c>
      <x:c r="D318" s="16" t="str">
        <x:v>Трубопр арматура в/д</x:v>
      </x:c>
      <x:c r="E318" s="16" t="str">
        <x:v>ШТ</x:v>
      </x:c>
      <x:c r="F318" s="21" t="n">
        <x:v>1</x:v>
      </x:c>
      <x:c r="G318" s="17" t="n">
        <x:v>135794.14959999998</x:v>
      </x:c>
      <x:c r="H318" s="17" t="n">
        <x:f>G318*F318</x:f>
        <x:v>135794.14959999998</x:v>
      </x:c>
      <x:c r="I318" s="22" t="str">
        <x:f>HYPERLINK("https://etp-aktiv.ru/catalog/materialy/truboprovodnaya-armatura-i-komplektuyushchie/2000552656-V114/","Открыть позицию")</x:f>
        <x:v>Открыть позицию</x:v>
      </x:c>
    </x:row>
    <x:row r="319" ht="28" customHeight="1">
      <x:c r="A319" s="16" t="str">
        <x:v>Красноярская ТЭЦ-3</x:v>
      </x:c>
      <x:c r="B319" s="16" t="str">
        <x:v>2000870697-V114</x:v>
      </x:c>
      <x:c r="C319" s="16" t="str">
        <x:v>КЛАПАН ВОЗДУШНЫЙ FM01C145216 100/16 ФЛ</x:v>
      </x:c>
      <x:c r="D319" s="16" t="str">
        <x:v>Прочая арматура</x:v>
      </x:c>
      <x:c r="E319" s="16" t="str">
        <x:v>ШТ</x:v>
      </x:c>
      <x:c r="F319" s="21" t="n">
        <x:v>2</x:v>
      </x:c>
      <x:c r="G319" s="17" t="n">
        <x:v>70160.248</x:v>
      </x:c>
      <x:c r="H319" s="17" t="n">
        <x:f>G319*F319</x:f>
        <x:v>140320.496</x:v>
      </x:c>
      <x:c r="I319" s="22" t="str">
        <x:f>HYPERLINK("https://etp-aktiv.ru/catalog/materialy/truboprovodnaya-armatura-i-komplektuyushchie/2000870697-V114/","Открыть позицию")</x:f>
        <x:v>Открыть позицию</x:v>
      </x:c>
    </x:row>
    <x:row r="320" ht="28" customHeight="1">
      <x:c r="A320" s="16" t="str">
        <x:v>Красноярская ТЭЦ-3</x:v>
      </x:c>
      <x:c r="B320" s="16" t="str">
        <x:v>2000552687-V114</x:v>
      </x:c>
      <x:c r="C320" s="16" t="str">
        <x:v>КЛАПАН КЗ 104.10.00 DN10 PN373 Р.П П.П</x:v>
      </x:c>
      <x:c r="D320" s="16" t="str">
        <x:v>Трубопр арматура в/д</x:v>
      </x:c>
      <x:c r="E320" s="16" t="str">
        <x:v>ШТ</x:v>
      </x:c>
      <x:c r="F320" s="21" t="n">
        <x:v>1</x:v>
      </x:c>
      <x:c r="G320" s="17" t="n">
        <x:v>2495.2293999999997</x:v>
      </x:c>
      <x:c r="H320" s="17" t="n">
        <x:f>G320*F320</x:f>
        <x:v>2495.2293999999997</x:v>
      </x:c>
      <x:c r="I320" s="22" t="str">
        <x:f>HYPERLINK("https://etp-aktiv.ru/catalog/materialy/truboprovodnaya-armatura-i-komplektuyushchie/2000552687-V114/","Открыть позицию")</x:f>
        <x:v>Открыть позицию</x:v>
      </x:c>
    </x:row>
    <x:row r="321" ht="28" customHeight="1">
      <x:c r="A321" s="16" t="str">
        <x:v>Красноярская ТЭЦ-3</x:v>
      </x:c>
      <x:c r="B321" s="16" t="str">
        <x:v>2000572756-V114</x:v>
      </x:c>
      <x:c r="C321" s="16" t="str">
        <x:v>КЛАПАН КЗР105.20.00-Р DN20 PN250 Р/П П/П</x:v>
      </x:c>
      <x:c r="D321" s="16" t="str">
        <x:v>Трубопр арматура в/д</x:v>
      </x:c>
      <x:c r="E321" s="16" t="str">
        <x:v>ШТ</x:v>
      </x:c>
      <x:c r="F321" s="21" t="n">
        <x:v>5</x:v>
      </x:c>
      <x:c r="G321" s="17" t="n">
        <x:v>3259.6936</x:v>
      </x:c>
      <x:c r="H321" s="17" t="n">
        <x:f>G321*F321</x:f>
        <x:v>16298.468</x:v>
      </x:c>
      <x:c r="I321" s="22" t="str">
        <x:f>HYPERLINK("https://etp-aktiv.ru/catalog/materialy/truboprovodnaya-armatura-i-komplektuyushchie/2000572756-V114/","Открыть позицию")</x:f>
        <x:v>Открыть позицию</x:v>
      </x:c>
    </x:row>
    <x:row r="322" ht="28" customHeight="1">
      <x:c r="A322" s="16" t="str">
        <x:v>Красноярская ТЭЦ-3</x:v>
      </x:c>
      <x:c r="B322" s="16" t="str">
        <x:v>2000539866-V114</x:v>
      </x:c>
      <x:c r="C322" s="16" t="str">
        <x:v>КЛАПАН КЭО 25/40/338/131 ЭВ 10/АС/230/1</x:v>
      </x:c>
      <x:c r="D322" s="16" t="str">
        <x:v>Прочая арматура</x:v>
      </x:c>
      <x:c r="E322" s="16" t="str">
        <x:v>ШТ</x:v>
      </x:c>
      <x:c r="F322" s="21" t="n">
        <x:v>1</x:v>
      </x:c>
      <x:c r="G322" s="17" t="n">
        <x:v>55471.875</x:v>
      </x:c>
      <x:c r="H322" s="17" t="n">
        <x:f>G322*F322</x:f>
        <x:v>55471.875</x:v>
      </x:c>
      <x:c r="I322" s="22" t="str">
        <x:f>HYPERLINK("https://etp-aktiv.ru/catalog/materialy/truboprovodnaya-armatura-i-komplektuyushchie/2000539866-V114/","Открыть позицию")</x:f>
        <x:v>Открыть позицию</x:v>
      </x:c>
    </x:row>
    <x:row r="323" ht="28" customHeight="1">
      <x:c r="A323" s="16" t="str">
        <x:v>Красноярская ТЭЦ-3</x:v>
      </x:c>
      <x:c r="B323" s="16" t="str">
        <x:v>2000953902-V114</x:v>
      </x:c>
      <x:c r="C323" s="16" t="str">
        <x:v>КОЛЬЦО 34*22*6 КГФ-Г</x:v>
      </x:c>
      <x:c r="D323" s="16" t="str">
        <x:v>ЗЧ трубопр арматуры</x:v>
      </x:c>
      <x:c r="E323" s="16" t="str">
        <x:v>ШТ</x:v>
      </x:c>
      <x:c r="F323" s="21" t="n">
        <x:v>14</x:v>
      </x:c>
      <x:c r="G323" s="17" t="n">
        <x:v>39.9428</x:v>
      </x:c>
      <x:c r="H323" s="17" t="n">
        <x:f>G323*F323</x:f>
        <x:v>559.1992</x:v>
      </x:c>
      <x:c r="I323" s="22" t="str">
        <x:f>HYPERLINK("https://etp-aktiv.ru/catalog/materialy/truboprovodnaya-armatura-i-komplektuyushchie/2000953902-V114/","Открыть позицию")</x:f>
        <x:v>Открыть позицию</x:v>
      </x:c>
    </x:row>
    <x:row r="324" ht="28" customHeight="1">
      <x:c r="A324" s="16" t="str">
        <x:v>Красноярская ТЭЦ-3</x:v>
      </x:c>
      <x:c r="B324" s="16" t="str">
        <x:v>2000535008-V114</x:v>
      </x:c>
      <x:c r="C324" s="16" t="str">
        <x:v>КОМПЕНСАТОР 1050*1350-2 17 ПГВУ 246</x:v>
      </x:c>
      <x:c r="D324" s="16" t="str">
        <x:v>Компенсаторы</x:v>
      </x:c>
      <x:c r="E324" s="16" t="str">
        <x:v>ШТ</x:v>
      </x:c>
      <x:c r="F324" s="21" t="n">
        <x:v>1</x:v>
      </x:c>
      <x:c r="G324" s="17" t="n">
        <x:v>4737.0160000000005</x:v>
      </x:c>
      <x:c r="H324" s="17" t="n">
        <x:f>G324*F324</x:f>
        <x:v>4737.0160000000005</x:v>
      </x:c>
      <x:c r="I324" s="22" t="str">
        <x:f>HYPERLINK("https://etp-aktiv.ru/catalog/materialy/truboprovody/2000535008-V114/","Открыть позицию")</x:f>
        <x:v>Открыть позицию</x:v>
      </x:c>
    </x:row>
    <x:row r="325" ht="28" customHeight="1">
      <x:c r="A325" s="16" t="str">
        <x:v>Красноярская ТЭЦ-3</x:v>
      </x:c>
      <x:c r="B325" s="16" t="str">
        <x:v>2000534957-V114</x:v>
      </x:c>
      <x:c r="C325" s="16" t="str">
        <x:v>КОМПЕНСАТОР 1200*2400-2 22 ПГВУ 249</x:v>
      </x:c>
      <x:c r="D325" s="16" t="str">
        <x:v>Компенсаторы</x:v>
      </x:c>
      <x:c r="E325" s="16" t="str">
        <x:v>ШТ</x:v>
      </x:c>
      <x:c r="F325" s="21" t="n">
        <x:v>5</x:v>
      </x:c>
      <x:c r="G325" s="17" t="n">
        <x:v>44089.0066</x:v>
      </x:c>
      <x:c r="H325" s="17" t="n">
        <x:f>G325*F325</x:f>
        <x:v>220445.033</x:v>
      </x:c>
      <x:c r="I325" s="22" t="str">
        <x:f>HYPERLINK("https://etp-aktiv.ru/catalog/materialy/truboprovody/2000534957-V114/","Открыть позицию")</x:f>
        <x:v>Открыть позицию</x:v>
      </x:c>
    </x:row>
    <x:row r="326" ht="28" customHeight="1">
      <x:c r="A326" s="16" t="str">
        <x:v>Красноярская ТЭЦ-3</x:v>
      </x:c>
      <x:c r="B326" s="16" t="str">
        <x:v>2000534961-V114</x:v>
      </x:c>
      <x:c r="C326" s="16" t="str">
        <x:v>КОМПЕНСАТОР 2Л 2400-2 21 ПГВУ243-76</x:v>
      </x:c>
      <x:c r="D326" s="16" t="str">
        <x:v>Компенсаторы</x:v>
      </x:c>
      <x:c r="E326" s="16" t="str">
        <x:v>ШТ</x:v>
      </x:c>
      <x:c r="F326" s="21" t="n">
        <x:v>3</x:v>
      </x:c>
      <x:c r="G326" s="17" t="n">
        <x:v>9542.156799999999</x:v>
      </x:c>
      <x:c r="H326" s="17" t="n">
        <x:f>G326*F326</x:f>
        <x:v>28626.4704</x:v>
      </x:c>
      <x:c r="I326" s="22" t="str">
        <x:f>HYPERLINK("https://etp-aktiv.ru/catalog/materialy/truboprovody/2000534961-V114/","Открыть позицию")</x:f>
        <x:v>Открыть позицию</x:v>
      </x:c>
    </x:row>
    <x:row r="327" ht="28" customHeight="1">
      <x:c r="A327" s="16" t="str">
        <x:v>Красноярская ТЭЦ-3</x:v>
      </x:c>
      <x:c r="B327" s="16" t="str">
        <x:v>2000609974-V114</x:v>
      </x:c>
      <x:c r="C327" s="16" t="str">
        <x:v>КОМПЕНСАТОР 2ЛИНЗ 19 2000 2 ПГВУ243-76</x:v>
      </x:c>
      <x:c r="D327" s="16" t="str">
        <x:v>Компенсаторы</x:v>
      </x:c>
      <x:c r="E327" s="16" t="str">
        <x:v>ШТ</x:v>
      </x:c>
      <x:c r="F327" s="21" t="n">
        <x:v>1</x:v>
      </x:c>
      <x:c r="G327" s="17" t="n">
        <x:v>31495.3858</x:v>
      </x:c>
      <x:c r="H327" s="17" t="n">
        <x:f>G327*F327</x:f>
        <x:v>31495.3858</x:v>
      </x:c>
      <x:c r="I327" s="22" t="str">
        <x:f>HYPERLINK("https://etp-aktiv.ru/catalog/materialy/truboprovody/2000609974-V114/","Открыть позицию")</x:f>
        <x:v>Открыть позицию</x:v>
      </x:c>
    </x:row>
    <x:row r="328" ht="28" customHeight="1">
      <x:c r="A328" s="16" t="str">
        <x:v>Красноярская ТЭЦ-3</x:v>
      </x:c>
      <x:c r="B328" s="16" t="str">
        <x:v>2000590367-V114</x:v>
      </x:c>
      <x:c r="C328" s="16" t="str">
        <x:v>КОМПЕНСАТОР 3-Л 3950*3950 480724-ТМ Л3</x:v>
      </x:c>
      <x:c r="D328" s="16" t="str">
        <x:v>Компенсаторы</x:v>
      </x:c>
      <x:c r="E328" s="16" t="str">
        <x:v>ШТ</x:v>
      </x:c>
      <x:c r="F328" s="21" t="n">
        <x:v>2</x:v>
      </x:c>
      <x:c r="G328" s="17" t="n">
        <x:v>90716.76</x:v>
      </x:c>
      <x:c r="H328" s="17" t="n">
        <x:f>G328*F328</x:f>
        <x:v>181433.52</x:v>
      </x:c>
      <x:c r="I328" s="22" t="str">
        <x:f>HYPERLINK("https://etp-aktiv.ru/catalog/materialy/truboprovody/2000590367-V114/","Открыть позицию")</x:f>
        <x:v>Открыть позицию</x:v>
      </x:c>
    </x:row>
    <x:row r="329" ht="28" customHeight="1">
      <x:c r="A329" s="16" t="str">
        <x:v>Красноярская ТЭЦ-3</x:v>
      </x:c>
      <x:c r="B329" s="16" t="str">
        <x:v>2000534988-V114</x:v>
      </x:c>
      <x:c r="C329" s="16" t="str">
        <x:v>КОМПЕНСАТОР 4Л 21ПГВУ245-76 DУ2400 ИСП.2</x:v>
      </x:c>
      <x:c r="D329" s="16" t="str">
        <x:v>Компенсаторы</x:v>
      </x:c>
      <x:c r="E329" s="16" t="str">
        <x:v>ШТ</x:v>
      </x:c>
      <x:c r="F329" s="21" t="n">
        <x:v>2</x:v>
      </x:c>
      <x:c r="G329" s="17" t="n">
        <x:v>14861.991199999999</x:v>
      </x:c>
      <x:c r="H329" s="17" t="n">
        <x:f>G329*F329</x:f>
        <x:v>29723.982399999997</x:v>
      </x:c>
      <x:c r="I329" s="22" t="str">
        <x:f>HYPERLINK("https://etp-aktiv.ru/catalog/materialy/truboprovody/2000534988-V114/","Открыть позицию")</x:f>
        <x:v>Открыть позицию</x:v>
      </x:c>
    </x:row>
    <x:row r="330" ht="28" customHeight="1">
      <x:c r="A330" s="16" t="str">
        <x:v>Красноярская ТЭЦ-3</x:v>
      </x:c>
      <x:c r="B330" s="16" t="str">
        <x:v>2000697337-V114</x:v>
      </x:c>
      <x:c r="C330" s="16" t="str">
        <x:v>КОМПЕНСАТОР 4Л ПГВУ249-92 1900*1700 ИСП1</x:v>
      </x:c>
      <x:c r="D330" s="16" t="str">
        <x:v>Компенсаторы</x:v>
      </x:c>
      <x:c r="E330" s="16" t="str">
        <x:v>ШТ</x:v>
      </x:c>
      <x:c r="F330" s="21" t="n">
        <x:v>3</x:v>
      </x:c>
      <x:c r="G330" s="17" t="n">
        <x:v>93050.01</x:v>
      </x:c>
      <x:c r="H330" s="17" t="n">
        <x:f>G330*F330</x:f>
        <x:v>279150.02999999997</x:v>
      </x:c>
      <x:c r="I330" s="22" t="str">
        <x:f>HYPERLINK("https://etp-aktiv.ru/catalog/materialy/truboprovody/2000697337-V114/","Открыть позицию")</x:f>
        <x:v>Открыть позицию</x:v>
      </x:c>
    </x:row>
    <x:row r="331" ht="28" customHeight="1">
      <x:c r="A331" s="16" t="str">
        <x:v>Красноярская ТЭЦ-3</x:v>
      </x:c>
      <x:c r="B331" s="16" t="str">
        <x:v>2000535011-V114</x:v>
      </x:c>
      <x:c r="C331" s="16" t="str">
        <x:v>КОМПЕНСАТОР ЛИНЗОВЫЙ 1200-1 14 ПГВУ 243</x:v>
      </x:c>
      <x:c r="D331" s="16" t="str">
        <x:v>Компенсаторы</x:v>
      </x:c>
      <x:c r="E331" s="16" t="str">
        <x:v>ШТ</x:v>
      </x:c>
      <x:c r="F331" s="21" t="n">
        <x:v>1</x:v>
      </x:c>
      <x:c r="G331" s="17" t="n">
        <x:v>16183.836800000001</x:v>
      </x:c>
      <x:c r="H331" s="17" t="n">
        <x:f>G331*F331</x:f>
        <x:v>16183.836800000001</x:v>
      </x:c>
      <x:c r="I331" s="22" t="str">
        <x:f>HYPERLINK("https://etp-aktiv.ru/catalog/materialy/truboprovody/2000535011-V114/","Открыть позицию")</x:f>
        <x:v>Открыть позицию</x:v>
      </x:c>
    </x:row>
    <x:row r="332" ht="28" customHeight="1">
      <x:c r="A332" s="16" t="str">
        <x:v>Красноярская ТЭЦ-3</x:v>
      </x:c>
      <x:c r="B332" s="16" t="str">
        <x:v>2000535013-V114</x:v>
      </x:c>
      <x:c r="C332" s="16" t="str">
        <x:v>КОМПЕНСАТОР ЛИНЗОВЫЙ 1600-1 17 ПГВУ 243</x:v>
      </x:c>
      <x:c r="D332" s="16" t="str">
        <x:v>Компенсаторы</x:v>
      </x:c>
      <x:c r="E332" s="16" t="str">
        <x:v>ШТ</x:v>
      </x:c>
      <x:c r="F332" s="21" t="n">
        <x:v>5</x:v>
      </x:c>
      <x:c r="G332" s="17" t="n">
        <x:v>13018.4736</x:v>
      </x:c>
      <x:c r="H332" s="17" t="n">
        <x:f>G332*F332</x:f>
        <x:v>65092.367999999995</x:v>
      </x:c>
      <x:c r="I332" s="22" t="str">
        <x:f>HYPERLINK("https://etp-aktiv.ru/catalog/materialy/truboprovody/2000535013-V114/","Открыть позицию")</x:f>
        <x:v>Открыть позицию</x:v>
      </x:c>
    </x:row>
    <x:row r="333" ht="28" customHeight="1">
      <x:c r="A333" s="16" t="str">
        <x:v>Красноярская ТЭЦ-3</x:v>
      </x:c>
      <x:c r="B333" s="16" t="str">
        <x:v>2000590166-V114</x:v>
      </x:c>
      <x:c r="C333" s="16" t="str">
        <x:v>КОМПЕНСАТОР ЛИНЗОВЫЙ 700-1 09 ПГВУ 243</x:v>
      </x:c>
      <x:c r="D333" s="16" t="str">
        <x:v>Компенсаторы</x:v>
      </x:c>
      <x:c r="E333" s="16" t="str">
        <x:v>ШТ</x:v>
      </x:c>
      <x:c r="F333" s="21" t="n">
        <x:v>1</x:v>
      </x:c>
      <x:c r="G333" s="17" t="n">
        <x:v>13319.5818</x:v>
      </x:c>
      <x:c r="H333" s="17" t="n">
        <x:f>G333*F333</x:f>
        <x:v>13319.5818</x:v>
      </x:c>
      <x:c r="I333" s="22" t="str">
        <x:f>HYPERLINK("https://etp-aktiv.ru/catalog/materialy/truboprovody/2000590166-V114/","Открыть позицию")</x:f>
        <x:v>Открыть позицию</x:v>
      </x:c>
    </x:row>
    <x:row r="334" ht="28" customHeight="1">
      <x:c r="A334" s="16" t="str">
        <x:v>Красноярская ТЭЦ-3</x:v>
      </x:c>
      <x:c r="B334" s="16" t="str">
        <x:v>2000552818-V114</x:v>
      </x:c>
      <x:c r="C334" s="16" t="str">
        <x:v>КОНТРГАЙКА СТ20 DN25 ГОСТ8968-75</x:v>
      </x:c>
      <x:c r="D334" s="16" t="str">
        <x:v>ЗЧ трубопр арматуры</x:v>
      </x:c>
      <x:c r="E334" s="16" t="str">
        <x:v>ШТ</x:v>
      </x:c>
      <x:c r="F334" s="21" t="n">
        <x:v>15</x:v>
      </x:c>
      <x:c r="G334" s="17" t="n">
        <x:v>16.9946</x:v>
      </x:c>
      <x:c r="H334" s="17" t="n">
        <x:f>G334*F334</x:f>
        <x:v>254.91899999999998</x:v>
      </x:c>
      <x:c r="I334" s="22" t="str">
        <x:f>HYPERLINK("https://etp-aktiv.ru/catalog/materialy/truboprovodnaya-armatura-i-komplektuyushchie/2000552818-V114/","Открыть позицию")</x:f>
        <x:v>Открыть позицию</x:v>
      </x:c>
    </x:row>
    <x:row r="335" ht="28" customHeight="1">
      <x:c r="A335" s="16" t="str">
        <x:v>Красноярская ТЭЦ-3</x:v>
      </x:c>
      <x:c r="B335" s="16" t="str">
        <x:v>2000984639-V114</x:v>
      </x:c>
      <x:c r="C335" s="16" t="str">
        <x:v>КРАН КТШ14 М20*1,5(НАРУЖ)/М20*1,5(ВНУТР)</x:v>
      </x:c>
      <x:c r="D335" s="16" t="str">
        <x:v>Краны шаров.стальн</x:v>
      </x:c>
      <x:c r="E335" s="16" t="str">
        <x:v>ШТ</x:v>
      </x:c>
      <x:c r="F335" s="21" t="n">
        <x:v>2</x:v>
      </x:c>
      <x:c r="G335" s="17" t="n">
        <x:v>8578.125</x:v>
      </x:c>
      <x:c r="H335" s="17" t="n">
        <x:f>G335*F335</x:f>
        <x:v>17156.25</x:v>
      </x:c>
      <x:c r="I335" s="22" t="str">
        <x:f>HYPERLINK("https://etp-aktiv.ru/catalog/materialy/truboprovodnaya-armatura-i-komplektuyushchie/2000984639-V114/","Открыть позицию")</x:f>
        <x:v>Открыть позицию</x:v>
      </x:c>
    </x:row>
    <x:row r="336" ht="28" customHeight="1">
      <x:c r="A336" s="16" t="str">
        <x:v>Красноярская ТЭЦ-3</x:v>
      </x:c>
      <x:c r="B336" s="16" t="str">
        <x:v>2000540304-V114</x:v>
      </x:c>
      <x:c r="C336" s="16" t="str">
        <x:v>КРАН СТ20 СП ВОДА 200° ПП 50/16 РП A</x:v>
      </x:c>
      <x:c r="D336" s="16" t="str">
        <x:v>Краны шаров.стальн</x:v>
      </x:c>
      <x:c r="E336" s="16" t="str">
        <x:v>ШТ</x:v>
      </x:c>
      <x:c r="F336" s="21" t="n">
        <x:v>2</x:v>
      </x:c>
      <x:c r="G336" s="17" t="n">
        <x:v>904.8252</x:v>
      </x:c>
      <x:c r="H336" s="17" t="n">
        <x:f>G336*F336</x:f>
        <x:v>1809.6504</x:v>
      </x:c>
      <x:c r="I336" s="22" t="str">
        <x:f>HYPERLINK("https://etp-aktiv.ru/catalog/materialy/truboprovodnaya-armatura-i-komplektuyushchie/2000540304-V114/","Открыть позицию")</x:f>
        <x:v>Открыть позицию</x:v>
      </x:c>
    </x:row>
    <x:row r="337" ht="28" customHeight="1">
      <x:c r="A337" s="16" t="str">
        <x:v>Красноярская ТЭЦ-3</x:v>
      </x:c>
      <x:c r="B337" s="16" t="str">
        <x:v>2000540328-V114</x:v>
      </x:c>
      <x:c r="C337" s="16" t="str">
        <x:v>КРАН СТ20 СП ВОДА 200° ФЛ 200/16 РЕД A</x:v>
      </x:c>
      <x:c r="D337" s="16" t="str">
        <x:v>Краны шаров.стальн</x:v>
      </x:c>
      <x:c r="E337" s="16" t="str">
        <x:v>ШТ</x:v>
      </x:c>
      <x:c r="F337" s="21" t="n">
        <x:v>1</x:v>
      </x:c>
      <x:c r="G337" s="17" t="n">
        <x:v>13802.213800000001</x:v>
      </x:c>
      <x:c r="H337" s="17" t="n">
        <x:f>G337*F337</x:f>
        <x:v>13802.213800000001</x:v>
      </x:c>
      <x:c r="I337" s="22" t="str">
        <x:f>HYPERLINK("https://etp-aktiv.ru/catalog/materialy/truboprovodnaya-armatura-i-komplektuyushchie/2000540328-V114/","Открыть позицию")</x:f>
        <x:v>Открыть позицию</x:v>
      </x:c>
    </x:row>
    <x:row r="338" ht="28" customHeight="1">
      <x:c r="A338" s="16" t="str">
        <x:v>Красноярская ТЭЦ-3</x:v>
      </x:c>
      <x:c r="B338" s="16" t="str">
        <x:v>2000831511-V114</x:v>
      </x:c>
      <x:c r="C338" s="16" t="str">
        <x:v>МУФТА ЛАТУН 1" VALTEC VTR.270.N.0006</x:v>
      </x:c>
      <x:c r="D338" s="16" t="str">
        <x:v>Детали фасонные</x:v>
      </x:c>
      <x:c r="E338" s="16" t="str">
        <x:v>ШТ</x:v>
      </x:c>
      <x:c r="F338" s="21" t="n">
        <x:v>2</x:v>
      </x:c>
      <x:c r="G338" s="17" t="n">
        <x:v>159.46620000000001</x:v>
      </x:c>
      <x:c r="H338" s="17" t="n">
        <x:f>G338*F338</x:f>
        <x:v>318.93240000000003</x:v>
      </x:c>
      <x:c r="I338" s="22" t="str">
        <x:f>HYPERLINK("https://etp-aktiv.ru/catalog/materialy/truboprovody/2000831511-V114/","Открыть позицию")</x:f>
        <x:v>Открыть позицию</x:v>
      </x:c>
    </x:row>
    <x:row r="339" ht="28" customHeight="1">
      <x:c r="A339" s="16" t="str">
        <x:v>Красноярская ТЭЦ-3</x:v>
      </x:c>
      <x:c r="B339" s="16" t="str">
        <x:v>2000764944-V114</x:v>
      </x:c>
      <x:c r="C339" s="16" t="str">
        <x:v>ОТВОД 90 08Х18Н10Т 89*5 PN25 СТО79814898</x:v>
      </x:c>
      <x:c r="D339" s="16" t="str">
        <x:v>Детали фасонные</x:v>
      </x:c>
      <x:c r="E339" s="16" t="str">
        <x:v>ШТ</x:v>
      </x:c>
      <x:c r="F339" s="21" t="n">
        <x:v>1</x:v>
      </x:c>
      <x:c r="G339" s="17" t="n">
        <x:v>6859.0718</x:v>
      </x:c>
      <x:c r="H339" s="17" t="n">
        <x:f>G339*F339</x:f>
        <x:v>6859.0718</x:v>
      </x:c>
      <x:c r="I339" s="22" t="str">
        <x:f>HYPERLINK("https://etp-aktiv.ru/catalog/materialy/truboprovody/2000764944-V114/","Открыть позицию")</x:f>
        <x:v>Открыть позицию</x:v>
      </x:c>
    </x:row>
    <x:row r="340" ht="28" customHeight="1">
      <x:c r="A340" s="16" t="str">
        <x:v>Красноярская ТЭЦ-3</x:v>
      </x:c>
      <x:c r="B340" s="16" t="str">
        <x:v>2000554544-V114</x:v>
      </x:c>
      <x:c r="C340" s="16" t="str">
        <x:v>ОТВОД 90° 12Х18Н10Т DN89*5 ГОСТ17375-01</x:v>
      </x:c>
      <x:c r="D340" s="16" t="str">
        <x:v>Детали фасонные</x:v>
      </x:c>
      <x:c r="E340" s="16" t="str">
        <x:v>ШТ</x:v>
      </x:c>
      <x:c r="F340" s="21" t="n">
        <x:v>1</x:v>
      </x:c>
      <x:c r="G340" s="17" t="n">
        <x:v>2765.6789999999996</x:v>
      </x:c>
      <x:c r="H340" s="17" t="n">
        <x:f>G340*F340</x:f>
        <x:v>2765.6789999999996</x:v>
      </x:c>
      <x:c r="I340" s="22" t="str">
        <x:f>HYPERLINK("https://etp-aktiv.ru/catalog/materialy/truboprovody/2000554544-V114/","Открыть позицию")</x:f>
        <x:v>Открыть позицию</x:v>
      </x:c>
    </x:row>
    <x:row r="341" ht="28" customHeight="1">
      <x:c r="A341" s="16" t="str">
        <x:v>Красноярская ТЭЦ-3</x:v>
      </x:c>
      <x:c r="B341" s="16" t="str">
        <x:v>2000568260-V114</x:v>
      </x:c>
      <x:c r="C341" s="16" t="str">
        <x:v>ПЕРЕХОД К 12Х18Н10Т 89*6-57*5 ГОСТ17378</x:v>
      </x:c>
      <x:c r="D341" s="16" t="str">
        <x:v>Детали фасонные</x:v>
      </x:c>
      <x:c r="E341" s="16" t="str">
        <x:v>ШТ</x:v>
      </x:c>
      <x:c r="F341" s="21" t="n">
        <x:v>3</x:v>
      </x:c>
      <x:c r="G341" s="17" t="n">
        <x:v>1705.7186000000002</x:v>
      </x:c>
      <x:c r="H341" s="17" t="n">
        <x:f>G341*F341</x:f>
        <x:v>5117.1558</x:v>
      </x:c>
      <x:c r="I341" s="22" t="str">
        <x:f>HYPERLINK("https://etp-aktiv.ru/catalog/materialy/truboprovody/2000568260-V114/","Открыть позицию")</x:f>
        <x:v>Открыть позицию</x:v>
      </x:c>
    </x:row>
    <x:row r="342" ht="28" customHeight="1">
      <x:c r="A342" s="16" t="str">
        <x:v>Красноярская ТЭЦ-3</x:v>
      </x:c>
      <x:c r="B342" s="16" t="str">
        <x:v>2000554948-V114</x:v>
      </x:c>
      <x:c r="C342" s="16" t="str">
        <x:v>ПЕРЕХОД К СТ20 273*7-219*6 ГОСТ17378-01</x:v>
      </x:c>
      <x:c r="D342" s="16" t="str">
        <x:v>Детали фасонные</x:v>
      </x:c>
      <x:c r="E342" s="16" t="str">
        <x:v>ШТ</x:v>
      </x:c>
      <x:c r="F342" s="21" t="n">
        <x:v>3</x:v>
      </x:c>
      <x:c r="G342" s="17" t="n">
        <x:v>849.5835999999999</x:v>
      </x:c>
      <x:c r="H342" s="17" t="n">
        <x:f>G342*F342</x:f>
        <x:v>2548.7508</x:v>
      </x:c>
      <x:c r="I342" s="22" t="str">
        <x:f>HYPERLINK("https://etp-aktiv.ru/catalog/materialy/truboprovody/2000554948-V114/","Открыть позицию")</x:f>
        <x:v>Открыть позицию</x:v>
      </x:c>
    </x:row>
    <x:row r="343" ht="28" customHeight="1">
      <x:c r="A343" s="16" t="str">
        <x:v>Красноярская ТЭЦ-3</x:v>
      </x:c>
      <x:c r="B343" s="16" t="str">
        <x:v>2000552908-V114</x:v>
      </x:c>
      <x:c r="C343" s="16" t="str">
        <x:v>РЕЗЬБА ПРАВАЯ ТРУБЫ ВГП DN15 L=26ММ</x:v>
      </x:c>
      <x:c r="D343" s="16" t="str">
        <x:v>Детали фасонные</x:v>
      </x:c>
      <x:c r="E343" s="16" t="str">
        <x:v>ШТ</x:v>
      </x:c>
      <x:c r="F343" s="21" t="n">
        <x:v>30</x:v>
      </x:c>
      <x:c r="G343" s="17" t="n">
        <x:v>12.053600000000001</x:v>
      </x:c>
      <x:c r="H343" s="17" t="n">
        <x:f>G343*F343</x:f>
        <x:v>361.60800000000006</x:v>
      </x:c>
      <x:c r="I343" s="22" t="str">
        <x:f>HYPERLINK("https://etp-aktiv.ru/catalog/materialy/truboprovody/2000552908-V114/","Открыть позицию")</x:f>
        <x:v>Открыть позицию</x:v>
      </x:c>
    </x:row>
    <x:row r="344" ht="28" customHeight="1">
      <x:c r="A344" s="16" t="str">
        <x:v>Красноярская ТЭЦ-3</x:v>
      </x:c>
      <x:c r="B344" s="16" t="str">
        <x:v>2000552910-V114</x:v>
      </x:c>
      <x:c r="C344" s="16" t="str">
        <x:v>РЕЗЬБА ПРАВАЯ ТРУБЫ ВГП DN20 L=40ММ</x:v>
      </x:c>
      <x:c r="D344" s="16" t="str">
        <x:v>Детали фасонные</x:v>
      </x:c>
      <x:c r="E344" s="16" t="str">
        <x:v>ШТ</x:v>
      </x:c>
      <x:c r="F344" s="21" t="n">
        <x:v>10</x:v>
      </x:c>
      <x:c r="G344" s="17" t="n">
        <x:v>79.99539999999999</x:v>
      </x:c>
      <x:c r="H344" s="17" t="n">
        <x:f>G344*F344</x:f>
        <x:v>799.954</x:v>
      </x:c>
      <x:c r="I344" s="22" t="str">
        <x:f>HYPERLINK("https://etp-aktiv.ru/catalog/materialy/truboprovody/2000552910-V114/","Открыть позицию")</x:f>
        <x:v>Открыть позицию</x:v>
      </x:c>
    </x:row>
    <x:row r="345" ht="28" customHeight="1">
      <x:c r="A345" s="16" t="str">
        <x:v>Красноярская ТЭЦ-3</x:v>
      </x:c>
      <x:c r="B345" s="16" t="str">
        <x:v>2000552911-V114</x:v>
      </x:c>
      <x:c r="C345" s="16" t="str">
        <x:v>РЕЗЬБА ПРАВАЯ ТРУБЫ ВГП DN25 L=40ММ</x:v>
      </x:c>
      <x:c r="D345" s="16" t="str">
        <x:v>Детали фасонные</x:v>
      </x:c>
      <x:c r="E345" s="16" t="str">
        <x:v>ШТ</x:v>
      </x:c>
      <x:c r="F345" s="21" t="n">
        <x:v>20</x:v>
      </x:c>
      <x:c r="G345" s="17" t="n">
        <x:v>19.2516</x:v>
      </x:c>
      <x:c r="H345" s="17" t="n">
        <x:f>G345*F345</x:f>
        <x:v>385.032</x:v>
      </x:c>
      <x:c r="I345" s="22" t="str">
        <x:f>HYPERLINK("https://etp-aktiv.ru/catalog/materialy/truboprovody/2000552911-V114/","Открыть позицию")</x:f>
        <x:v>Открыть позицию</x:v>
      </x:c>
    </x:row>
    <x:row r="346" ht="28" customHeight="1">
      <x:c r="A346" s="16" t="str">
        <x:v>Красноярская ТЭЦ-3</x:v>
      </x:c>
      <x:c r="B346" s="16" t="str">
        <x:v>2000798395-V114</x:v>
      </x:c>
      <x:c r="C346" s="16" t="str">
        <x:v>ТРОЙНИК 12Х18Н10Т 57*4 1468-030-20872280</x:v>
      </x:c>
      <x:c r="D346" s="16" t="str">
        <x:v>Детали фасонные</x:v>
      </x:c>
      <x:c r="E346" s="16" t="str">
        <x:v>ШТ</x:v>
      </x:c>
      <x:c r="F346" s="21" t="n">
        <x:v>4</x:v>
      </x:c>
      <x:c r="G346" s="17" t="n">
        <x:v>1267.4702</x:v>
      </x:c>
      <x:c r="H346" s="17" t="n">
        <x:f>G346*F346</x:f>
        <x:v>5069.8808</x:v>
      </x:c>
      <x:c r="I346" s="22" t="str">
        <x:f>HYPERLINK("https://etp-aktiv.ru/catalog/materialy/truboprovody/2000798395-V114/","Открыть позицию")</x:f>
        <x:v>Открыть позицию</x:v>
      </x:c>
    </x:row>
    <x:row r="347" ht="28" customHeight="1">
      <x:c r="A347" s="16" t="str">
        <x:v>Красноярская ТЭЦ-3</x:v>
      </x:c>
      <x:c r="B347" s="16" t="str">
        <x:v>2000749080-V114</x:v>
      </x:c>
      <x:c r="C347" s="16" t="str">
        <x:v>ТРОЙНИК 12Х18Н10Т 57*5 ГОСТ17376-2001</x:v>
      </x:c>
      <x:c r="D347" s="16" t="str">
        <x:v>Детали фасонные</x:v>
      </x:c>
      <x:c r="E347" s="16" t="str">
        <x:v>ШТ</x:v>
      </x:c>
      <x:c r="F347" s="21" t="n">
        <x:v>7</x:v>
      </x:c>
      <x:c r="G347" s="17" t="n">
        <x:v>1046.4672</x:v>
      </x:c>
      <x:c r="H347" s="17" t="n">
        <x:f>G347*F347</x:f>
        <x:v>7325.2704</x:v>
      </x:c>
      <x:c r="I347" s="22" t="str">
        <x:f>HYPERLINK("https://etp-aktiv.ru/catalog/materialy/truboprovody/2000749080-V114/","Открыть позицию")</x:f>
        <x:v>Открыть позицию</x:v>
      </x:c>
    </x:row>
    <x:row r="348" ht="28" customHeight="1">
      <x:c r="A348" s="16" t="str">
        <x:v>Красноярская ТЭЦ-3</x:v>
      </x:c>
      <x:c r="B348" s="16" t="str">
        <x:v>2000721097-V114</x:v>
      </x:c>
      <x:c r="C348" s="16" t="str">
        <x:v>ТРУБА 09Г2С 83*4 ГОСТ8731-74</x:v>
      </x:c>
      <x:c r="D348" s="16" t="str">
        <x:v>Трубы черные бесшов</x:v>
      </x:c>
      <x:c r="E348" s="16" t="str">
        <x:v>Т</x:v>
      </x:c>
      <x:c r="F348" s="30" t="n">
        <x:v>0.085</x:v>
      </x:c>
      <x:c r="G348" s="17" t="n">
        <x:v>75713.9686</x:v>
      </x:c>
      <x:c r="H348" s="17" t="n">
        <x:f>G348*F348</x:f>
        <x:v>6435.687331</x:v>
      </x:c>
      <x:c r="I348" s="22" t="str">
        <x:f>HYPERLINK("https://etp-aktiv.ru/catalog/materialy/truby-stalnye-i-polimernye/2000721097-V114/","Открыть позицию")</x:f>
        <x:v>Открыть позицию</x:v>
      </x:c>
    </x:row>
    <x:row r="349" ht="28" customHeight="1">
      <x:c r="A349" s="16" t="str">
        <x:v>Красноярская ТЭЦ-3</x:v>
      </x:c>
      <x:c r="B349" s="16" t="str">
        <x:v>2000560646-V114</x:v>
      </x:c>
      <x:c r="C349" s="16" t="str">
        <x:v>ТРУБА 12Х18Н10Т 16*1 ГОСТ9941-81 (КГ)</x:v>
      </x:c>
      <x:c r="D349" s="16" t="str">
        <x:v>ТрбНж(свр/бш)КрмКтВД</x:v>
      </x:c>
      <x:c r="E349" s="16" t="str">
        <x:v>КГ</x:v>
      </x:c>
      <x:c r="F349" s="21" t="n">
        <x:v>500</x:v>
      </x:c>
      <x:c r="G349" s="17" t="n">
        <x:v>394.06</x:v>
      </x:c>
      <x:c r="H349" s="17" t="n">
        <x:f>G349*F349</x:f>
        <x:v>197030</x:v>
      </x:c>
      <x:c r="I349" s="22" t="str">
        <x:f>HYPERLINK("https://etp-aktiv.ru/catalog/materialy/truby-stalnye-i-polimernye/2000560646-V114/","Открыть позицию")</x:f>
        <x:v>Открыть позицию</x:v>
      </x:c>
    </x:row>
    <x:row r="350" ht="28" customHeight="1">
      <x:c r="A350" s="16" t="str">
        <x:v>Красноярская ТЭЦ-3</x:v>
      </x:c>
      <x:c r="B350" s="16" t="str">
        <x:v>2000698857-V114</x:v>
      </x:c>
      <x:c r="C350" s="16" t="str">
        <x:v>ТРУБА 12Х1МФ 159*10 ТУ14-3Р-55-2001</x:v>
      </x:c>
      <x:c r="D350" s="16" t="str">
        <x:v>Трубы котельные в/д</x:v>
      </x:c>
      <x:c r="E350" s="16" t="str">
        <x:v>Т</x:v>
      </x:c>
      <x:c r="F350" s="30" t="n">
        <x:v>0.606</x:v>
      </x:c>
      <x:c r="G350" s="17" t="n">
        <x:v>108496.125</x:v>
      </x:c>
      <x:c r="H350" s="17" t="n">
        <x:f>G350*F350</x:f>
        <x:v>65748.65175</x:v>
      </x:c>
      <x:c r="I350" s="22" t="str">
        <x:f>HYPERLINK("https://etp-aktiv.ru/catalog/materialy/truby-stalnye-i-polimernye/2000698857-V114/","Открыть позицию")</x:f>
        <x:v>Открыть позицию</x:v>
      </x:c>
    </x:row>
    <x:row r="351" ht="28" customHeight="1">
      <x:c r="A351" s="16" t="str">
        <x:v>Красноярская ТЭЦ-3</x:v>
      </x:c>
      <x:c r="B351" s="16" t="str">
        <x:v>2000546074-V114</x:v>
      </x:c>
      <x:c r="C351" s="16" t="str">
        <x:v>ТРУБА 12Х1МФ 219*32 ТУ14-3Р-55-01</x:v>
      </x:c>
      <x:c r="D351" s="16" t="str">
        <x:v>Трубы котельные в/д</x:v>
      </x:c>
      <x:c r="E351" s="16" t="str">
        <x:v>Т</x:v>
      </x:c>
      <x:c r="F351" s="30" t="n">
        <x:v>0.044</x:v>
      </x:c>
      <x:c r="G351" s="17" t="n">
        <x:v>107247.15</x:v>
      </x:c>
      <x:c r="H351" s="17" t="n">
        <x:f>G351*F351</x:f>
        <x:v>4718.874599999999</x:v>
      </x:c>
      <x:c r="I351" s="22" t="str">
        <x:f>HYPERLINK("https://etp-aktiv.ru/catalog/materialy/truby-stalnye-i-polimernye/2000546074-V114/","Открыть позицию")</x:f>
        <x:v>Открыть позицию</x:v>
      </x:c>
    </x:row>
    <x:row r="352" ht="28" customHeight="1">
      <x:c r="A352" s="16" t="str">
        <x:v>Красноярская ТЭЦ-3</x:v>
      </x:c>
      <x:c r="B352" s="16" t="str">
        <x:v>2000546090-V114</x:v>
      </x:c>
      <x:c r="C352" s="16" t="str">
        <x:v>ТРУБА 12Х1МФ 273*26 ТУ14-3Р-55-01</x:v>
      </x:c>
      <x:c r="D352" s="16" t="str">
        <x:v>Трубы котельные в/д</x:v>
      </x:c>
      <x:c r="E352" s="16" t="str">
        <x:v>Т</x:v>
      </x:c>
      <x:c r="F352" s="30" t="n">
        <x:v>0.608</x:v>
      </x:c>
      <x:c r="G352" s="17" t="n">
        <x:v>178260.5684</x:v>
      </x:c>
      <x:c r="H352" s="17" t="n">
        <x:f>G352*F352</x:f>
        <x:v>108382.42558719999</x:v>
      </x:c>
      <x:c r="I352" s="22" t="str">
        <x:f>HYPERLINK("https://etp-aktiv.ru/catalog/materialy/truby-stalnye-i-polimernye/2000546090-V114/","Открыть позицию")</x:f>
        <x:v>Открыть позицию</x:v>
      </x:c>
    </x:row>
    <x:row r="353" ht="28" customHeight="1">
      <x:c r="A353" s="16" t="str">
        <x:v>Красноярская ТЭЦ-3</x:v>
      </x:c>
      <x:c r="B353" s="16" t="str">
        <x:v>2000222136-V114</x:v>
      </x:c>
      <x:c r="C353" s="16" t="str">
        <x:v>ТРУБА 12Х1МФ 50*4 ТУ14-3Р-55-01</x:v>
      </x:c>
      <x:c r="D353" s="16" t="str">
        <x:v>Трубы котельные в/д</x:v>
      </x:c>
      <x:c r="E353" s="16" t="str">
        <x:v>Т</x:v>
      </x:c>
      <x:c r="F353" s="30" t="n">
        <x:v>0.254</x:v>
      </x:c>
      <x:c r="G353" s="17" t="n">
        <x:v>173891.23599999998</x:v>
      </x:c>
      <x:c r="H353" s="17" t="n">
        <x:f>G353*F353</x:f>
        <x:v>44168.37394399999</x:v>
      </x:c>
      <x:c r="I353" s="22" t="str">
        <x:f>HYPERLINK("https://etp-aktiv.ru/catalog/materialy/truby-stalnye-i-polimernye/2000222136-V114/","Открыть позицию")</x:f>
        <x:v>Открыть позицию</x:v>
      </x:c>
    </x:row>
    <x:row r="354" ht="28" customHeight="1">
      <x:c r="A354" s="16" t="str">
        <x:v>Красноярская ТЭЦ-3</x:v>
      </x:c>
      <x:c r="B354" s="16" t="str">
        <x:v>2000858006-V114</x:v>
      </x:c>
      <x:c r="C354" s="16" t="str">
        <x:v>ТРУБА Б/Ш СТ40Х 219*32 ГОСТ8732-78</x:v>
      </x:c>
      <x:c r="D354" s="16" t="str">
        <x:v>Трубы черные бесшов</x:v>
      </x:c>
      <x:c r="E354" s="16" t="str">
        <x:v>Т</x:v>
      </x:c>
      <x:c r="F354" s="30" t="n">
        <x:v>0.99</x:v>
      </x:c>
      <x:c r="G354" s="17" t="n">
        <x:v>86038.5968</x:v>
      </x:c>
      <x:c r="H354" s="17" t="n">
        <x:f>G354*F354</x:f>
        <x:v>85178.210832</x:v>
      </x:c>
      <x:c r="I354" s="22" t="str">
        <x:f>HYPERLINK("https://etp-aktiv.ru/catalog/materialy/truby-stalnye-i-polimernye/2000858006-V114/","Открыть позицию")</x:f>
        <x:v>Открыть позицию</x:v>
      </x:c>
    </x:row>
    <x:row r="355" ht="28" customHeight="1">
      <x:c r="A355" s="16" t="str">
        <x:v>Красноярская ТЭЦ-3</x:v>
      </x:c>
      <x:c r="B355" s="16" t="str">
        <x:v>2000546171-V114</x:v>
      </x:c>
      <x:c r="C355" s="16" t="str">
        <x:v>ТРУБА КВД 12Х1МФ 159*18 ТУ14-3Р-55-01</x:v>
      </x:c>
      <x:c r="D355" s="16" t="str">
        <x:v>Трубы котельные в/д</x:v>
      </x:c>
      <x:c r="E355" s="16" t="str">
        <x:v>Т</x:v>
      </x:c>
      <x:c r="F355" s="30" t="n">
        <x:v>0.948</x:v>
      </x:c>
      <x:c r="G355" s="17" t="n">
        <x:v>147036.1568</x:v>
      </x:c>
      <x:c r="H355" s="17" t="n">
        <x:f>G355*F355</x:f>
        <x:v>139390.2766464</x:v>
      </x:c>
      <x:c r="I355" s="22" t="str">
        <x:f>HYPERLINK("https://etp-aktiv.ru/catalog/materialy/truby-stalnye-i-polimernye/2000546171-V114/","Открыть позицию")</x:f>
        <x:v>Открыть позицию</x:v>
      </x:c>
    </x:row>
    <x:row r="356" ht="28" customHeight="1">
      <x:c r="A356" s="16" t="str">
        <x:v>Красноярская ТЭЦ-3</x:v>
      </x:c>
      <x:c r="B356" s="16" t="str">
        <x:v>2000609975-V114</x:v>
      </x:c>
      <x:c r="C356" s="16" t="str">
        <x:v>ТРУБА КВД 12Х1МФ 159*8 ТУ14-3Р-55-01</x:v>
      </x:c>
      <x:c r="D356" s="16" t="str">
        <x:v>Трубы котельные в/д</x:v>
      </x:c>
      <x:c r="E356" s="16" t="str">
        <x:v>Т</x:v>
      </x:c>
      <x:c r="F356" s="30" t="n">
        <x:v>0.21</x:v>
      </x:c>
      <x:c r="G356" s="17" t="n">
        <x:v>146097.5254</x:v>
      </x:c>
      <x:c r="H356" s="17" t="n">
        <x:f>G356*F356</x:f>
        <x:v>30680.480334</x:v>
      </x:c>
      <x:c r="I356" s="22" t="str">
        <x:f>HYPERLINK("https://etp-aktiv.ru/catalog/materialy/truby-stalnye-i-polimernye/2000609975-V114/","Открыть позицию")</x:f>
        <x:v>Открыть позицию</x:v>
      </x:c>
    </x:row>
    <x:row r="357" ht="28" customHeight="1">
      <x:c r="A357" s="16" t="str">
        <x:v>Красноярская ТЭЦ-3</x:v>
      </x:c>
      <x:c r="B357" s="16" t="str">
        <x:v>2000546240-V114</x:v>
      </x:c>
      <x:c r="C357" s="16" t="str">
        <x:v>ТРУБА КВД 12Х1МФ 36*6 ТУ14-3Р-55-01</x:v>
      </x:c>
      <x:c r="D357" s="16" t="str">
        <x:v>Трубы котельные в/д</x:v>
      </x:c>
      <x:c r="E357" s="16" t="str">
        <x:v>Т</x:v>
      </x:c>
      <x:c r="F357" s="30" t="n">
        <x:v>0.024</x:v>
      </x:c>
      <x:c r="G357" s="17" t="n">
        <x:v>320821.875</x:v>
      </x:c>
      <x:c r="H357" s="17" t="n">
        <x:f>G357*F357</x:f>
        <x:v>7699.725</x:v>
      </x:c>
      <x:c r="I357" s="22" t="str">
        <x:f>HYPERLINK("https://etp-aktiv.ru/catalog/materialy/truby-stalnye-i-polimernye/2000546240-V114/","Открыть позицию")</x:f>
        <x:v>Открыть позицию</x:v>
      </x:c>
    </x:row>
    <x:row r="358" ht="28" customHeight="1">
      <x:c r="A358" s="16" t="str">
        <x:v>Красноярская ТЭЦ-3</x:v>
      </x:c>
      <x:c r="B358" s="16" t="str">
        <x:v>2000566568-V114</x:v>
      </x:c>
      <x:c r="C358" s="16" t="str">
        <x:v>ТРУБА СТ20 219*30 ГОСТ8731-74</x:v>
      </x:c>
      <x:c r="D358" s="16" t="str">
        <x:v>Трубы черные бесшов</x:v>
      </x:c>
      <x:c r="E358" s="16" t="str">
        <x:v>Т</x:v>
      </x:c>
      <x:c r="F358" s="30" t="n">
        <x:v>0.84</x:v>
      </x:c>
      <x:c r="G358" s="17" t="n">
        <x:v>88056.855</x:v>
      </x:c>
      <x:c r="H358" s="17" t="n">
        <x:f>G358*F358</x:f>
        <x:v>73967.7582</x:v>
      </x:c>
      <x:c r="I358" s="22" t="str">
        <x:f>HYPERLINK("https://etp-aktiv.ru/catalog/materialy/truby-stalnye-i-polimernye/2000566568-V114/","Открыть позицию")</x:f>
        <x:v>Открыть позицию</x:v>
      </x:c>
    </x:row>
    <x:row r="359" ht="28" customHeight="1">
      <x:c r="A359" s="16" t="str">
        <x:v>Красноярская ТЭЦ-3</x:v>
      </x:c>
      <x:c r="B359" s="16" t="str">
        <x:v>2000560501-V114</x:v>
      </x:c>
      <x:c r="C359" s="16" t="str">
        <x:v>ТРУБА СТ20 273*5 ГОСТ10705-80</x:v>
      </x:c>
      <x:c r="D359" s="16" t="str">
        <x:v>ТрбЧерСварМалСрдДиам</x:v>
      </x:c>
      <x:c r="E359" s="16" t="str">
        <x:v>Т</x:v>
      </x:c>
      <x:c r="F359" s="30" t="n">
        <x:v>0.733</x:v>
      </x:c>
      <x:c r="G359" s="17" t="n">
        <x:v>42738.53979999999</x:v>
      </x:c>
      <x:c r="H359" s="17" t="n">
        <x:f>G359*F359</x:f>
        <x:v>31327.349673399993</x:v>
      </x:c>
      <x:c r="I359" s="22" t="str">
        <x:f>HYPERLINK("https://etp-aktiv.ru/catalog/materialy/truby-stalnye-i-polimernye/2000560501-V114/","Открыть позицию")</x:f>
        <x:v>Открыть позицию</x:v>
      </x:c>
    </x:row>
    <x:row r="360" ht="28" customHeight="1">
      <x:c r="A360" s="16" t="str">
        <x:v>Красноярская ТЭЦ-3</x:v>
      </x:c>
      <x:c r="B360" s="16" t="str">
        <x:v>2000560222-V114</x:v>
      </x:c>
      <x:c r="C360" s="16" t="str">
        <x:v>ТРУБА СТ20 32*6 ГОСТ8731-74</x:v>
      </x:c>
      <x:c r="D360" s="16" t="str">
        <x:v>Трубы черные бесшов</x:v>
      </x:c>
      <x:c r="E360" s="16" t="str">
        <x:v>Т</x:v>
      </x:c>
      <x:c r="F360" s="30" t="n">
        <x:v>0.177</x:v>
      </x:c>
      <x:c r="G360" s="17" t="n">
        <x:v>168817.5</x:v>
      </x:c>
      <x:c r="H360" s="17" t="n">
        <x:f>G360*F360</x:f>
        <x:v>29880.6975</x:v>
      </x:c>
      <x:c r="I360" s="22" t="str">
        <x:f>HYPERLINK("https://etp-aktiv.ru/catalog/materialy/truby-stalnye-i-polimernye/2000560222-V114/","Открыть позицию")</x:f>
        <x:v>Открыть позицию</x:v>
      </x:c>
    </x:row>
    <x:row r="361" ht="28" customHeight="1">
      <x:c r="A361" s="16" t="str">
        <x:v>Красноярская ТЭЦ-3</x:v>
      </x:c>
      <x:c r="B361" s="16" t="str">
        <x:v>2000165143-V114</x:v>
      </x:c>
      <x:c r="C361" s="16" t="str">
        <x:v>ТРУБА СТ20 720*8 ГОСТ10705-80</x:v>
      </x:c>
      <x:c r="D361" s="16" t="str">
        <x:v>ТрубЧерСварБольшДиам</x:v>
      </x:c>
      <x:c r="E361" s="16" t="str">
        <x:v>Т</x:v>
      </x:c>
      <x:c r="F361" s="26" t="n">
        <x:v>1.673</x:v>
      </x:c>
      <x:c r="G361" s="17" t="n">
        <x:v>73039.0698</x:v>
      </x:c>
      <x:c r="H361" s="17" t="n">
        <x:f>G361*F361</x:f>
        <x:v>122194.3637754</x:v>
      </x:c>
      <x:c r="I361" s="22" t="str">
        <x:f>HYPERLINK("https://etp-aktiv.ru/catalog/materialy/truby-stalnye-i-polimernye/2000165143-V114/","Открыть позицию")</x:f>
        <x:v>Открыть позицию</x:v>
      </x:c>
    </x:row>
    <x:row r="362" ht="28" customHeight="1">
      <x:c r="A362" s="16" t="str">
        <x:v>Красноярская ТЭЦ-3</x:v>
      </x:c>
      <x:c r="B362" s="16" t="str">
        <x:v>2000015544-V114</x:v>
      </x:c>
      <x:c r="C362" s="16" t="str">
        <x:v>ТРУБА СТ3-20 25*3,2 ГОСТ3262-75</x:v>
      </x:c>
      <x:c r="D362" s="16" t="str">
        <x:v>ТрбЧерСварМалСрдДиам</x:v>
      </x:c>
      <x:c r="E362" s="16" t="str">
        <x:v>Т</x:v>
      </x:c>
      <x:c r="F362" s="30" t="n">
        <x:v>0.015</x:v>
      </x:c>
      <x:c r="G362" s="17" t="n">
        <x:v>83164.81360000001</x:v>
      </x:c>
      <x:c r="H362" s="17" t="n">
        <x:f>G362*F362</x:f>
        <x:v>1247.4722040000001</x:v>
      </x:c>
      <x:c r="I362" s="22" t="str">
        <x:f>HYPERLINK("https://etp-aktiv.ru/catalog/materialy/truby-stalnye-i-polimernye/2000015544-V114/","Открыть позицию")</x:f>
        <x:v>Открыть позицию</x:v>
      </x:c>
    </x:row>
    <x:row r="363" ht="28" customHeight="1">
      <x:c r="A363" s="16" t="str">
        <x:v>Красноярская ТЭЦ-3</x:v>
      </x:c>
      <x:c r="B363" s="16" t="str">
        <x:v>2000380095-V114</x:v>
      </x:c>
      <x:c r="C363" s="16" t="str">
        <x:v>ТРУБА Э/С СТ3 720*8 ГОСТ10705-80</x:v>
      </x:c>
      <x:c r="D363" s="16" t="str">
        <x:v>ТрбЧерСварМалСрдДиам</x:v>
      </x:c>
      <x:c r="E363" s="16" t="str">
        <x:v>Т</x:v>
      </x:c>
      <x:c r="F363" s="26" t="n">
        <x:v>4.508</x:v>
      </x:c>
      <x:c r="G363" s="17" t="n">
        <x:v>53981.2912</x:v>
      </x:c>
      <x:c r="H363" s="17" t="n">
        <x:f>G363*F363</x:f>
        <x:v>243347.6607296</x:v>
      </x:c>
      <x:c r="I363" s="22" t="str">
        <x:f>HYPERLINK("https://etp-aktiv.ru/catalog/materialy/truby-stalnye-i-polimernye/2000380095-V114/","Открыть позицию")</x:f>
        <x:v>Открыть позицию</x:v>
      </x:c>
    </x:row>
    <x:row r="364" ht="28" customHeight="1">
      <x:c r="A364" s="16" t="str">
        <x:v>Красноярская ТЭЦ-3</x:v>
      </x:c>
      <x:c r="B364" s="16" t="str">
        <x:v>2000524576-V114</x:v>
      </x:c>
      <x:c r="C364" s="16" t="str">
        <x:v>ТРУБКА 8БП.724.124-02</x:v>
      </x:c>
      <x:c r="D364" s="16" t="str">
        <x:v>ЗЧ выключателей</x:v>
      </x:c>
      <x:c r="E364" s="16" t="str">
        <x:v>ШТ</x:v>
      </x:c>
      <x:c r="F364" s="21" t="n">
        <x:v>1</x:v>
      </x:c>
      <x:c r="G364" s="17" t="n">
        <x:v>287.82239999999996</x:v>
      </x:c>
      <x:c r="H364" s="17" t="n">
        <x:f>G364*F364</x:f>
        <x:v>287.82239999999996</x:v>
      </x:c>
      <x:c r="I364" s="22" t="str">
        <x:f>HYPERLINK("https://etp-aktiv.ru/catalog/materialy/ehlektrotekhnicheskie-materialy/2000524576-V114/","Открыть позицию")</x:f>
        <x:v>Открыть позицию</x:v>
      </x:c>
    </x:row>
    <x:row r="365" ht="28" customHeight="1">
      <x:c r="A365" s="16" t="str">
        <x:v>Красноярская ТЭЦ-3</x:v>
      </x:c>
      <x:c r="B365" s="16" t="str">
        <x:v>2000255028-V114</x:v>
      </x:c>
      <x:c r="C365" s="16" t="str">
        <x:v>ФЛАНЕЦ DN80 PN10 12Х18Н10Т ИСП1 ГОСТ1282</x:v>
      </x:c>
      <x:c r="D365" s="16" t="str">
        <x:v>Детали фасонные</x:v>
      </x:c>
      <x:c r="E365" s="16" t="str">
        <x:v>ШТ</x:v>
      </x:c>
      <x:c r="F365" s="21" t="n">
        <x:v>8</x:v>
      </x:c>
      <x:c r="G365" s="17" t="n">
        <x:v>3374.0807999999997</x:v>
      </x:c>
      <x:c r="H365" s="17" t="n">
        <x:f>G365*F365</x:f>
        <x:v>26992.646399999998</x:v>
      </x:c>
      <x:c r="I365" s="22" t="str">
        <x:f>HYPERLINK("https://etp-aktiv.ru/catalog/materialy/truboprovody/2000255028-V114/","Открыть позицию")</x:f>
        <x:v>Открыть позицию</x:v>
      </x:c>
    </x:row>
    <x:row r="366" ht="28" customHeight="1">
      <x:c r="A366" s="16" t="str">
        <x:v>Красноярская ТЭЦ-3</x:v>
      </x:c>
      <x:c r="B366" s="16" t="str">
        <x:v>2000830984-V114</x:v>
      </x:c>
      <x:c r="C366" s="16" t="str">
        <x:v>ФЛАНЕЦ СТ20 300-10-11-1-В-IV ГОСТ33259</x:v>
      </x:c>
      <x:c r="D366" s="16" t="str">
        <x:v>Детали фасонные</x:v>
      </x:c>
      <x:c r="E366" s="16" t="str">
        <x:v>ШТ</x:v>
      </x:c>
      <x:c r="F366" s="21" t="n">
        <x:v>2</x:v>
      </x:c>
      <x:c r="G366" s="17" t="n">
        <x:v>2712.4138</x:v>
      </x:c>
      <x:c r="H366" s="17" t="n">
        <x:f>G366*F366</x:f>
        <x:v>5424.8276</x:v>
      </x:c>
      <x:c r="I366" s="22" t="str">
        <x:f>HYPERLINK("https://etp-aktiv.ru/catalog/materialy/truboprovody/2000830984-V114/","Открыть позицию")</x:f>
        <x:v>Открыть позицию</x:v>
      </x:c>
    </x:row>
    <x:row r="367" ht="28" customHeight="1">
      <x:c r="A367" s="16" t="str">
        <x:v>Красноярская ТЭЦ-3</x:v>
      </x:c>
      <x:c r="B367" s="16" t="str">
        <x:v>2000163482-V114</x:v>
      </x:c>
      <x:c r="C367" s="16" t="str">
        <x:v>ФЛАНЕЦ СТ20 DN400 PN25 ИСП1 ГОСТ12820-80</x:v>
      </x:c>
      <x:c r="D367" s="16" t="str">
        <x:v>Детали фасонные</x:v>
      </x:c>
      <x:c r="E367" s="16" t="str">
        <x:v>ШТ</x:v>
      </x:c>
      <x:c r="F367" s="21" t="n">
        <x:v>2</x:v>
      </x:c>
      <x:c r="G367" s="17" t="n">
        <x:v>4409.8486</x:v>
      </x:c>
      <x:c r="H367" s="17" t="n">
        <x:f>G367*F367</x:f>
        <x:v>8819.6972</x:v>
      </x:c>
      <x:c r="I367" s="22" t="str">
        <x:f>HYPERLINK("https://etp-aktiv.ru/catalog/materialy/truboprovody/2000163482-V114/","Открыть позицию")</x:f>
        <x:v>Открыть позицию</x:v>
      </x:c>
    </x:row>
    <x:row r="368" ht="28" customHeight="1">
      <x:c r="A368" s="16" t="str">
        <x:v>Красноярская ТЭЦ-3</x:v>
      </x:c>
      <x:c r="B368" s="16" t="str">
        <x:v>2000237661-V114</x:v>
      </x:c>
      <x:c r="C368" s="16" t="str">
        <x:v>ФЛАНЕЦ СТ20 DN50 PN63 ИСП2 ГОСТ12821-80</x:v>
      </x:c>
      <x:c r="D368" s="16" t="str">
        <x:v>Детали фасонные</x:v>
      </x:c>
      <x:c r="E368" s="16" t="str">
        <x:v>ШТ</x:v>
      </x:c>
      <x:c r="F368" s="21" t="n">
        <x:v>18</x:v>
      </x:c>
      <x:c r="G368" s="17" t="n">
        <x:v>2374.4616</x:v>
      </x:c>
      <x:c r="H368" s="17" t="n">
        <x:f>G368*F368</x:f>
        <x:v>42740.3088</x:v>
      </x:c>
      <x:c r="I368" s="22" t="str">
        <x:f>HYPERLINK("https://etp-aktiv.ru/catalog/materialy/truboprovody/2000237661-V114/","Открыть позицию")</x:f>
        <x:v>Открыть позицию</x:v>
      </x:c>
    </x:row>
    <x:row r="369" ht="28" customHeight="1">
      <x:c r="A369" s="16" t="str">
        <x:v>Красноярская ТЭЦ-3</x:v>
      </x:c>
      <x:c r="B369" s="16" t="str">
        <x:v>2000526663-V114</x:v>
      </x:c>
      <x:c r="C369" s="16" t="str">
        <x:v>ШТОК КЦ-401.01 КЛАПАНА РЕГУЛИРУЮЩ DN200</x:v>
      </x:c>
      <x:c r="D369" s="16" t="str">
        <x:v>ЗЧ трубопр арматуры</x:v>
      </x:c>
      <x:c r="E369" s="16" t="str">
        <x:v>ШТ</x:v>
      </x:c>
      <x:c r="F369" s="21" t="n">
        <x:v>1</x:v>
      </x:c>
      <x:c r="G369" s="17" t="n">
        <x:v>2000.8365999999999</x:v>
      </x:c>
      <x:c r="H369" s="17" t="n">
        <x:f>G369*F369</x:f>
        <x:v>2000.8365999999999</x:v>
      </x:c>
      <x:c r="I369" s="22" t="str">
        <x:f>HYPERLINK("https://etp-aktiv.ru/catalog/materialy/truboprovodnaya-armatura-i-komplektuyushchie/2000526663-V114/","Открыть позицию")</x:f>
        <x:v>Открыть позицию</x:v>
      </x:c>
    </x:row>
    <x:row r="370" ht="28" customHeight="1">
      <x:c r="A370" s="16" t="str">
        <x:v>Красноярская ТЭЦ-3</x:v>
      </x:c>
      <x:c r="B370" s="16" t="str">
        <x:v>2000764747-V114</x:v>
      </x:c>
      <x:c r="C370" s="16" t="str">
        <x:v>ШТУЦЕР 09Г2С 108*4,5 200 119ОСТ34.10.761</x:v>
      </x:c>
      <x:c r="D370" s="16" t="str">
        <x:v>Детали фасонные</x:v>
      </x:c>
      <x:c r="E370" s="16" t="str">
        <x:v>ШТ</x:v>
      </x:c>
      <x:c r="F370" s="21" t="n">
        <x:v>1</x:v>
      </x:c>
      <x:c r="G370" s="17" t="n">
        <x:v>1369.0718</x:v>
      </x:c>
      <x:c r="H370" s="17" t="n">
        <x:f>G370*F370</x:f>
        <x:v>1369.0718</x:v>
      </x:c>
      <x:c r="I370" s="22" t="str">
        <x:f>HYPERLINK("https://etp-aktiv.ru/catalog/materialy/truboprovody/2000764747-V114/","Открыть позицию")</x:f>
        <x:v>Открыть позицию</x:v>
      </x:c>
    </x:row>
    <x:row r="371" ht="28" customHeight="1">
      <x:c r="A371" s="16" t="str">
        <x:v>Красноярская ТЭЦ-3</x:v>
      </x:c>
      <x:c r="B371" s="16" t="str">
        <x:v>2000764746-V114</x:v>
      </x:c>
      <x:c r="C371" s="16" t="str">
        <x:v>ШТУЦЕР 09Г2С 108*4,5 250 121ОСТ34.10.761</x:v>
      </x:c>
      <x:c r="D371" s="16" t="str">
        <x:v>Детали фасонные</x:v>
      </x:c>
      <x:c r="E371" s="16" t="str">
        <x:v>ШТ</x:v>
      </x:c>
      <x:c r="F371" s="21" t="n">
        <x:v>1</x:v>
      </x:c>
      <x:c r="G371" s="17" t="n">
        <x:v>1369.0718</x:v>
      </x:c>
      <x:c r="H371" s="17" t="n">
        <x:f>G371*F371</x:f>
        <x:v>1369.0718</x:v>
      </x:c>
      <x:c r="I371" s="22" t="str">
        <x:f>HYPERLINK("https://etp-aktiv.ru/catalog/materialy/truboprovody/2000764746-V114/","Открыть позицию")</x:f>
        <x:v>Открыть позицию</x:v>
      </x:c>
    </x:row>
    <x:row r="372" ht="28" customHeight="1">
      <x:c r="A372" s="16" t="str">
        <x:v>Красноярская ТЭЦ-3</x:v>
      </x:c>
      <x:c r="B372" s="16" t="str">
        <x:v>2000555400-V114</x:v>
      </x:c>
      <x:c r="C372" s="16" t="str">
        <x:v>ШТУЦЕР 09Г2С 38*2-400 059 ОСТ34.10.761</x:v>
      </x:c>
      <x:c r="D372" s="16" t="str">
        <x:v>Детали фасонные</x:v>
      </x:c>
      <x:c r="E372" s="16" t="str">
        <x:v>ШТ</x:v>
      </x:c>
      <x:c r="F372" s="21" t="n">
        <x:v>2</x:v>
      </x:c>
      <x:c r="G372" s="17" t="n">
        <x:v>682.8218</x:v>
      </x:c>
      <x:c r="H372" s="17" t="n">
        <x:f>G372*F372</x:f>
        <x:v>1365.6436</x:v>
      </x:c>
      <x:c r="I372" s="22" t="str">
        <x:f>HYPERLINK("https://etp-aktiv.ru/catalog/materialy/truboprovody/2000555400-V114/","Открыть позицию")</x:f>
        <x:v>Открыть позицию</x:v>
      </x:c>
    </x:row>
    <x:row r="373" ht="28" customHeight="1">
      <x:c r="A373" s="16" t="str">
        <x:v>Красноярская ТЭЦ-3</x:v>
      </x:c>
      <x:c r="B373" s="16" t="str">
        <x:v>2000559243-V114</x:v>
      </x:c>
      <x:c r="C373" s="16" t="str">
        <x:v>ШТУЦЕР 28*5 12Х1МФ 06 СТО ЦКТИ 462.05</x:v>
      </x:c>
      <x:c r="D373" s="16" t="str">
        <x:v>Труб/элем ВД</x:v>
      </x:c>
      <x:c r="E373" s="16" t="str">
        <x:v>ШТ</x:v>
      </x:c>
      <x:c r="F373" s="21" t="n">
        <x:v>2</x:v>
      </x:c>
      <x:c r="G373" s="17" t="n">
        <x:v>325.3862</x:v>
      </x:c>
      <x:c r="H373" s="17" t="n">
        <x:f>G373*F373</x:f>
        <x:v>650.7724</x:v>
      </x:c>
      <x:c r="I373" s="22" t="str">
        <x:f>HYPERLINK("https://etp-aktiv.ru/catalog/materialy/truboprovody/2000559243-V114/","Открыть позицию")</x:f>
        <x:v>Открыть позицию</x:v>
      </x:c>
    </x:row>
    <x:row r="374" ht="28" customHeight="1">
      <x:c r="A374" s="16" t="str">
        <x:v>Красноярская теплосеть</x:v>
      </x:c>
      <x:c r="B374" s="16" t="str">
        <x:v>2000003814-V122</x:v>
      </x:c>
      <x:c r="C374" s="16" t="str">
        <x:v>ВЕНТИЛЬ 15Б1П DN20 PN16</x:v>
      </x:c>
      <x:c r="D374" s="16" t="str">
        <x:v>Армат из медн сплав</x:v>
      </x:c>
      <x:c r="E374" s="16" t="str">
        <x:v>ШТ</x:v>
      </x:c>
      <x:c r="F374" s="21" t="n">
        <x:v>2</x:v>
      </x:c>
      <x:c r="G374" s="17" t="n">
        <x:v>75.2984</x:v>
      </x:c>
      <x:c r="H374" s="17" t="n">
        <x:f>G374*F374</x:f>
        <x:v>150.5968</x:v>
      </x:c>
      <x:c r="I374" s="22" t="str">
        <x:f>HYPERLINK("https://etp-aktiv.ru/catalog/materialy/truboprovodnaya-armatura-i-komplektuyushchie/2000003814-V122/","Открыть позицию")</x:f>
        <x:v>Открыть позицию</x:v>
      </x:c>
    </x:row>
    <x:row r="375" ht="28" customHeight="1">
      <x:c r="A375" s="16" t="str">
        <x:v>Красноярская теплосеть</x:v>
      </x:c>
      <x:c r="B375" s="16" t="str">
        <x:v>2000005548-V122</x:v>
      </x:c>
      <x:c r="C375" s="16" t="str">
        <x:v>ВЕНТИЛЬ 15Б1П DN32 PN16</x:v>
      </x:c>
      <x:c r="D375" s="16" t="str">
        <x:v>Армат из медн сплав</x:v>
      </x:c>
      <x:c r="E375" s="16" t="str">
        <x:v>ШТ</x:v>
      </x:c>
      <x:c r="F375" s="21" t="n">
        <x:v>2</x:v>
      </x:c>
      <x:c r="G375" s="17" t="n">
        <x:v>167.9818</x:v>
      </x:c>
      <x:c r="H375" s="17" t="n">
        <x:f>G375*F375</x:f>
        <x:v>335.9636</x:v>
      </x:c>
      <x:c r="I375" s="22" t="str">
        <x:f>HYPERLINK("https://etp-aktiv.ru/catalog/materialy/truboprovodnaya-armatura-i-komplektuyushchie/2000005548-V122/","Открыть позицию")</x:f>
        <x:v>Открыть позицию</x:v>
      </x:c>
    </x:row>
    <x:row r="376" ht="28" customHeight="1">
      <x:c r="A376" s="16" t="str">
        <x:v>Красноярская теплосеть</x:v>
      </x:c>
      <x:c r="B376" s="16" t="str">
        <x:v>2000011087-V122</x:v>
      </x:c>
      <x:c r="C376" s="16" t="str">
        <x:v>ЗАДВИЖКА 30С41НЖ DN50 PN16 РП ФЛ А</x:v>
      </x:c>
      <x:c r="D376" s="16" t="str">
        <x:v>Задвиж/клапан стальн</x:v>
      </x:c>
      <x:c r="E376" s="16" t="str">
        <x:v>ШТ</x:v>
      </x:c>
      <x:c r="F376" s="21" t="n">
        <x:v>3</x:v>
      </x:c>
      <x:c r="G376" s="17" t="n">
        <x:v>3562.9246</x:v>
      </x:c>
      <x:c r="H376" s="17" t="n">
        <x:f>G376*F376</x:f>
        <x:v>10688.773799999999</x:v>
      </x:c>
      <x:c r="I376" s="22" t="str">
        <x:f>HYPERLINK("https://etp-aktiv.ru/catalog/materialy/truboprovodnaya-armatura-i-komplektuyushchie/2000011087-V122/","Открыть позицию")</x:f>
        <x:v>Открыть позицию</x:v>
      </x:c>
    </x:row>
    <x:row r="377" ht="28" customHeight="1">
      <x:c r="A377" s="16" t="str">
        <x:v>Красноярская теплосеть</x:v>
      </x:c>
      <x:c r="B377" s="16" t="str">
        <x:v>2000539369-V122</x:v>
      </x:c>
      <x:c r="C377" s="16" t="str">
        <x:v>ЗАДВИЖКА 30С541НЖ 500/16 РЕД П/П A 25Л</x:v>
      </x:c>
      <x:c r="D377" s="16" t="str">
        <x:v>Задвиж/клапан стальн</x:v>
      </x:c>
      <x:c r="E377" s="16" t="str">
        <x:v>ШТ</x:v>
      </x:c>
      <x:c r="F377" s="21" t="n">
        <x:v>1</x:v>
      </x:c>
      <x:c r="G377" s="17" t="n">
        <x:v>146364.2662</x:v>
      </x:c>
      <x:c r="H377" s="17" t="n">
        <x:f>G377*F377</x:f>
        <x:v>146364.2662</x:v>
      </x:c>
      <x:c r="I377" s="22" t="str">
        <x:f>HYPERLINK("https://etp-aktiv.ru/catalog/materialy/truboprovodnaya-armatura-i-komplektuyushchie/2000539369-V122/","Открыть позицию")</x:f>
        <x:v>Открыть позицию</x:v>
      </x:c>
    </x:row>
    <x:row r="378" ht="28" customHeight="1">
      <x:c r="A378" s="16" t="str">
        <x:v>Красноярская теплосеть</x:v>
      </x:c>
      <x:c r="B378" s="16" t="str">
        <x:v>2000539429-V122</x:v>
      </x:c>
      <x:c r="C378" s="16" t="str">
        <x:v>ЗАДВИЖКА 30С964НЖ DN400 PN25 Э/П ФЛ А</x:v>
      </x:c>
      <x:c r="D378" s="16" t="str">
        <x:v>Задвиж/клапан стальн</x:v>
      </x:c>
      <x:c r="E378" s="16" t="str">
        <x:v>ШТ</x:v>
      </x:c>
      <x:c r="F378" s="21" t="n">
        <x:v>1</x:v>
      </x:c>
      <x:c r="G378" s="17" t="n">
        <x:v>170418.75</x:v>
      </x:c>
      <x:c r="H378" s="17" t="n">
        <x:f>G378*F378</x:f>
        <x:v>170418.75</x:v>
      </x:c>
      <x:c r="I378" s="22" t="str">
        <x:f>HYPERLINK("https://etp-aktiv.ru/catalog/materialy/truboprovodnaya-armatura-i-komplektuyushchie/2000539429-V122/","Открыть позицию")</x:f>
        <x:v>Открыть позицию</x:v>
      </x:c>
    </x:row>
    <x:row r="379" ht="28" customHeight="1">
      <x:c r="A379" s="16" t="str">
        <x:v>Красноярская теплосеть</x:v>
      </x:c>
      <x:c r="B379" s="16" t="str">
        <x:v>2000539971-V122</x:v>
      </x:c>
      <x:c r="C379" s="16" t="str">
        <x:v>ЗАТВОР Ф СТ/НЖ КИСЛ 100 М 100/16 РП A</x:v>
      </x:c>
      <x:c r="D379" s="16" t="str">
        <x:v>ЗатворСтальнПповорот</x:v>
      </x:c>
      <x:c r="E379" s="16" t="str">
        <x:v>ШТ</x:v>
      </x:c>
      <x:c r="F379" s="21" t="n">
        <x:v>2</x:v>
      </x:c>
      <x:c r="G379" s="17" t="n">
        <x:v>10278.256</x:v>
      </x:c>
      <x:c r="H379" s="17" t="n">
        <x:f>G379*F379</x:f>
        <x:v>20556.512</x:v>
      </x:c>
      <x:c r="I379" s="22" t="str">
        <x:f>HYPERLINK("https://etp-aktiv.ru/catalog/materialy/truboprovodnaya-armatura-i-komplektuyushchie/2000539971-V122/","Открыть позицию")</x:f>
        <x:v>Открыть позицию</x:v>
      </x:c>
    </x:row>
    <x:row r="380" ht="28" customHeight="1">
      <x:c r="A380" s="16" t="str">
        <x:v>Красноярская теплосеть</x:v>
      </x:c>
      <x:c r="B380" s="16" t="str">
        <x:v>2000539540-V122</x:v>
      </x:c>
      <x:c r="C380" s="16" t="str">
        <x:v>КЛАПАН 15Б3Р DN32 PN16 Р.П МАХОВИК ФЛ A</x:v>
      </x:c>
      <x:c r="D380" s="16" t="str">
        <x:v>Армат из медн сплав</x:v>
      </x:c>
      <x:c r="E380" s="16" t="str">
        <x:v>ШТ</x:v>
      </x:c>
      <x:c r="F380" s="21" t="n">
        <x:v>16</x:v>
      </x:c>
      <x:c r="G380" s="17" t="n">
        <x:v>146.36339999999998</x:v>
      </x:c>
      <x:c r="H380" s="17" t="n">
        <x:f>G380*F380</x:f>
        <x:v>2341.8143999999998</x:v>
      </x:c>
      <x:c r="I380" s="22" t="str">
        <x:f>HYPERLINK("https://etp-aktiv.ru/catalog/materialy/truboprovodnaya-armatura-i-komplektuyushchie/2000539540-V122/","Открыть позицию")</x:f>
        <x:v>Открыть позицию</x:v>
      </x:c>
    </x:row>
    <x:row r="381" ht="28" customHeight="1">
      <x:c r="A381" s="16" t="str">
        <x:v>Красноярская теплосеть</x:v>
      </x:c>
      <x:c r="B381" s="16" t="str">
        <x:v>2000539601-V122</x:v>
      </x:c>
      <x:c r="C381" s="16" t="str">
        <x:v>КЛАПАН 15С22НЖ DN40 PN40 МАХОВИК ФЛАНЦ А</x:v>
      </x:c>
      <x:c r="D381" s="16" t="str">
        <x:v>Задвиж/клапан стальн</x:v>
      </x:c>
      <x:c r="E381" s="16" t="str">
        <x:v>ШТ</x:v>
      </x:c>
      <x:c r="F381" s="21" t="n">
        <x:v>3</x:v>
      </x:c>
      <x:c r="G381" s="17" t="n">
        <x:v>965.8984</x:v>
      </x:c>
      <x:c r="H381" s="17" t="n">
        <x:f>G381*F381</x:f>
        <x:v>2897.6952</x:v>
      </x:c>
      <x:c r="I381" s="22" t="str">
        <x:f>HYPERLINK("https://etp-aktiv.ru/catalog/materialy/truboprovodnaya-armatura-i-komplektuyushchie/2000539601-V122/","Открыть позицию")</x:f>
        <x:v>Открыть позицию</x:v>
      </x:c>
    </x:row>
    <x:row r="382" ht="28" customHeight="1">
      <x:c r="A382" s="16" t="str">
        <x:v>Красноярская теплосеть</x:v>
      </x:c>
      <x:c r="B382" s="16" t="str">
        <x:v>2000539534-V122</x:v>
      </x:c>
      <x:c r="C382" s="16" t="str">
        <x:v>КЛАПАН Б3Р DN15 PN16 РУЧ/ПР РУКОЯТ ФЛ А</x:v>
      </x:c>
      <x:c r="D382" s="16" t="str">
        <x:v>Армат из медн сплав</x:v>
      </x:c>
      <x:c r="E382" s="16" t="str">
        <x:v>ШТ</x:v>
      </x:c>
      <x:c r="F382" s="21" t="n">
        <x:v>30</x:v>
      </x:c>
      <x:c r="G382" s="17" t="n">
        <x:v>243.512</x:v>
      </x:c>
      <x:c r="H382" s="17" t="n">
        <x:f>G382*F382</x:f>
        <x:v>7305.36</x:v>
      </x:c>
      <x:c r="I382" s="22" t="str">
        <x:f>HYPERLINK("https://etp-aktiv.ru/catalog/materialy/truboprovodnaya-armatura-i-komplektuyushchie/2000539534-V122/","Открыть позицию")</x:f>
        <x:v>Открыть позицию</x:v>
      </x:c>
    </x:row>
    <x:row r="383" ht="28" customHeight="1">
      <x:c r="A383" s="16" t="str">
        <x:v>Красноярская теплосеть</x:v>
      </x:c>
      <x:c r="B383" s="16" t="str">
        <x:v>2000539777-V122</x:v>
      </x:c>
      <x:c r="C383" s="16" t="str">
        <x:v>КЛАПАН ОБР ГРАНЛОК CV16 100/16 М/Ф A СЧ</x:v>
      </x:c>
      <x:c r="D383" s="16" t="str">
        <x:v>ЧугунАрмат (кр.затв)</x:v>
      </x:c>
      <x:c r="E383" s="16" t="str">
        <x:v>ШТ</x:v>
      </x:c>
      <x:c r="F383" s="21" t="n">
        <x:v>7</x:v>
      </x:c>
      <x:c r="G383" s="17" t="n">
        <x:v>3289.7056</x:v>
      </x:c>
      <x:c r="H383" s="17" t="n">
        <x:f>G383*F383</x:f>
        <x:v>23027.939199999997</x:v>
      </x:c>
      <x:c r="I383" s="22" t="str">
        <x:f>HYPERLINK("https://etp-aktiv.ru/catalog/materialy/truboprovodnaya-armatura-i-komplektuyushchie/2000539777-V122/","Открыть позицию")</x:f>
        <x:v>Открыть позицию</x:v>
      </x:c>
    </x:row>
    <x:row r="384" ht="28" customHeight="1">
      <x:c r="A384" s="16" t="str">
        <x:v>Красноярская теплосеть</x:v>
      </x:c>
      <x:c r="B384" s="16" t="str">
        <x:v>2000539782-V122</x:v>
      </x:c>
      <x:c r="C384" s="16" t="str">
        <x:v>КЛАПАН ОБР ЛАЗ DN100 PN16 М/Ф A ЧУГ ВОДА</x:v>
      </x:c>
      <x:c r="D384" s="16" t="str">
        <x:v>ЧугунАрмат (кр.затв)</x:v>
      </x:c>
      <x:c r="E384" s="16" t="str">
        <x:v>ШТ</x:v>
      </x:c>
      <x:c r="F384" s="21" t="n">
        <x:v>13</x:v>
      </x:c>
      <x:c r="G384" s="17" t="n">
        <x:v>741.8820000000001</x:v>
      </x:c>
      <x:c r="H384" s="17" t="n">
        <x:f>G384*F384</x:f>
        <x:v>9644.466</x:v>
      </x:c>
      <x:c r="I384" s="22" t="str">
        <x:f>HYPERLINK("https://etp-aktiv.ru/catalog/materialy/truboprovodnaya-armatura-i-komplektuyushchie/2000539782-V122/","Открыть позицию")</x:f>
        <x:v>Открыть позицию</x:v>
      </x:c>
    </x:row>
    <x:row r="385" ht="28" customHeight="1">
      <x:c r="A385" s="16" t="str">
        <x:v>Красноярская теплосеть</x:v>
      </x:c>
      <x:c r="B385" s="16" t="str">
        <x:v>2000631129-V122</x:v>
      </x:c>
      <x:c r="C385" s="16" t="str">
        <x:v>КЛАПАН ОБРАТ CVS-16 DN200 PN16 Б/П М/ФЛ</x:v>
      </x:c>
      <x:c r="D385" s="16" t="str">
        <x:v>Обратная арматура</x:v>
      </x:c>
      <x:c r="E385" s="16" t="str">
        <x:v>ШТ</x:v>
      </x:c>
      <x:c r="F385" s="21" t="n">
        <x:v>2</x:v>
      </x:c>
      <x:c r="G385" s="17" t="n">
        <x:v>49860.3508</x:v>
      </x:c>
      <x:c r="H385" s="17" t="n">
        <x:f>G385*F385</x:f>
        <x:v>99720.7016</x:v>
      </x:c>
      <x:c r="I385" s="22" t="str">
        <x:f>HYPERLINK("https://etp-aktiv.ru/catalog/materialy/truboprovodnaya-armatura-i-komplektuyushchie/2000631129-V122/","Открыть позицию")</x:f>
        <x:v>Открыть позицию</x:v>
      </x:c>
    </x:row>
    <x:row r="386" ht="28" customHeight="1">
      <x:c r="A386" s="16" t="str">
        <x:v>Красноярская теплосеть</x:v>
      </x:c>
      <x:c r="B386" s="16" t="str">
        <x:v>2000554255-V122</x:v>
      </x:c>
      <x:c r="C386" s="16" t="str">
        <x:v>КОЛЕНО 45 СТ17Г1С 820*11 086 ОСТ34.10.75</x:v>
      </x:c>
      <x:c r="D386" s="16" t="str">
        <x:v>Детали фасонные</x:v>
      </x:c>
      <x:c r="E386" s="16" t="str">
        <x:v>ШТ</x:v>
      </x:c>
      <x:c r="F386" s="21" t="n">
        <x:v>2</x:v>
      </x:c>
      <x:c r="G386" s="17" t="n">
        <x:v>12041.9002</x:v>
      </x:c>
      <x:c r="H386" s="17" t="n">
        <x:f>G386*F386</x:f>
        <x:v>24083.8004</x:v>
      </x:c>
      <x:c r="I386" s="22" t="str">
        <x:f>HYPERLINK("https://etp-aktiv.ru/catalog/materialy/truboprovody/2000554255-V122/","Открыть позицию")</x:f>
        <x:v>Открыть позицию</x:v>
      </x:c>
    </x:row>
    <x:row r="387" ht="28" customHeight="1">
      <x:c r="A387" s="16" t="str">
        <x:v>Красноярская теплосеть</x:v>
      </x:c>
      <x:c r="B387" s="16" t="str">
        <x:v>2000535038-V122</x:v>
      </x:c>
      <x:c r="C387" s="16" t="str">
        <x:v>КОМПЕНСАТОР ТС-579.00.000-05 С.5.903-13</x:v>
      </x:c>
      <x:c r="D387" s="16" t="str">
        <x:v>Компенсаторы</x:v>
      </x:c>
      <x:c r="E387" s="16" t="str">
        <x:v>ШТ</x:v>
      </x:c>
      <x:c r="F387" s="21" t="n">
        <x:v>2</x:v>
      </x:c>
      <x:c r="G387" s="17" t="n">
        <x:v>3899.4249999999997</x:v>
      </x:c>
      <x:c r="H387" s="17" t="n">
        <x:f>G387*F387</x:f>
        <x:v>7798.849999999999</x:v>
      </x:c>
      <x:c r="I387" s="22" t="str">
        <x:f>HYPERLINK("https://etp-aktiv.ru/catalog/materialy/truboprovody/2000535038-V122/","Открыть позицию")</x:f>
        <x:v>Открыть позицию</x:v>
      </x:c>
    </x:row>
    <x:row r="388" ht="28" customHeight="1">
      <x:c r="A388" s="16" t="str">
        <x:v>Красноярская теплосеть</x:v>
      </x:c>
      <x:c r="B388" s="16" t="str">
        <x:v>2000627633-V122</x:v>
      </x:c>
      <x:c r="C388" s="16" t="str">
        <x:v>КРАН 3Х ЛХ ВОДА ВВ 15 42 РП</x:v>
      </x:c>
      <x:c r="D388" s="16" t="str">
        <x:v>Краны шаров.стальн</x:v>
      </x:c>
      <x:c r="E388" s="16" t="str">
        <x:v>ШТ</x:v>
      </x:c>
      <x:c r="F388" s="21" t="n">
        <x:v>168</x:v>
      </x:c>
      <x:c r="G388" s="17" t="n">
        <x:v>579.0242</x:v>
      </x:c>
      <x:c r="H388" s="17" t="n">
        <x:f>G388*F388</x:f>
        <x:v>97276.06559999999</x:v>
      </x:c>
      <x:c r="I388" s="22" t="str">
        <x:f>HYPERLINK("https://etp-aktiv.ru/catalog/materialy/truboprovodnaya-armatura-i-komplektuyushchie/2000627633-V122/","Открыть позицию")</x:f>
        <x:v>Открыть позицию</x:v>
      </x:c>
    </x:row>
    <x:row r="389" ht="28" customHeight="1">
      <x:c r="A389" s="16" t="str">
        <x:v>Красноярская теплосеть</x:v>
      </x:c>
      <x:c r="B389" s="16" t="str">
        <x:v>2000554269-V122</x:v>
      </x:c>
      <x:c r="C389" s="16" t="str">
        <x:v>ОТВОД 15° СТ17Г1С 1020*10-1,6 ТС 583-036</x:v>
      </x:c>
      <x:c r="D389" s="16" t="str">
        <x:v>Детали фасонные</x:v>
      </x:c>
      <x:c r="E389" s="16" t="str">
        <x:v>ШТ</x:v>
      </x:c>
      <x:c r="F389" s="21" t="n">
        <x:v>2</x:v>
      </x:c>
      <x:c r="G389" s="17" t="n">
        <x:v>6207.1282</x:v>
      </x:c>
      <x:c r="H389" s="17" t="n">
        <x:f>G389*F389</x:f>
        <x:v>12414.2564</x:v>
      </x:c>
      <x:c r="I389" s="22" t="str">
        <x:f>HYPERLINK("https://etp-aktiv.ru/catalog/materialy/truboprovody/2000554269-V122/","Открыть позицию")</x:f>
        <x:v>Открыть позицию</x:v>
      </x:c>
    </x:row>
    <x:row r="390" ht="28" customHeight="1">
      <x:c r="A390" s="16" t="str">
        <x:v>Красноярская теплосеть</x:v>
      </x:c>
      <x:c r="B390" s="16" t="str">
        <x:v>2000744391-V122</x:v>
      </x:c>
      <x:c r="C390" s="16" t="str">
        <x:v>ОТВОД 30° 09Г2С DN530 9 ГОСТ30753-2001</x:v>
      </x:c>
      <x:c r="D390" s="16" t="str">
        <x:v>Детали фасонные</x:v>
      </x:c>
      <x:c r="E390" s="16" t="str">
        <x:v>ШТ</x:v>
      </x:c>
      <x:c r="F390" s="21" t="n">
        <x:v>1</x:v>
      </x:c>
      <x:c r="G390" s="17" t="n">
        <x:v>13450.5</x:v>
      </x:c>
      <x:c r="H390" s="17" t="n">
        <x:f>G390*F390</x:f>
        <x:v>13450.5</x:v>
      </x:c>
      <x:c r="I390" s="22" t="str">
        <x:f>HYPERLINK("https://etp-aktiv.ru/catalog/materialy/truboprovody/2000744391-V122/","Открыть позицию")</x:f>
        <x:v>Открыть позицию</x:v>
      </x:c>
    </x:row>
    <x:row r="391" ht="28" customHeight="1">
      <x:c r="A391" s="16" t="str">
        <x:v>Красноярская теплосеть</x:v>
      </x:c>
      <x:c r="B391" s="16" t="str">
        <x:v>2000554280-V122</x:v>
      </x:c>
      <x:c r="C391" s="16" t="str">
        <x:v>ОТВОД 30° 09ГС 159*6 ТС 582.06 С.5.903</x:v>
      </x:c>
      <x:c r="D391" s="16" t="str">
        <x:v>Детали фасонные</x:v>
      </x:c>
      <x:c r="E391" s="16" t="str">
        <x:v>ШТ</x:v>
      </x:c>
      <x:c r="F391" s="21" t="n">
        <x:v>1</x:v>
      </x:c>
      <x:c r="G391" s="17" t="n">
        <x:v>741.5038</x:v>
      </x:c>
      <x:c r="H391" s="17" t="n">
        <x:f>G391*F391</x:f>
        <x:v>741.5038</x:v>
      </x:c>
      <x:c r="I391" s="22" t="str">
        <x:f>HYPERLINK("https://etp-aktiv.ru/catalog/materialy/truboprovody/2000554280-V122/","Открыть позицию")</x:f>
        <x:v>Открыть позицию</x:v>
      </x:c>
    </x:row>
    <x:row r="392" ht="28" customHeight="1">
      <x:c r="A392" s="16" t="str">
        <x:v>Красноярская теплосеть</x:v>
      </x:c>
      <x:c r="B392" s="16" t="str">
        <x:v>2000472983-V122</x:v>
      </x:c>
      <x:c r="C392" s="16" t="str">
        <x:v>ОТВОД 45° 09Г2С DN426 12 ГОСТ17375-01</x:v>
      </x:c>
      <x:c r="D392" s="16" t="str">
        <x:v>Детали фасонные</x:v>
      </x:c>
      <x:c r="E392" s="16" t="str">
        <x:v>ШТ</x:v>
      </x:c>
      <x:c r="F392" s="21" t="n">
        <x:v>1</x:v>
      </x:c>
      <x:c r="G392" s="17" t="n">
        <x:v>1957.9536</x:v>
      </x:c>
      <x:c r="H392" s="17" t="n">
        <x:f>G392*F392</x:f>
        <x:v>1957.9536</x:v>
      </x:c>
      <x:c r="I392" s="22" t="str">
        <x:f>HYPERLINK("https://etp-aktiv.ru/catalog/materialy/truboprovody/2000472983-V122/","Открыть позицию")</x:f>
        <x:v>Открыть позицию</x:v>
      </x:c>
    </x:row>
    <x:row r="393" ht="28" customHeight="1">
      <x:c r="A393" s="16" t="str">
        <x:v>Красноярская теплосеть</x:v>
      </x:c>
      <x:c r="B393" s="16" t="str">
        <x:v>2000582420-V122</x:v>
      </x:c>
      <x:c r="C393" s="16" t="str">
        <x:v>ОТВОД 45° 17Г1С 630*9 ГОСТ30753-2001</x:v>
      </x:c>
      <x:c r="D393" s="16" t="str">
        <x:v>Детали фасонные</x:v>
      </x:c>
      <x:c r="E393" s="16" t="str">
        <x:v>ШТ</x:v>
      </x:c>
      <x:c r="F393" s="21" t="n">
        <x:v>1</x:v>
      </x:c>
      <x:c r="G393" s="17" t="n">
        <x:v>3111</x:v>
      </x:c>
      <x:c r="H393" s="17" t="n">
        <x:f>G393*F393</x:f>
        <x:v>3111</x:v>
      </x:c>
      <x:c r="I393" s="22" t="str">
        <x:f>HYPERLINK("https://etp-aktiv.ru/catalog/materialy/truboprovody/2000582420-V122/","Открыть позицию")</x:f>
        <x:v>Открыть позицию</x:v>
      </x:c>
    </x:row>
    <x:row r="394" ht="28" customHeight="1">
      <x:c r="A394" s="16" t="str">
        <x:v>Красноярская теплосеть</x:v>
      </x:c>
      <x:c r="B394" s="16" t="str">
        <x:v>2000585938-V122</x:v>
      </x:c>
      <x:c r="C394" s="16" t="str">
        <x:v>ОТВОД 45° 219*8 09Г2С ГОСТ30753</x:v>
      </x:c>
      <x:c r="D394" s="16" t="str">
        <x:v>Детали фасонные</x:v>
      </x:c>
      <x:c r="E394" s="16" t="str">
        <x:v>ШТ</x:v>
      </x:c>
      <x:c r="F394" s="21" t="n">
        <x:v>2</x:v>
      </x:c>
      <x:c r="G394" s="17" t="n">
        <x:v>895.5532</x:v>
      </x:c>
      <x:c r="H394" s="17" t="n">
        <x:f>G394*F394</x:f>
        <x:v>1791.1064</x:v>
      </x:c>
      <x:c r="I394" s="22" t="str">
        <x:f>HYPERLINK("https://etp-aktiv.ru/catalog/materialy/truboprovody/2000585938-V122/","Открыть позицию")</x:f>
        <x:v>Открыть позицию</x:v>
      </x:c>
    </x:row>
    <x:row r="395" ht="28" customHeight="1">
      <x:c r="A395" s="16" t="str">
        <x:v>Красноярская теплосеть</x:v>
      </x:c>
      <x:c r="B395" s="16" t="str">
        <x:v>2000261260-V122</x:v>
      </x:c>
      <x:c r="C395" s="16" t="str">
        <x:v>ОТВОД 45° СТ20 DN219 7 ГОСТ17375-01</x:v>
      </x:c>
      <x:c r="D395" s="16" t="str">
        <x:v>Детали фасонные</x:v>
      </x:c>
      <x:c r="E395" s="16" t="str">
        <x:v>ШТ</x:v>
      </x:c>
      <x:c r="F395" s="21" t="n">
        <x:v>3</x:v>
      </x:c>
      <x:c r="G395" s="17" t="n">
        <x:v>359.6682</x:v>
      </x:c>
      <x:c r="H395" s="17" t="n">
        <x:f>G395*F395</x:f>
        <x:v>1079.0046</x:v>
      </x:c>
      <x:c r="I395" s="22" t="str">
        <x:f>HYPERLINK("https://etp-aktiv.ru/catalog/materialy/truboprovody/2000261260-V122/","Открыть позицию")</x:f>
        <x:v>Открыть позицию</x:v>
      </x:c>
    </x:row>
    <x:row r="396" ht="28" customHeight="1">
      <x:c r="A396" s="16" t="str">
        <x:v>Красноярская теплосеть</x:v>
      </x:c>
      <x:c r="B396" s="16" t="str">
        <x:v>2000554326-V122</x:v>
      </x:c>
      <x:c r="C396" s="16" t="str">
        <x:v>ОТВОД 45° СТ20 DN273*8 ГОСТ17375-01</x:v>
      </x:c>
      <x:c r="D396" s="16" t="str">
        <x:v>Детали фасонные</x:v>
      </x:c>
      <x:c r="E396" s="16" t="str">
        <x:v>ШТ</x:v>
      </x:c>
      <x:c r="F396" s="21" t="n">
        <x:v>2</x:v>
      </x:c>
      <x:c r="G396" s="17" t="n">
        <x:v>1358.1406</x:v>
      </x:c>
      <x:c r="H396" s="17" t="n">
        <x:f>G396*F396</x:f>
        <x:v>2716.2812</x:v>
      </x:c>
      <x:c r="I396" s="22" t="str">
        <x:f>HYPERLINK("https://etp-aktiv.ru/catalog/materialy/truboprovody/2000554326-V122/","Открыть позицию")</x:f>
        <x:v>Открыть позицию</x:v>
      </x:c>
    </x:row>
    <x:row r="397" ht="28" customHeight="1">
      <x:c r="A397" s="16" t="str">
        <x:v>Красноярская теплосеть</x:v>
      </x:c>
      <x:c r="B397" s="16" t="str">
        <x:v>2000249311-V122</x:v>
      </x:c>
      <x:c r="C397" s="16" t="str">
        <x:v>ОТВОД 45° СТ20 DN57 3,5 ГОСТ17375-01</x:v>
      </x:c>
      <x:c r="D397" s="16" t="str">
        <x:v>Детали фасонные</x:v>
      </x:c>
      <x:c r="E397" s="16" t="str">
        <x:v>ШТ</x:v>
      </x:c>
      <x:c r="F397" s="21" t="n">
        <x:v>4</x:v>
      </x:c>
      <x:c r="G397" s="17" t="n">
        <x:v>11.8096</x:v>
      </x:c>
      <x:c r="H397" s="17" t="n">
        <x:f>G397*F397</x:f>
        <x:v>47.2384</x:v>
      </x:c>
      <x:c r="I397" s="22" t="str">
        <x:f>HYPERLINK("https://etp-aktiv.ru/catalog/materialy/truboprovody/2000249311-V122/","Открыть позицию")</x:f>
        <x:v>Открыть позицию</x:v>
      </x:c>
    </x:row>
    <x:row r="398" ht="28" customHeight="1">
      <x:c r="A398" s="16" t="str">
        <x:v>Красноярская теплосеть</x:v>
      </x:c>
      <x:c r="B398" s="16" t="str">
        <x:v>2000249312-V122</x:v>
      </x:c>
      <x:c r="C398" s="16" t="str">
        <x:v>ОТВОД 45° СТ20 DN89 4,5 ГОСТ17375-01</x:v>
      </x:c>
      <x:c r="D398" s="16" t="str">
        <x:v>Детали фасонные</x:v>
      </x:c>
      <x:c r="E398" s="16" t="str">
        <x:v>ШТ</x:v>
      </x:c>
      <x:c r="F398" s="21" t="n">
        <x:v>3</x:v>
      </x:c>
      <x:c r="G398" s="17" t="n">
        <x:v>58.987</x:v>
      </x:c>
      <x:c r="H398" s="17" t="n">
        <x:f>G398*F398</x:f>
        <x:v>176.961</x:v>
      </x:c>
      <x:c r="I398" s="22" t="str">
        <x:f>HYPERLINK("https://etp-aktiv.ru/catalog/materialy/truboprovody/2000249312-V122/","Открыть позицию")</x:f>
        <x:v>Открыть позицию</x:v>
      </x:c>
    </x:row>
    <x:row r="399" ht="28" customHeight="1">
      <x:c r="A399" s="16" t="str">
        <x:v>Красноярская теплосеть</x:v>
      </x:c>
      <x:c r="B399" s="16" t="str">
        <x:v>2000247501-V122</x:v>
      </x:c>
      <x:c r="C399" s="16" t="str">
        <x:v>ОТВОД 60° 09Г2С DN159 4,5 ГОСТ17375-01</x:v>
      </x:c>
      <x:c r="D399" s="16" t="str">
        <x:v>Детали фасонные</x:v>
      </x:c>
      <x:c r="E399" s="16" t="str">
        <x:v>ШТ</x:v>
      </x:c>
      <x:c r="F399" s="21" t="n">
        <x:v>4</x:v>
      </x:c>
      <x:c r="G399" s="17" t="n">
        <x:v>311.0878</x:v>
      </x:c>
      <x:c r="H399" s="17" t="n">
        <x:f>G399*F399</x:f>
        <x:v>1244.3512</x:v>
      </x:c>
      <x:c r="I399" s="22" t="str">
        <x:f>HYPERLINK("https://etp-aktiv.ru/catalog/materialy/truboprovody/2000247501-V122/","Открыть позицию")</x:f>
        <x:v>Открыть позицию</x:v>
      </x:c>
    </x:row>
    <x:row r="400" ht="28" customHeight="1">
      <x:c r="A400" s="16" t="str">
        <x:v>Красноярская теплосеть</x:v>
      </x:c>
      <x:c r="B400" s="16" t="str">
        <x:v>2000240545-V122</x:v>
      </x:c>
      <x:c r="C400" s="16" t="str">
        <x:v>ОТВОД 60° 09Г2С DN219 7 ГОСТ17375-01</x:v>
      </x:c>
      <x:c r="D400" s="16" t="str">
        <x:v>Детали фасонные</x:v>
      </x:c>
      <x:c r="E400" s="16" t="str">
        <x:v>ШТ</x:v>
      </x:c>
      <x:c r="F400" s="21" t="n">
        <x:v>2</x:v>
      </x:c>
      <x:c r="G400" s="17" t="n">
        <x:v>938.0214</x:v>
      </x:c>
      <x:c r="H400" s="17" t="n">
        <x:f>G400*F400</x:f>
        <x:v>1876.0428</x:v>
      </x:c>
      <x:c r="I400" s="22" t="str">
        <x:f>HYPERLINK("https://etp-aktiv.ru/catalog/materialy/truboprovody/2000240545-V122/","Открыть позицию")</x:f>
        <x:v>Открыть позицию</x:v>
      </x:c>
    </x:row>
    <x:row r="401" ht="28" customHeight="1">
      <x:c r="A401" s="16" t="str">
        <x:v>Красноярская теплосеть</x:v>
      </x:c>
      <x:c r="B401" s="16" t="str">
        <x:v>2000247609-V122</x:v>
      </x:c>
      <x:c r="C401" s="16" t="str">
        <x:v>ОТВОД 60° 09Г2С DN219 8 ГОСТ17375-01</x:v>
      </x:c>
      <x:c r="D401" s="16" t="str">
        <x:v>Детали фасонные</x:v>
      </x:c>
      <x:c r="E401" s="16" t="str">
        <x:v>ШТ</x:v>
      </x:c>
      <x:c r="F401" s="21" t="n">
        <x:v>4</x:v>
      </x:c>
      <x:c r="G401" s="17" t="n">
        <x:v>1852.875</x:v>
      </x:c>
      <x:c r="H401" s="17" t="n">
        <x:f>G401*F401</x:f>
        <x:v>7411.5</x:v>
      </x:c>
      <x:c r="I401" s="22" t="str">
        <x:f>HYPERLINK("https://etp-aktiv.ru/catalog/materialy/truboprovody/2000247609-V122/","Открыть позицию")</x:f>
        <x:v>Открыть позицию</x:v>
      </x:c>
    </x:row>
    <x:row r="402" ht="28" customHeight="1">
      <x:c r="A402" s="16" t="str">
        <x:v>Красноярская теплосеть</x:v>
      </x:c>
      <x:c r="B402" s="16" t="str">
        <x:v>2000746413-V122</x:v>
      </x:c>
      <x:c r="C402" s="16" t="str">
        <x:v>ОТВОД 60° 09Г2С DN219 8 ГОСТ30753-01</x:v>
      </x:c>
      <x:c r="D402" s="16" t="str">
        <x:v>Детали фасонные</x:v>
      </x:c>
      <x:c r="E402" s="16" t="str">
        <x:v>ШТ</x:v>
      </x:c>
      <x:c r="F402" s="21" t="n">
        <x:v>5</x:v>
      </x:c>
      <x:c r="G402" s="17" t="n">
        <x:v>3427.8218</x:v>
      </x:c>
      <x:c r="H402" s="17" t="n">
        <x:f>G402*F402</x:f>
        <x:v>17139.109</x:v>
      </x:c>
      <x:c r="I402" s="22" t="str">
        <x:f>HYPERLINK("https://etp-aktiv.ru/catalog/materialy/truboprovody/2000746413-V122/","Открыть позицию")</x:f>
        <x:v>Открыть позицию</x:v>
      </x:c>
    </x:row>
    <x:row r="403" ht="28" customHeight="1">
      <x:c r="A403" s="16" t="str">
        <x:v>Красноярская теплосеть</x:v>
      </x:c>
      <x:c r="B403" s="16" t="str">
        <x:v>2000804789-V122</x:v>
      </x:c>
      <x:c r="C403" s="16" t="str">
        <x:v>ОТВОД 60° 09Г2С DN273*8 ГОСТ17375-01</x:v>
      </x:c>
      <x:c r="D403" s="16" t="str">
        <x:v>Детали фасонные</x:v>
      </x:c>
      <x:c r="E403" s="16" t="str">
        <x:v>ШТ</x:v>
      </x:c>
      <x:c r="F403" s="21" t="n">
        <x:v>2</x:v>
      </x:c>
      <x:c r="G403" s="17" t="n">
        <x:v>874.9718</x:v>
      </x:c>
      <x:c r="H403" s="17" t="n">
        <x:f>G403*F403</x:f>
        <x:v>1749.9436</x:v>
      </x:c>
      <x:c r="I403" s="22" t="str">
        <x:f>HYPERLINK("https://etp-aktiv.ru/catalog/materialy/truboprovody/2000804789-V122/","Открыть позицию")</x:f>
        <x:v>Открыть позицию</x:v>
      </x:c>
    </x:row>
    <x:row r="404" ht="28" customHeight="1">
      <x:c r="A404" s="16" t="str">
        <x:v>Красноярская теплосеть</x:v>
      </x:c>
      <x:c r="B404" s="16" t="str">
        <x:v>2000554368-V122</x:v>
      </x:c>
      <x:c r="C404" s="16" t="str">
        <x:v>ОТВОД 60° 09Г2С DN325*8 ГОСТ17375-01</x:v>
      </x:c>
      <x:c r="D404" s="16" t="str">
        <x:v>Детали фасонные</x:v>
      </x:c>
      <x:c r="E404" s="16" t="str">
        <x:v>ШТ</x:v>
      </x:c>
      <x:c r="F404" s="21" t="n">
        <x:v>2</x:v>
      </x:c>
      <x:c r="G404" s="17" t="n">
        <x:v>2314.1692</x:v>
      </x:c>
      <x:c r="H404" s="17" t="n">
        <x:f>G404*F404</x:f>
        <x:v>4628.3384</x:v>
      </x:c>
      <x:c r="I404" s="22" t="str">
        <x:f>HYPERLINK("https://etp-aktiv.ru/catalog/materialy/truboprovody/2000554368-V122/","Открыть позицию")</x:f>
        <x:v>Открыть позицию</x:v>
      </x:c>
    </x:row>
    <x:row r="405" ht="28" customHeight="1">
      <x:c r="A405" s="16" t="str">
        <x:v>Красноярская теплосеть</x:v>
      </x:c>
      <x:c r="B405" s="16" t="str">
        <x:v>2001018023-V122</x:v>
      </x:c>
      <x:c r="C405" s="16" t="str">
        <x:v>ОТВОД 60° 09Г2С DN89*8 ГОСТ17375-01</x:v>
      </x:c>
      <x:c r="D405" s="16" t="str">
        <x:v>Детали фасонные</x:v>
      </x:c>
      <x:c r="E405" s="16" t="str">
        <x:v>ШТ</x:v>
      </x:c>
      <x:c r="F405" s="21" t="n">
        <x:v>2</x:v>
      </x:c>
      <x:c r="G405" s="17" t="n">
        <x:v>473.5186</x:v>
      </x:c>
      <x:c r="H405" s="17" t="n">
        <x:f>G405*F405</x:f>
        <x:v>947.0372</x:v>
      </x:c>
      <x:c r="I405" s="22" t="str">
        <x:f>HYPERLINK("https://etp-aktiv.ru/catalog/materialy/truboprovody/2001018023-V122/","Открыть позицию")</x:f>
        <x:v>Открыть позицию</x:v>
      </x:c>
    </x:row>
    <x:row r="406" ht="28" customHeight="1">
      <x:c r="A406" s="16" t="str">
        <x:v>Красноярская теплосеть</x:v>
      </x:c>
      <x:c r="B406" s="16" t="str">
        <x:v>2000766832-V122</x:v>
      </x:c>
      <x:c r="C406" s="16" t="str">
        <x:v>ОТВОД 60° 17Г1С DN630*10 ГОСТ30753-01</x:v>
      </x:c>
      <x:c r="D406" s="16" t="str">
        <x:v>Детали фасонные</x:v>
      </x:c>
      <x:c r="E406" s="16" t="str">
        <x:v>ШТ</x:v>
      </x:c>
      <x:c r="F406" s="21" t="n">
        <x:v>2</x:v>
      </x:c>
      <x:c r="G406" s="17" t="n">
        <x:v>26077.5</x:v>
      </x:c>
      <x:c r="H406" s="17" t="n">
        <x:f>G406*F406</x:f>
        <x:v>52155</x:v>
      </x:c>
      <x:c r="I406" s="22" t="str">
        <x:f>HYPERLINK("https://etp-aktiv.ru/catalog/materialy/truboprovody/2000766832-V122/","Открыть позицию")</x:f>
        <x:v>Открыть позицию</x:v>
      </x:c>
    </x:row>
    <x:row r="407" ht="28" customHeight="1">
      <x:c r="A407" s="16" t="str">
        <x:v>Красноярская теплосеть</x:v>
      </x:c>
      <x:c r="B407" s="16" t="str">
        <x:v>2000554355-V122</x:v>
      </x:c>
      <x:c r="C407" s="16" t="str">
        <x:v>ОТВОД 60° СТ20 DN108*5 ГОСТ17375-01</x:v>
      </x:c>
      <x:c r="D407" s="16" t="str">
        <x:v>Детали фасонные</x:v>
      </x:c>
      <x:c r="E407" s="16" t="str">
        <x:v>ШТ</x:v>
      </x:c>
      <x:c r="F407" s="21" t="n">
        <x:v>3</x:v>
      </x:c>
      <x:c r="G407" s="17" t="n">
        <x:v>137.0426</x:v>
      </x:c>
      <x:c r="H407" s="17" t="n">
        <x:f>G407*F407</x:f>
        <x:v>411.1278</x:v>
      </x:c>
      <x:c r="I407" s="22" t="str">
        <x:f>HYPERLINK("https://etp-aktiv.ru/catalog/materialy/truboprovody/2000554355-V122/","Открыть позицию")</x:f>
        <x:v>Открыть позицию</x:v>
      </x:c>
    </x:row>
    <x:row r="408" ht="28" customHeight="1">
      <x:c r="A408" s="16" t="str">
        <x:v>Красноярская теплосеть</x:v>
      </x:c>
      <x:c r="B408" s="16" t="str">
        <x:v>2000554359-V122</x:v>
      </x:c>
      <x:c r="C408" s="16" t="str">
        <x:v>ОТВОД 60° СТ20 DN159*6 ГОСТ17375-01</x:v>
      </x:c>
      <x:c r="D408" s="16" t="str">
        <x:v>Детали фасонные</x:v>
      </x:c>
      <x:c r="E408" s="16" t="str">
        <x:v>ШТ</x:v>
      </x:c>
      <x:c r="F408" s="21" t="n">
        <x:v>1</x:v>
      </x:c>
      <x:c r="G408" s="17" t="n">
        <x:v>448.8868</x:v>
      </x:c>
      <x:c r="H408" s="17" t="n">
        <x:f>G408*F408</x:f>
        <x:v>448.8868</x:v>
      </x:c>
      <x:c r="I408" s="22" t="str">
        <x:f>HYPERLINK("https://etp-aktiv.ru/catalog/materialy/truboprovody/2000554359-V122/","Открыть позицию")</x:f>
        <x:v>Открыть позицию</x:v>
      </x:c>
    </x:row>
    <x:row r="409" ht="28" customHeight="1">
      <x:c r="A409" s="16" t="str">
        <x:v>Красноярская теплосеть</x:v>
      </x:c>
      <x:c r="B409" s="16" t="str">
        <x:v>2000248908-V122</x:v>
      </x:c>
      <x:c r="C409" s="16" t="str">
        <x:v>ОТВОД 60° СТ20 DN89 5 ГОСТ17375-01</x:v>
      </x:c>
      <x:c r="D409" s="16" t="str">
        <x:v>Детали фасонные</x:v>
      </x:c>
      <x:c r="E409" s="16" t="str">
        <x:v>ШТ</x:v>
      </x:c>
      <x:c r="F409" s="21" t="n">
        <x:v>2</x:v>
      </x:c>
      <x:c r="G409" s="17" t="n">
        <x:v>125.64779999999999</x:v>
      </x:c>
      <x:c r="H409" s="17" t="n">
        <x:f>G409*F409</x:f>
        <x:v>251.29559999999998</x:v>
      </x:c>
      <x:c r="I409" s="22" t="str">
        <x:f>HYPERLINK("https://etp-aktiv.ru/catalog/materialy/truboprovody/2000248908-V122/","Открыть позицию")</x:f>
        <x:v>Открыть позицию</x:v>
      </x:c>
    </x:row>
    <x:row r="410" ht="28" customHeight="1">
      <x:c r="A410" s="16" t="str">
        <x:v>Красноярская теплосеть</x:v>
      </x:c>
      <x:c r="B410" s="16" t="str">
        <x:v>2000554534-V122</x:v>
      </x:c>
      <x:c r="C410" s="16" t="str">
        <x:v>ОТВОД 90 17Г1С 820*9-1,6 ТС583-264 5.903</x:v>
      </x:c>
      <x:c r="D410" s="16" t="str">
        <x:v>Детали фасонные</x:v>
      </x:c>
      <x:c r="E410" s="16" t="str">
        <x:v>ШТ</x:v>
      </x:c>
      <x:c r="F410" s="21" t="n">
        <x:v>1</x:v>
      </x:c>
      <x:c r="G410" s="17" t="n">
        <x:v>12445.9642</x:v>
      </x:c>
      <x:c r="H410" s="17" t="n">
        <x:f>G410*F410</x:f>
        <x:v>12445.9642</x:v>
      </x:c>
      <x:c r="I410" s="22" t="str">
        <x:f>HYPERLINK("https://etp-aktiv.ru/catalog/materialy/truboprovody/2000554534-V122/","Открыть позицию")</x:f>
        <x:v>Открыть позицию</x:v>
      </x:c>
    </x:row>
    <x:row r="411" ht="28" customHeight="1">
      <x:c r="A411" s="16" t="str">
        <x:v>Красноярская теплосеть</x:v>
      </x:c>
      <x:c r="B411" s="16" t="str">
        <x:v>2000554463-V122</x:v>
      </x:c>
      <x:c r="C411" s="16" t="str">
        <x:v>ОТВОД 90° 09Г2С DN426*10 ГОСТ17375-01</x:v>
      </x:c>
      <x:c r="D411" s="16" t="str">
        <x:v>Детали фасонные</x:v>
      </x:c>
      <x:c r="E411" s="16" t="str">
        <x:v>ШТ</x:v>
      </x:c>
      <x:c r="F411" s="21" t="n">
        <x:v>3</x:v>
      </x:c>
      <x:c r="G411" s="17" t="n">
        <x:v>7718.3787999999995</x:v>
      </x:c>
      <x:c r="H411" s="17" t="n">
        <x:f>G411*F411</x:f>
        <x:v>23155.1364</x:v>
      </x:c>
      <x:c r="I411" s="22" t="str">
        <x:f>HYPERLINK("https://etp-aktiv.ru/catalog/materialy/truboprovody/2000554463-V122/","Открыть позицию")</x:f>
        <x:v>Открыть позицию</x:v>
      </x:c>
    </x:row>
    <x:row r="412" ht="28" customHeight="1">
      <x:c r="A412" s="16" t="str">
        <x:v>Красноярская теплосеть</x:v>
      </x:c>
      <x:c r="B412" s="16" t="str">
        <x:v>2000472990-V122</x:v>
      </x:c>
      <x:c r="C412" s="16" t="str">
        <x:v>ОТВОД 90° 09Г2С DN820 12 ГОСТ17375-01</x:v>
      </x:c>
      <x:c r="D412" s="16" t="str">
        <x:v>Детали фасонные</x:v>
      </x:c>
      <x:c r="E412" s="16" t="str">
        <x:v>ШТ</x:v>
      </x:c>
      <x:c r="F412" s="21" t="n">
        <x:v>1</x:v>
      </x:c>
      <x:c r="G412" s="17" t="n">
        <x:v>66612.23180000001</x:v>
      </x:c>
      <x:c r="H412" s="17" t="n">
        <x:f>G412*F412</x:f>
        <x:v>66612.23180000001</x:v>
      </x:c>
      <x:c r="I412" s="22" t="str">
        <x:f>HYPERLINK("https://etp-aktiv.ru/catalog/materialy/truboprovody/2000472990-V122/","Открыть позицию")</x:f>
        <x:v>Открыть позицию</x:v>
      </x:c>
    </x:row>
    <x:row r="413" ht="28" customHeight="1">
      <x:c r="A413" s="16" t="str">
        <x:v>Красноярская теплосеть</x:v>
      </x:c>
      <x:c r="B413" s="16" t="str">
        <x:v>2000609978-V122</x:v>
      </x:c>
      <x:c r="C413" s="16" t="str">
        <x:v>ОТВОД 90° 17Г1С DN1220 18 PN25</x:v>
      </x:c>
      <x:c r="D413" s="16" t="str">
        <x:v>Детали фасонные</x:v>
      </x:c>
      <x:c r="E413" s="16" t="str">
        <x:v>ШТ</x:v>
      </x:c>
      <x:c r="F413" s="21" t="n">
        <x:v>1</x:v>
      </x:c>
      <x:c r="G413" s="17" t="n">
        <x:v>110727.81</x:v>
      </x:c>
      <x:c r="H413" s="17" t="n">
        <x:f>G413*F413</x:f>
        <x:v>110727.81</x:v>
      </x:c>
      <x:c r="I413" s="22" t="str">
        <x:f>HYPERLINK("https://etp-aktiv.ru/catalog/materialy/truboprovody/2000609978-V122/","Открыть позицию")</x:f>
        <x:v>Открыть позицию</x:v>
      </x:c>
    </x:row>
    <x:row r="414" ht="28" customHeight="1">
      <x:c r="A414" s="16" t="str">
        <x:v>Красноярская теплосеть</x:v>
      </x:c>
      <x:c r="B414" s="16" t="str">
        <x:v>2000628655-V122</x:v>
      </x:c>
      <x:c r="C414" s="16" t="str">
        <x:v>ОТВОД 90° 17Г1С DN820 11 PN25 ГОСТ17375</x:v>
      </x:c>
      <x:c r="D414" s="16" t="str">
        <x:v>Детали фасонные</x:v>
      </x:c>
      <x:c r="E414" s="16" t="str">
        <x:v>ШТ</x:v>
      </x:c>
      <x:c r="F414" s="21" t="n">
        <x:v>3</x:v>
      </x:c>
      <x:c r="G414" s="17" t="n">
        <x:v>52075.0534</x:v>
      </x:c>
      <x:c r="H414" s="17" t="n">
        <x:f>G414*F414</x:f>
        <x:v>156225.16019999998</x:v>
      </x:c>
      <x:c r="I414" s="22" t="str">
        <x:f>HYPERLINK("https://etp-aktiv.ru/catalog/materialy/truboprovody/2000628655-V122/","Открыть позицию")</x:f>
        <x:v>Открыть позицию</x:v>
      </x:c>
    </x:row>
    <x:row r="415" ht="28" customHeight="1">
      <x:c r="A415" s="16" t="str">
        <x:v>Красноярская теплосеть</x:v>
      </x:c>
      <x:c r="B415" s="16" t="str">
        <x:v>2000554605-V122</x:v>
      </x:c>
      <x:c r="C415" s="16" t="str">
        <x:v>ОТВОД П 30° СТ20 DN273*8 ГОСТ17375-01</x:v>
      </x:c>
      <x:c r="D415" s="16" t="str">
        <x:v>Детали фасонные</x:v>
      </x:c>
      <x:c r="E415" s="16" t="str">
        <x:v>ШТ</x:v>
      </x:c>
      <x:c r="F415" s="21" t="n">
        <x:v>2</x:v>
      </x:c>
      <x:c r="G415" s="17" t="n">
        <x:v>1158.634</x:v>
      </x:c>
      <x:c r="H415" s="17" t="n">
        <x:f>G415*F415</x:f>
        <x:v>2317.268</x:v>
      </x:c>
      <x:c r="I415" s="22" t="str">
        <x:f>HYPERLINK("https://etp-aktiv.ru/catalog/materialy/truboprovody/2000554605-V122/","Открыть позицию")</x:f>
        <x:v>Открыть позицию</x:v>
      </x:c>
    </x:row>
    <x:row r="416" ht="28" customHeight="1">
      <x:c r="A416" s="16" t="str">
        <x:v>Красноярская теплосеть</x:v>
      </x:c>
      <x:c r="B416" s="16" t="str">
        <x:v>2000731048-V122</x:v>
      </x:c>
      <x:c r="C416" s="16" t="str">
        <x:v>ОТВОД П 45° 09Г2С DN426*10 ГОСТ17375-01</x:v>
      </x:c>
      <x:c r="D416" s="16" t="str">
        <x:v>Детали фасонные</x:v>
      </x:c>
      <x:c r="E416" s="16" t="str">
        <x:v>ШТ</x:v>
      </x:c>
      <x:c r="F416" s="21" t="n">
        <x:v>1</x:v>
      </x:c>
      <x:c r="G416" s="17" t="n">
        <x:v>3817.6972</x:v>
      </x:c>
      <x:c r="H416" s="17" t="n">
        <x:f>G416*F416</x:f>
        <x:v>3817.6972</x:v>
      </x:c>
      <x:c r="I416" s="22" t="str">
        <x:f>HYPERLINK("https://etp-aktiv.ru/catalog/materialy/truboprovody/2000731048-V122/","Открыть позицию")</x:f>
        <x:v>Открыть позицию</x:v>
      </x:c>
    </x:row>
    <x:row r="417" ht="28" customHeight="1">
      <x:c r="A417" s="16" t="str">
        <x:v>Красноярская теплосеть</x:v>
      </x:c>
      <x:c r="B417" s="16" t="str">
        <x:v>2000568210-V122</x:v>
      </x:c>
      <x:c r="C417" s="16" t="str">
        <x:v>ОТВОД П45° 09Г2С 219*8 ГОСТ30753-2001</x:v>
      </x:c>
      <x:c r="D417" s="16" t="str">
        <x:v>Детали фасонные</x:v>
      </x:c>
      <x:c r="E417" s="16" t="str">
        <x:v>ШТ</x:v>
      </x:c>
      <x:c r="F417" s="21" t="n">
        <x:v>4</x:v>
      </x:c>
      <x:c r="G417" s="17" t="n">
        <x:v>1582.6694</x:v>
      </x:c>
      <x:c r="H417" s="17" t="n">
        <x:f>G417*F417</x:f>
        <x:v>6330.6776</x:v>
      </x:c>
      <x:c r="I417" s="22" t="str">
        <x:f>HYPERLINK("https://etp-aktiv.ru/catalog/materialy/truboprovody/2000568210-V122/","Открыть позицию")</x:f>
        <x:v>Открыть позицию</x:v>
      </x:c>
    </x:row>
    <x:row r="418" ht="28" customHeight="1">
      <x:c r="A418" s="16" t="str">
        <x:v>Красноярская теплосеть</x:v>
      </x:c>
      <x:c r="B418" s="16" t="str">
        <x:v>2000568194-V122</x:v>
      </x:c>
      <x:c r="C418" s="16" t="str">
        <x:v>ОТВОД П60° 17Г1С 530*12 ГОСТ30753-2001</x:v>
      </x:c>
      <x:c r="D418" s="16" t="str">
        <x:v>Детали фасонные</x:v>
      </x:c>
      <x:c r="E418" s="16" t="str">
        <x:v>ШТ</x:v>
      </x:c>
      <x:c r="F418" s="21" t="n">
        <x:v>1</x:v>
      </x:c>
      <x:c r="G418" s="17" t="n">
        <x:v>9650.395199999999</x:v>
      </x:c>
      <x:c r="H418" s="17" t="n">
        <x:f>G418*F418</x:f>
        <x:v>9650.395199999999</x:v>
      </x:c>
      <x:c r="I418" s="22" t="str">
        <x:f>HYPERLINK("https://etp-aktiv.ru/catalog/materialy/truboprovody/2000568194-V122/","Открыть позицию")</x:f>
        <x:v>Открыть позицию</x:v>
      </x:c>
    </x:row>
    <x:row r="419" ht="28" customHeight="1">
      <x:c r="A419" s="16" t="str">
        <x:v>Красноярская теплосеть</x:v>
      </x:c>
      <x:c r="B419" s="16" t="str">
        <x:v>2000334386-V122</x:v>
      </x:c>
      <x:c r="C419" s="16" t="str">
        <x:v>ПЕРЕХОД К 09Г2С 159*10 76 6 ГОСТ17378-01</x:v>
      </x:c>
      <x:c r="D419" s="16" t="str">
        <x:v>Детали фасонные</x:v>
      </x:c>
      <x:c r="E419" s="16" t="str">
        <x:v>ШТ</x:v>
      </x:c>
      <x:c r="F419" s="21" t="n">
        <x:v>2</x:v>
      </x:c>
      <x:c r="G419" s="17" t="n">
        <x:v>202.9592</x:v>
      </x:c>
      <x:c r="H419" s="17" t="n">
        <x:f>G419*F419</x:f>
        <x:v>405.9184</x:v>
      </x:c>
      <x:c r="I419" s="22" t="str">
        <x:f>HYPERLINK("https://etp-aktiv.ru/catalog/materialy/truboprovody/2000334386-V122/","Открыть позицию")</x:f>
        <x:v>Открыть позицию</x:v>
      </x:c>
    </x:row>
    <x:row r="420" ht="28" customHeight="1">
      <x:c r="A420" s="16" t="str">
        <x:v>Красноярская теплосеть</x:v>
      </x:c>
      <x:c r="B420" s="16" t="str">
        <x:v>2000750600-V122</x:v>
      </x:c>
      <x:c r="C420" s="16" t="str">
        <x:v>ПЕРЕХОД К 09Г2С 426*12-219*8 ГОСТ17378</x:v>
      </x:c>
      <x:c r="D420" s="16" t="str">
        <x:v>Детали фасонные</x:v>
      </x:c>
      <x:c r="E420" s="16" t="str">
        <x:v>ШТ</x:v>
      </x:c>
      <x:c r="F420" s="21" t="n">
        <x:v>3</x:v>
      </x:c>
      <x:c r="G420" s="17" t="n">
        <x:v>2572.797</x:v>
      </x:c>
      <x:c r="H420" s="17" t="n">
        <x:f>G420*F420</x:f>
        <x:v>7718.391</x:v>
      </x:c>
      <x:c r="I420" s="22" t="str">
        <x:f>HYPERLINK("https://etp-aktiv.ru/catalog/materialy/truboprovody/2000750600-V122/","Открыть позицию")</x:f>
        <x:v>Открыть позицию</x:v>
      </x:c>
    </x:row>
    <x:row r="421" ht="28" customHeight="1">
      <x:c r="A421" s="16" t="str">
        <x:v>Красноярская теплосеть</x:v>
      </x:c>
      <x:c r="B421" s="16" t="str">
        <x:v>2000444678-V122</x:v>
      </x:c>
      <x:c r="C421" s="16" t="str">
        <x:v>ПЕРЕХОД К 09Г2С 57*5 38 4 ГОСТ17378-01</x:v>
      </x:c>
      <x:c r="D421" s="16" t="str">
        <x:v>Детали фасонные</x:v>
      </x:c>
      <x:c r="E421" s="16" t="str">
        <x:v>ШТ</x:v>
      </x:c>
      <x:c r="F421" s="21" t="n">
        <x:v>1</x:v>
      </x:c>
      <x:c r="G421" s="17" t="n">
        <x:v>111.7642</x:v>
      </x:c>
      <x:c r="H421" s="17" t="n">
        <x:f>G421*F421</x:f>
        <x:v>111.7642</x:v>
      </x:c>
      <x:c r="I421" s="22" t="str">
        <x:f>HYPERLINK("https://etp-aktiv.ru/catalog/materialy/truboprovody/2000444678-V122/","Открыть позицию")</x:f>
        <x:v>Открыть позицию</x:v>
      </x:c>
    </x:row>
    <x:row r="422" ht="28" customHeight="1">
      <x:c r="A422" s="16" t="str">
        <x:v>Красноярская теплосеть</x:v>
      </x:c>
      <x:c r="B422" s="16" t="str">
        <x:v>2000555051-V122</x:v>
      </x:c>
      <x:c r="C422" s="16" t="str">
        <x:v>ПЕРЕХОД К 09Г2С 720*12-630*10 ГОСТ17378</x:v>
      </x:c>
      <x:c r="D422" s="16" t="str">
        <x:v>Детали фасонные</x:v>
      </x:c>
      <x:c r="E422" s="16" t="str">
        <x:v>ШТ</x:v>
      </x:c>
      <x:c r="F422" s="21" t="n">
        <x:v>13</x:v>
      </x:c>
      <x:c r="G422" s="17" t="n">
        <x:v>11715.66</x:v>
      </x:c>
      <x:c r="H422" s="17" t="n">
        <x:f>G422*F422</x:f>
        <x:v>152303.58</x:v>
      </x:c>
      <x:c r="I422" s="22" t="str">
        <x:f>HYPERLINK("https://etp-aktiv.ru/catalog/materialy/truboprovody/2000555051-V122/","Открыть позицию")</x:f>
        <x:v>Открыть позицию</x:v>
      </x:c>
    </x:row>
    <x:row r="423" ht="28" customHeight="1">
      <x:c r="A423" s="16" t="str">
        <x:v>Красноярская теплосеть</x:v>
      </x:c>
      <x:c r="B423" s="16" t="str">
        <x:v>2000554923-V122</x:v>
      </x:c>
      <x:c r="C423" s="16" t="str">
        <x:v>ПЕРЕХОД К СТ20 159*8-108*6 ГОСТ17378-01</x:v>
      </x:c>
      <x:c r="D423" s="16" t="str">
        <x:v>Детали фасонные</x:v>
      </x:c>
      <x:c r="E423" s="16" t="str">
        <x:v>ШТ</x:v>
      </x:c>
      <x:c r="F423" s="21" t="n">
        <x:v>2</x:v>
      </x:c>
      <x:c r="G423" s="17" t="n">
        <x:v>136.7498</x:v>
      </x:c>
      <x:c r="H423" s="17" t="n">
        <x:f>G423*F423</x:f>
        <x:v>273.4996</x:v>
      </x:c>
      <x:c r="I423" s="22" t="str">
        <x:f>HYPERLINK("https://etp-aktiv.ru/catalog/materialy/truboprovody/2000554923-V122/","Открыть позицию")</x:f>
        <x:v>Открыть позицию</x:v>
      </x:c>
    </x:row>
    <x:row r="424" ht="28" customHeight="1">
      <x:c r="A424" s="16" t="str">
        <x:v>Красноярская теплосеть</x:v>
      </x:c>
      <x:c r="B424" s="16" t="str">
        <x:v>2000554925-V122</x:v>
      </x:c>
      <x:c r="C424" s="16" t="str">
        <x:v>ПЕРЕХОД К СТ20 159*8-57*4 ГОСТ17378-01</x:v>
      </x:c>
      <x:c r="D424" s="16" t="str">
        <x:v>Детали фасонные</x:v>
      </x:c>
      <x:c r="E424" s="16" t="str">
        <x:v>ШТ</x:v>
      </x:c>
      <x:c r="F424" s="21" t="n">
        <x:v>9</x:v>
      </x:c>
      <x:c r="G424" s="17" t="n">
        <x:v>334.31659999999994</x:v>
      </x:c>
      <x:c r="H424" s="17" t="n">
        <x:f>G424*F424</x:f>
        <x:v>3008.8493999999996</x:v>
      </x:c>
      <x:c r="I424" s="22" t="str">
        <x:f>HYPERLINK("https://etp-aktiv.ru/catalog/materialy/truboprovody/2000554925-V122/","Открыть позицию")</x:f>
        <x:v>Открыть позицию</x:v>
      </x:c>
    </x:row>
    <x:row r="425" ht="28" customHeight="1">
      <x:c r="A425" s="16" t="str">
        <x:v>Красноярская теплосеть</x:v>
      </x:c>
      <x:c r="B425" s="16" t="str">
        <x:v>2000554945-V122</x:v>
      </x:c>
      <x:c r="C425" s="16" t="str">
        <x:v>ПЕРЕХОД К СТ20 273*7-108*4 ГОСТ17378-01</x:v>
      </x:c>
      <x:c r="D425" s="16" t="str">
        <x:v>Детали фасонные</x:v>
      </x:c>
      <x:c r="E425" s="16" t="str">
        <x:v>ШТ</x:v>
      </x:c>
      <x:c r="F425" s="21" t="n">
        <x:v>10</x:v>
      </x:c>
      <x:c r="G425" s="17" t="n">
        <x:v>2176.5409999999997</x:v>
      </x:c>
      <x:c r="H425" s="17" t="n">
        <x:f>G425*F425</x:f>
        <x:v>21765.409999999996</x:v>
      </x:c>
      <x:c r="I425" s="22" t="str">
        <x:f>HYPERLINK("https://etp-aktiv.ru/catalog/materialy/truboprovody/2000554945-V122/","Открыть позицию")</x:f>
        <x:v>Открыть позицию</x:v>
      </x:c>
    </x:row>
    <x:row r="426" ht="28" customHeight="1">
      <x:c r="A426" s="16" t="str">
        <x:v>Красноярская теплосеть</x:v>
      </x:c>
      <x:c r="B426" s="16" t="str">
        <x:v>2000257303-V122</x:v>
      </x:c>
      <x:c r="C426" s="16" t="str">
        <x:v>ПЕРЕХОД К СТ20 325*8 108 4 ГОСТ17378-01</x:v>
      </x:c>
      <x:c r="D426" s="16" t="str">
        <x:v>Детали фасонные</x:v>
      </x:c>
      <x:c r="E426" s="16" t="str">
        <x:v>ШТ</x:v>
      </x:c>
      <x:c r="F426" s="21" t="n">
        <x:v>1</x:v>
      </x:c>
      <x:c r="G426" s="17" t="n">
        <x:v>792.0728</x:v>
      </x:c>
      <x:c r="H426" s="17" t="n">
        <x:f>G426*F426</x:f>
        <x:v>792.0728</x:v>
      </x:c>
      <x:c r="I426" s="22" t="str">
        <x:f>HYPERLINK("https://etp-aktiv.ru/catalog/materialy/truboprovody/2000257303-V122/","Открыть позицию")</x:f>
        <x:v>Открыть позицию</x:v>
      </x:c>
    </x:row>
    <x:row r="427" ht="28" customHeight="1">
      <x:c r="A427" s="16" t="str">
        <x:v>Красноярская теплосеть</x:v>
      </x:c>
      <x:c r="B427" s="16" t="str">
        <x:v>2000259204-V122</x:v>
      </x:c>
      <x:c r="C427" s="16" t="str">
        <x:v>ПЕРЕХОД К СТ20 377*12 159 6 ГОСТ17378-01</x:v>
      </x:c>
      <x:c r="D427" s="16" t="str">
        <x:v>Детали фасонные</x:v>
      </x:c>
      <x:c r="E427" s="16" t="str">
        <x:v>ШТ</x:v>
      </x:c>
      <x:c r="F427" s="21" t="n">
        <x:v>10</x:v>
      </x:c>
      <x:c r="G427" s="17" t="n">
        <x:v>1554.7924</x:v>
      </x:c>
      <x:c r="H427" s="17" t="n">
        <x:f>G427*F427</x:f>
        <x:v>15547.924</x:v>
      </x:c>
      <x:c r="I427" s="22" t="str">
        <x:f>HYPERLINK("https://etp-aktiv.ru/catalog/materialy/truboprovody/2000259204-V122/","Открыть позицию")</x:f>
        <x:v>Открыть позицию</x:v>
      </x:c>
    </x:row>
    <x:row r="428" ht="28" customHeight="1">
      <x:c r="A428" s="16" t="str">
        <x:v>Красноярская теплосеть</x:v>
      </x:c>
      <x:c r="B428" s="16" t="str">
        <x:v>2000554988-V122</x:v>
      </x:c>
      <x:c r="C428" s="16" t="str">
        <x:v>ПЕРЕХОД К СТ20 45*2,5-32*2 ГОСТ17378-01</x:v>
      </x:c>
      <x:c r="D428" s="16" t="str">
        <x:v>Детали фасонные</x:v>
      </x:c>
      <x:c r="E428" s="16" t="str">
        <x:v>ШТ</x:v>
      </x:c>
      <x:c r="F428" s="21" t="n">
        <x:v>2</x:v>
      </x:c>
      <x:c r="G428" s="17" t="n">
        <x:v>45.384</x:v>
      </x:c>
      <x:c r="H428" s="17" t="n">
        <x:f>G428*F428</x:f>
        <x:v>90.768</x:v>
      </x:c>
      <x:c r="I428" s="22" t="str">
        <x:f>HYPERLINK("https://etp-aktiv.ru/catalog/materialy/truboprovody/2000554988-V122/","Открыть позицию")</x:f>
        <x:v>Открыть позицию</x:v>
      </x:c>
    </x:row>
    <x:row r="429" ht="28" customHeight="1">
      <x:c r="A429" s="16" t="str">
        <x:v>Красноярская теплосеть</x:v>
      </x:c>
      <x:c r="B429" s="16" t="str">
        <x:v>2000555013-V122</x:v>
      </x:c>
      <x:c r="C429" s="16" t="str">
        <x:v>ПЕРЕХОД К СТ20 57*4-45*2,5 ОСТ34.10.700</x:v>
      </x:c>
      <x:c r="D429" s="16" t="str">
        <x:v>Детали фасонные</x:v>
      </x:c>
      <x:c r="E429" s="16" t="str">
        <x:v>ШТ</x:v>
      </x:c>
      <x:c r="F429" s="21" t="n">
        <x:v>8</x:v>
      </x:c>
      <x:c r="G429" s="17" t="n">
        <x:v>310.978</x:v>
      </x:c>
      <x:c r="H429" s="17" t="n">
        <x:f>G429*F429</x:f>
        <x:v>2487.824</x:v>
      </x:c>
      <x:c r="I429" s="22" t="str">
        <x:f>HYPERLINK("https://etp-aktiv.ru/catalog/materialy/truboprovody/2000555013-V122/","Открыть позицию")</x:f>
        <x:v>Открыть позицию</x:v>
      </x:c>
    </x:row>
    <x:row r="430" ht="28" customHeight="1">
      <x:c r="A430" s="16" t="str">
        <x:v>Красноярская теплосеть</x:v>
      </x:c>
      <x:c r="B430" s="16" t="str">
        <x:v>2000555028-V122</x:v>
      </x:c>
      <x:c r="C430" s="16" t="str">
        <x:v>ПЕРЕХОД К СТ20 76*3-45*2,5 ГОСТ17378-01</x:v>
      </x:c>
      <x:c r="D430" s="16" t="str">
        <x:v>Детали фасонные</x:v>
      </x:c>
      <x:c r="E430" s="16" t="str">
        <x:v>ШТ</x:v>
      </x:c>
      <x:c r="F430" s="21" t="n">
        <x:v>7</x:v>
      </x:c>
      <x:c r="G430" s="17" t="n">
        <x:v>10.613999999999999</x:v>
      </x:c>
      <x:c r="H430" s="17" t="n">
        <x:f>G430*F430</x:f>
        <x:v>74.29799999999999</x:v>
      </x:c>
      <x:c r="I430" s="22" t="str">
        <x:f>HYPERLINK("https://etp-aktiv.ru/catalog/materialy/truboprovody/2000555028-V122/","Открыть позицию")</x:f>
        <x:v>Открыть позицию</x:v>
      </x:c>
    </x:row>
    <x:row r="431" ht="28" customHeight="1">
      <x:c r="A431" s="16" t="str">
        <x:v>Красноярская теплосеть</x:v>
      </x:c>
      <x:c r="B431" s="16" t="str">
        <x:v>2000568269-V122</x:v>
      </x:c>
      <x:c r="C431" s="16" t="str">
        <x:v>ПЕРЕХОД ПК 09Г2С 426*12-219*8 ГОСТ17378</x:v>
      </x:c>
      <x:c r="D431" s="16" t="str">
        <x:v>Детали фасонные</x:v>
      </x:c>
      <x:c r="E431" s="16" t="str">
        <x:v>ШТ</x:v>
      </x:c>
      <x:c r="F431" s="21" t="n">
        <x:v>1</x:v>
      </x:c>
      <x:c r="G431" s="17" t="n">
        <x:v>3248.3232</x:v>
      </x:c>
      <x:c r="H431" s="17" t="n">
        <x:f>G431*F431</x:f>
        <x:v>3248.3232</x:v>
      </x:c>
      <x:c r="I431" s="22" t="str">
        <x:f>HYPERLINK("https://etp-aktiv.ru/catalog/materialy/truboprovody/2000568269-V122/","Открыть позицию")</x:f>
        <x:v>Открыть позицию</x:v>
      </x:c>
    </x:row>
    <x:row r="432" ht="28" customHeight="1">
      <x:c r="A432" s="16" t="str">
        <x:v>Красноярская теплосеть</x:v>
      </x:c>
      <x:c r="B432" s="16" t="str">
        <x:v>2000636729-V122</x:v>
      </x:c>
      <x:c r="C432" s="16" t="str">
        <x:v>ПЕРЕХОД Э 09Г2С 325*10-219*8 ТС-594-17</x:v>
      </x:c>
      <x:c r="D432" s="16" t="str">
        <x:v>Детали фасонные</x:v>
      </x:c>
      <x:c r="E432" s="16" t="str">
        <x:v>ШТ</x:v>
      </x:c>
      <x:c r="F432" s="21" t="n">
        <x:v>2</x:v>
      </x:c>
      <x:c r="G432" s="17" t="n">
        <x:v>3770.9468</x:v>
      </x:c>
      <x:c r="H432" s="17" t="n">
        <x:f>G432*F432</x:f>
        <x:v>7541.8936</x:v>
      </x:c>
      <x:c r="I432" s="22" t="str">
        <x:f>HYPERLINK("https://etp-aktiv.ru/catalog/materialy/truboprovody/2000636729-V122/","Открыть позицию")</x:f>
        <x:v>Открыть позицию</x:v>
      </x:c>
    </x:row>
    <x:row r="433" ht="28" customHeight="1">
      <x:c r="A433" s="16" t="str">
        <x:v>Красноярская теплосеть</x:v>
      </x:c>
      <x:c r="B433" s="16" t="str">
        <x:v>2000808685-V122</x:v>
      </x:c>
      <x:c r="C433" s="16" t="str">
        <x:v>ПЕРЕХОД Э 09Г2С 426*10-377*10 ГОСТ17378</x:v>
      </x:c>
      <x:c r="D433" s="16" t="str">
        <x:v>Детали фасонные</x:v>
      </x:c>
      <x:c r="E433" s="16" t="str">
        <x:v>ШТ</x:v>
      </x:c>
      <x:c r="F433" s="21" t="n">
        <x:v>3</x:v>
      </x:c>
      <x:c r="G433" s="17" t="n">
        <x:v>5872.347999999999</x:v>
      </x:c>
      <x:c r="H433" s="17" t="n">
        <x:f>G433*F433</x:f>
        <x:v>17617.043999999998</x:v>
      </x:c>
      <x:c r="I433" s="22" t="str">
        <x:f>HYPERLINK("https://etp-aktiv.ru/catalog/materialy/truboprovody/2000808685-V122/","Открыть позицию")</x:f>
        <x:v>Открыть позицию</x:v>
      </x:c>
    </x:row>
    <x:row r="434" ht="28" customHeight="1">
      <x:c r="A434" s="16" t="str">
        <x:v>Красноярская теплосеть</x:v>
      </x:c>
      <x:c r="B434" s="16" t="str">
        <x:v>2000882224-V122</x:v>
      </x:c>
      <x:c r="C434" s="16" t="str">
        <x:v>ПЕРЕХОД Э 17Г1С 720*10-630*10 ТС-585-40</x:v>
      </x:c>
      <x:c r="D434" s="16" t="str">
        <x:v>Детали фасонные</x:v>
      </x:c>
      <x:c r="E434" s="16" t="str">
        <x:v>ШТ</x:v>
      </x:c>
      <x:c r="F434" s="21" t="n">
        <x:v>1</x:v>
      </x:c>
      <x:c r="G434" s="17" t="n">
        <x:v>5402.294199999999</x:v>
      </x:c>
      <x:c r="H434" s="17" t="n">
        <x:f>G434*F434</x:f>
        <x:v>5402.294199999999</x:v>
      </x:c>
      <x:c r="I434" s="22" t="str">
        <x:f>HYPERLINK("https://etp-aktiv.ru/catalog/materialy/truboprovody/2000882224-V122/","Открыть позицию")</x:f>
        <x:v>Открыть позицию</x:v>
      </x:c>
    </x:row>
    <x:row r="435" ht="28" customHeight="1">
      <x:c r="A435" s="16" t="str">
        <x:v>Красноярская теплосеть</x:v>
      </x:c>
      <x:c r="B435" s="16" t="str">
        <x:v>2000568278-V122</x:v>
      </x:c>
      <x:c r="C435" s="16" t="str">
        <x:v>ПЕРЕХОД Э 17Г1С 800*700-1,6 ТС-586-44</x:v>
      </x:c>
      <x:c r="D435" s="16" t="str">
        <x:v>Детали фасонные</x:v>
      </x:c>
      <x:c r="E435" s="16" t="str">
        <x:v>ШТ</x:v>
      </x:c>
      <x:c r="F435" s="21" t="n">
        <x:v>10</x:v>
      </x:c>
      <x:c r="G435" s="17" t="n">
        <x:v>6583.425</x:v>
      </x:c>
      <x:c r="H435" s="17" t="n">
        <x:f>G435*F435</x:f>
        <x:v>65834.25</x:v>
      </x:c>
      <x:c r="I435" s="22" t="str">
        <x:f>HYPERLINK("https://etp-aktiv.ru/catalog/materialy/truboprovody/2000568278-V122/","Открыть позицию")</x:f>
        <x:v>Открыть позицию</x:v>
      </x:c>
    </x:row>
    <x:row r="436" ht="28" customHeight="1">
      <x:c r="A436" s="16" t="str">
        <x:v>Красноярская теплосеть</x:v>
      </x:c>
      <x:c r="B436" s="16" t="str">
        <x:v>2000891971-V122</x:v>
      </x:c>
      <x:c r="C436" s="16" t="str">
        <x:v>ПЕРЕХОД Э СТ20 219*6-108*4 ГОСТ17378</x:v>
      </x:c>
      <x:c r="D436" s="16" t="str">
        <x:v>Детали фасонные</x:v>
      </x:c>
      <x:c r="E436" s="16" t="str">
        <x:v>ШТ</x:v>
      </x:c>
      <x:c r="F436" s="21" t="n">
        <x:v>21</x:v>
      </x:c>
      <x:c r="G436" s="17" t="n">
        <x:v>3088.125</x:v>
      </x:c>
      <x:c r="H436" s="17" t="n">
        <x:f>G436*F436</x:f>
        <x:v>64850.625</x:v>
      </x:c>
      <x:c r="I436" s="22" t="str">
        <x:f>HYPERLINK("https://etp-aktiv.ru/catalog/materialy/truboprovody/2000891971-V122/","Открыть позицию")</x:f>
        <x:v>Открыть позицию</x:v>
      </x:c>
    </x:row>
    <x:row r="437" ht="28" customHeight="1">
      <x:c r="A437" s="16" t="str">
        <x:v>Красноярская теплосеть</x:v>
      </x:c>
      <x:c r="B437" s="16" t="str">
        <x:v>2000500264-V122</x:v>
      </x:c>
      <x:c r="C437" s="16" t="str">
        <x:v>РЕЗЬБА ПРАВ С СЕДЛОМ Н/ОЦ DN15 ГОСТ3262</x:v>
      </x:c>
      <x:c r="D437" s="16" t="str">
        <x:v>Детали фасонные</x:v>
      </x:c>
      <x:c r="E437" s="16" t="str">
        <x:v>ШТ</x:v>
      </x:c>
      <x:c r="F437" s="21" t="n">
        <x:v>10</x:v>
      </x:c>
      <x:c r="G437" s="17" t="n">
        <x:v>27.1694</x:v>
      </x:c>
      <x:c r="H437" s="17" t="n">
        <x:f>G437*F437</x:f>
        <x:v>271.694</x:v>
      </x:c>
      <x:c r="I437" s="22" t="str">
        <x:f>HYPERLINK("https://etp-aktiv.ru/catalog/materialy/truboprovody/2000500264-V122/","Открыть позицию")</x:f>
        <x:v>Открыть позицию</x:v>
      </x:c>
    </x:row>
    <x:row r="438" ht="28" customHeight="1">
      <x:c r="A438" s="16" t="str">
        <x:v>Красноярская теплосеть</x:v>
      </x:c>
      <x:c r="B438" s="16" t="str">
        <x:v>2000500265-V122</x:v>
      </x:c>
      <x:c r="C438" s="16" t="str">
        <x:v>РЕЗЬБА ПРАВ С СЕДЛОМ Н/ОЦ DN25 ГОСТ3262</x:v>
      </x:c>
      <x:c r="D438" s="16" t="str">
        <x:v>Детали фасонные</x:v>
      </x:c>
      <x:c r="E438" s="16" t="str">
        <x:v>ШТ</x:v>
      </x:c>
      <x:c r="F438" s="21" t="n">
        <x:v>3</x:v>
      </x:c>
      <x:c r="G438" s="17" t="n">
        <x:v>35.746</x:v>
      </x:c>
      <x:c r="H438" s="17" t="n">
        <x:f>G438*F438</x:f>
        <x:v>107.238</x:v>
      </x:c>
      <x:c r="I438" s="22" t="str">
        <x:f>HYPERLINK("https://etp-aktiv.ru/catalog/materialy/truboprovody/2000500265-V122/","Открыть позицию")</x:f>
        <x:v>Открыть позицию</x:v>
      </x:c>
    </x:row>
    <x:row r="439" ht="28" customHeight="1">
      <x:c r="A439" s="16" t="str">
        <x:v>Красноярская теплосеть</x:v>
      </x:c>
      <x:c r="B439" s="16" t="str">
        <x:v>2000500585-V122</x:v>
      </x:c>
      <x:c r="C439" s="16" t="str">
        <x:v>РЕЗЬБА ПРАВ С СЕДЛОМ Н/ОЦ DN32 ГОСТ3262-</x:v>
      </x:c>
      <x:c r="D439" s="16" t="str">
        <x:v>Детали фасонные</x:v>
      </x:c>
      <x:c r="E439" s="16" t="str">
        <x:v>ШТ</x:v>
      </x:c>
      <x:c r="F439" s="21" t="n">
        <x:v>2</x:v>
      </x:c>
      <x:c r="G439" s="17" t="n">
        <x:v>35.746</x:v>
      </x:c>
      <x:c r="H439" s="17" t="n">
        <x:f>G439*F439</x:f>
        <x:v>71.492</x:v>
      </x:c>
      <x:c r="I439" s="22" t="str">
        <x:f>HYPERLINK("https://etp-aktiv.ru/catalog/materialy/truboprovody/2000500585-V122/","Открыть позицию")</x:f>
        <x:v>Открыть позицию</x:v>
      </x:c>
    </x:row>
    <x:row r="440" ht="28" customHeight="1">
      <x:c r="A440" s="16" t="str">
        <x:v>Красноярская теплосеть</x:v>
      </x:c>
      <x:c r="B440" s="16" t="str">
        <x:v>2000500266-V122</x:v>
      </x:c>
      <x:c r="C440" s="16" t="str">
        <x:v>РЕЗЬБА ПРАВ С СЕДЛОМ Н/ОЦ DN40 ГОСТ3262</x:v>
      </x:c>
      <x:c r="D440" s="16" t="str">
        <x:v>Детали фасонные</x:v>
      </x:c>
      <x:c r="E440" s="16" t="str">
        <x:v>ШТ</x:v>
      </x:c>
      <x:c r="F440" s="21" t="n">
        <x:v>2</x:v>
      </x:c>
      <x:c r="G440" s="17" t="n">
        <x:v>35.746</x:v>
      </x:c>
      <x:c r="H440" s="17" t="n">
        <x:f>G440*F440</x:f>
        <x:v>71.492</x:v>
      </x:c>
      <x:c r="I440" s="22" t="str">
        <x:f>HYPERLINK("https://etp-aktiv.ru/catalog/materialy/truboprovody/2000500266-V122/","Открыть позицию")</x:f>
        <x:v>Открыть позицию</x:v>
      </x:c>
    </x:row>
    <x:row r="441" ht="28" customHeight="1">
      <x:c r="A441" s="16" t="str">
        <x:v>Красноярская теплосеть</x:v>
      </x:c>
      <x:c r="B441" s="16" t="str">
        <x:v>2000789683-V122</x:v>
      </x:c>
      <x:c r="C441" s="16" t="str">
        <x:v>СГОН СТ3 DN15 ГОСТ8969-75</x:v>
      </x:c>
      <x:c r="D441" s="16" t="str">
        <x:v>Детали фасонные</x:v>
      </x:c>
      <x:c r="E441" s="16" t="str">
        <x:v>ШТ</x:v>
      </x:c>
      <x:c r="F441" s="21" t="n">
        <x:v>60</x:v>
      </x:c>
      <x:c r="G441" s="17" t="n">
        <x:v>15.921000000000001</x:v>
      </x:c>
      <x:c r="H441" s="17" t="n">
        <x:f>G441*F441</x:f>
        <x:v>955.2600000000001</x:v>
      </x:c>
      <x:c r="I441" s="22" t="str">
        <x:f>HYPERLINK("https://etp-aktiv.ru/catalog/materialy/truboprovody/2000789683-V122/","Открыть позицию")</x:f>
        <x:v>Открыть позицию</x:v>
      </x:c>
    </x:row>
    <x:row r="442" ht="28" customHeight="1">
      <x:c r="A442" s="16" t="str">
        <x:v>Красноярская теплосеть</x:v>
      </x:c>
      <x:c r="B442" s="16" t="str">
        <x:v>2000675529-V122</x:v>
      </x:c>
      <x:c r="C442" s="16" t="str">
        <x:v>ТРОЙНИК 09Г2С 159*6 159 ГОСТ17376-2001</x:v>
      </x:c>
      <x:c r="D442" s="16" t="str">
        <x:v>Детали фасонные</x:v>
      </x:c>
      <x:c r="E442" s="16" t="str">
        <x:v>ШТ</x:v>
      </x:c>
      <x:c r="F442" s="21" t="n">
        <x:v>1</x:v>
      </x:c>
      <x:c r="G442" s="17" t="n">
        <x:v>700.5484</x:v>
      </x:c>
      <x:c r="H442" s="17" t="n">
        <x:f>G442*F442</x:f>
        <x:v>700.5484</x:v>
      </x:c>
      <x:c r="I442" s="22" t="str">
        <x:f>HYPERLINK("https://etp-aktiv.ru/catalog/materialy/truboprovody/2000675529-V122/","Открыть позицию")</x:f>
        <x:v>Открыть позицию</x:v>
      </x:c>
    </x:row>
    <x:row r="443" ht="28" customHeight="1">
      <x:c r="A443" s="16" t="str">
        <x:v>Красноярская теплосеть</x:v>
      </x:c>
      <x:c r="B443" s="16" t="str">
        <x:v>2000842973-V122</x:v>
      </x:c>
      <x:c r="C443" s="16" t="str">
        <x:v>ТРОЙНИК 09Г2С 219*12-219 ГОСТ17376-2001</x:v>
      </x:c>
      <x:c r="D443" s="16" t="str">
        <x:v>Детали фасонные</x:v>
      </x:c>
      <x:c r="E443" s="16" t="str">
        <x:v>ШТ</x:v>
      </x:c>
      <x:c r="F443" s="21" t="n">
        <x:v>2</x:v>
      </x:c>
      <x:c r="G443" s="17" t="n">
        <x:v>6859.0718</x:v>
      </x:c>
      <x:c r="H443" s="17" t="n">
        <x:f>G443*F443</x:f>
        <x:v>13718.1436</x:v>
      </x:c>
      <x:c r="I443" s="22" t="str">
        <x:f>HYPERLINK("https://etp-aktiv.ru/catalog/materialy/truboprovody/2000842973-V122/","Открыть позицию")</x:f>
        <x:v>Открыть позицию</x:v>
      </x:c>
    </x:row>
    <x:row r="444" ht="28" customHeight="1">
      <x:c r="A444" s="16" t="str">
        <x:v>Красноярская теплосеть</x:v>
      </x:c>
      <x:c r="B444" s="16" t="str">
        <x:v>2000500976-V122</x:v>
      </x:c>
      <x:c r="C444" s="16" t="str">
        <x:v>ТРОЙНИК 09Г2С 219*8 133 ГОСТ17376-2001</x:v>
      </x:c>
      <x:c r="D444" s="16" t="str">
        <x:v>Детали фасонные</x:v>
      </x:c>
      <x:c r="E444" s="16" t="str">
        <x:v>ШТ</x:v>
      </x:c>
      <x:c r="F444" s="21" t="n">
        <x:v>2</x:v>
      </x:c>
      <x:c r="G444" s="17" t="n">
        <x:v>4952.3704</x:v>
      </x:c>
      <x:c r="H444" s="17" t="n">
        <x:f>G444*F444</x:f>
        <x:v>9904.7408</x:v>
      </x:c>
      <x:c r="I444" s="22" t="str">
        <x:f>HYPERLINK("https://etp-aktiv.ru/catalog/materialy/truboprovody/2000500976-V122/","Открыть позицию")</x:f>
        <x:v>Открыть позицию</x:v>
      </x:c>
    </x:row>
    <x:row r="445" ht="28" customHeight="1">
      <x:c r="A445" s="16" t="str">
        <x:v>Красноярская теплосеть</x:v>
      </x:c>
      <x:c r="B445" s="16" t="str">
        <x:v>2000555189-V122</x:v>
      </x:c>
      <x:c r="C445" s="16" t="str">
        <x:v>ТРОЙНИК 09Г2С 219*9-108*4-4 ТС588000-027</x:v>
      </x:c>
      <x:c r="D445" s="16" t="str">
        <x:v>Детали фасонные</x:v>
      </x:c>
      <x:c r="E445" s="16" t="str">
        <x:v>ШТ</x:v>
      </x:c>
      <x:c r="F445" s="21" t="n">
        <x:v>6</x:v>
      </x:c>
      <x:c r="G445" s="17" t="n">
        <x:v>558.7965999999999</x:v>
      </x:c>
      <x:c r="H445" s="17" t="n">
        <x:f>G445*F445</x:f>
        <x:v>3352.7795999999994</x:v>
      </x:c>
      <x:c r="I445" s="22" t="str">
        <x:f>HYPERLINK("https://etp-aktiv.ru/catalog/materialy/truboprovody/2000555189-V122/","Открыть позицию")</x:f>
        <x:v>Открыть позицию</x:v>
      </x:c>
    </x:row>
    <x:row r="446" ht="28" customHeight="1">
      <x:c r="A446" s="16" t="str">
        <x:v>Красноярская теплосеть</x:v>
      </x:c>
      <x:c r="B446" s="16" t="str">
        <x:v>2000555215-V122</x:v>
      </x:c>
      <x:c r="C446" s="16" t="str">
        <x:v>ТРОЙНИК 09Г2С 325*10-219*8 ГОСТ17376-01</x:v>
      </x:c>
      <x:c r="D446" s="16" t="str">
        <x:v>Детали фасонные</x:v>
      </x:c>
      <x:c r="E446" s="16" t="str">
        <x:v>ШТ</x:v>
      </x:c>
      <x:c r="F446" s="21" t="n">
        <x:v>2</x:v>
      </x:c>
      <x:c r="G446" s="17" t="n">
        <x:v>586.7468</x:v>
      </x:c>
      <x:c r="H446" s="17" t="n">
        <x:f>G446*F446</x:f>
        <x:v>1173.4936</x:v>
      </x:c>
      <x:c r="I446" s="22" t="str">
        <x:f>HYPERLINK("https://etp-aktiv.ru/catalog/materialy/truboprovody/2000555215-V122/","Открыть позицию")</x:f>
        <x:v>Открыть позицию</x:v>
      </x:c>
    </x:row>
    <x:row r="447" ht="28" customHeight="1">
      <x:c r="A447" s="16" t="str">
        <x:v>Красноярская теплосеть</x:v>
      </x:c>
      <x:c r="B447" s="16" t="str">
        <x:v>2000555280-V122</x:v>
      </x:c>
      <x:c r="C447" s="16" t="str">
        <x:v>ТРОЙНИК 09Г2С 720*12-219*9 2,5 ТС588-103</x:v>
      </x:c>
      <x:c r="D447" s="16" t="str">
        <x:v>Детали фасонные</x:v>
      </x:c>
      <x:c r="E447" s="16" t="str">
        <x:v>ШТ</x:v>
      </x:c>
      <x:c r="F447" s="21" t="n">
        <x:v>1</x:v>
      </x:c>
      <x:c r="G447" s="17" t="n">
        <x:v>5018.2137999999995</x:v>
      </x:c>
      <x:c r="H447" s="17" t="n">
        <x:f>G447*F447</x:f>
        <x:v>5018.2137999999995</x:v>
      </x:c>
      <x:c r="I447" s="22" t="str">
        <x:f>HYPERLINK("https://etp-aktiv.ru/catalog/materialy/truboprovody/2000555280-V122/","Открыть позицию")</x:f>
        <x:v>Открыть позицию</x:v>
      </x:c>
    </x:row>
    <x:row r="448" ht="28" customHeight="1">
      <x:c r="A448" s="16" t="str">
        <x:v>Красноярская теплосеть</x:v>
      </x:c>
      <x:c r="B448" s="16" t="str">
        <x:v>2000555299-V122</x:v>
      </x:c>
      <x:c r="C448" s="16" t="str">
        <x:v>ТРОЙНИК 09Г2С 820*12/9-273*12/6 1,6</x:v>
      </x:c>
      <x:c r="D448" s="16" t="str">
        <x:v>Детали фасонные</x:v>
      </x:c>
      <x:c r="E448" s="16" t="str">
        <x:v>ШТ</x:v>
      </x:c>
      <x:c r="F448" s="21" t="n">
        <x:v>2</x:v>
      </x:c>
      <x:c r="G448" s="17" t="n">
        <x:v>7961.0612</x:v>
      </x:c>
      <x:c r="H448" s="17" t="n">
        <x:f>G448*F448</x:f>
        <x:v>15922.1224</x:v>
      </x:c>
      <x:c r="I448" s="22" t="str">
        <x:f>HYPERLINK("https://etp-aktiv.ru/catalog/materialy/truboprovody/2000555299-V122/","Открыть позицию")</x:f>
        <x:v>Открыть позицию</x:v>
      </x:c>
    </x:row>
    <x:row r="449" ht="28" customHeight="1">
      <x:c r="A449" s="16" t="str">
        <x:v>Красноярская теплосеть</x:v>
      </x:c>
      <x:c r="B449" s="16" t="str">
        <x:v>2000961238-V122</x:v>
      </x:c>
      <x:c r="C449" s="16" t="str">
        <x:v>ТРОЙНИК 17Г1С 1220*22-530 157ОСТ3410764</x:v>
      </x:c>
      <x:c r="D449" s="16" t="str">
        <x:v>Детали фасонные</x:v>
      </x:c>
      <x:c r="E449" s="16" t="str">
        <x:v>ШТ</x:v>
      </x:c>
      <x:c r="F449" s="21" t="n">
        <x:v>2</x:v>
      </x:c>
      <x:c r="G449" s="17" t="n">
        <x:v>66650.6618</x:v>
      </x:c>
      <x:c r="H449" s="17" t="n">
        <x:f>G449*F449</x:f>
        <x:v>133301.3236</x:v>
      </x:c>
      <x:c r="I449" s="22" t="str">
        <x:f>HYPERLINK("https://etp-aktiv.ru/catalog/materialy/truboprovody/2000961238-V122/","Открыть позицию")</x:f>
        <x:v>Открыть позицию</x:v>
      </x:c>
    </x:row>
    <x:row r="450" ht="28" customHeight="1">
      <x:c r="A450" s="16" t="str">
        <x:v>Красноярская теплосеть</x:v>
      </x:c>
      <x:c r="B450" s="16" t="str">
        <x:v>2000809892-V122</x:v>
      </x:c>
      <x:c r="C450" s="16" t="str">
        <x:v>ТРОЙНИК 17Г1С 720*14-273*8 ТС588-000-104</x:v>
      </x:c>
      <x:c r="D450" s="16" t="str">
        <x:v>Детали фасонные</x:v>
      </x:c>
      <x:c r="E450" s="16" t="str">
        <x:v>ШТ</x:v>
      </x:c>
      <x:c r="F450" s="21" t="n">
        <x:v>2</x:v>
      </x:c>
      <x:c r="G450" s="17" t="n">
        <x:v>4737.4186</x:v>
      </x:c>
      <x:c r="H450" s="17" t="n">
        <x:f>G450*F450</x:f>
        <x:v>9474.8372</x:v>
      </x:c>
      <x:c r="I450" s="22" t="str">
        <x:f>HYPERLINK("https://etp-aktiv.ru/catalog/materialy/truboprovody/2000809892-V122/","Открыть позицию")</x:f>
        <x:v>Открыть позицию</x:v>
      </x:c>
    </x:row>
    <x:row r="451" ht="28" customHeight="1">
      <x:c r="A451" s="16" t="str">
        <x:v>Красноярская теплосеть</x:v>
      </x:c>
      <x:c r="B451" s="16" t="str">
        <x:v>2000555298-V122</x:v>
      </x:c>
      <x:c r="C451" s="16" t="str">
        <x:v>ТРОЙНИК 17Г1С 820*11-273*8 1,6 ТС588-121</x:v>
      </x:c>
      <x:c r="D451" s="16" t="str">
        <x:v>Детали фасонные</x:v>
      </x:c>
      <x:c r="E451" s="16" t="str">
        <x:v>ШТ</x:v>
      </x:c>
      <x:c r="F451" s="21" t="n">
        <x:v>2</x:v>
      </x:c>
      <x:c r="G451" s="17" t="n">
        <x:v>8161.19</x:v>
      </x:c>
      <x:c r="H451" s="17" t="n">
        <x:f>G451*F451</x:f>
        <x:v>16322.38</x:v>
      </x:c>
      <x:c r="I451" s="22" t="str">
        <x:f>HYPERLINK("https://etp-aktiv.ru/catalog/materialy/truboprovody/2000555298-V122/","Открыть позицию")</x:f>
        <x:v>Открыть позицию</x:v>
      </x:c>
    </x:row>
    <x:row r="452" ht="28" customHeight="1">
      <x:c r="A452" s="16" t="str">
        <x:v>Красноярская теплосеть</x:v>
      </x:c>
      <x:c r="B452" s="16" t="str">
        <x:v>2000631209-V122</x:v>
      </x:c>
      <x:c r="C452" s="16" t="str">
        <x:v>ТРОЙНИК 17Г1С 820*18-820 ТС-590.000-28</x:v>
      </x:c>
      <x:c r="D452" s="16" t="str">
        <x:v>Детали фасонные</x:v>
      </x:c>
      <x:c r="E452" s="16" t="str">
        <x:v>ШТ</x:v>
      </x:c>
      <x:c r="F452" s="21" t="n">
        <x:v>3</x:v>
      </x:c>
      <x:c r="G452" s="17" t="n">
        <x:v>21641.897199999996</x:v>
      </x:c>
      <x:c r="H452" s="17" t="n">
        <x:f>G452*F452</x:f>
        <x:v>64925.69159999999</x:v>
      </x:c>
      <x:c r="I452" s="22" t="str">
        <x:f>HYPERLINK("https://etp-aktiv.ru/catalog/materialy/truboprovody/2000631209-V122/","Открыть позицию")</x:f>
        <x:v>Открыть позицию</x:v>
      </x:c>
    </x:row>
    <x:row r="453" ht="28" customHeight="1">
      <x:c r="A453" s="16" t="str">
        <x:v>Красноярская теплосеть</x:v>
      </x:c>
      <x:c r="B453" s="16" t="str">
        <x:v>2000568326-V122</x:v>
      </x:c>
      <x:c r="C453" s="16" t="str">
        <x:v>ТРОЙНИК 17Г1С 920*18-920*16 1,6 ТС590-31</x:v>
      </x:c>
      <x:c r="D453" s="16" t="str">
        <x:v>Детали фасонные</x:v>
      </x:c>
      <x:c r="E453" s="16" t="str">
        <x:v>ШТ</x:v>
      </x:c>
      <x:c r="F453" s="21" t="n">
        <x:v>1</x:v>
      </x:c>
      <x:c r="G453" s="17" t="n">
        <x:v>61760.5724</x:v>
      </x:c>
      <x:c r="H453" s="17" t="n">
        <x:f>G453*F453</x:f>
        <x:v>61760.5724</x:v>
      </x:c>
      <x:c r="I453" s="22" t="str">
        <x:f>HYPERLINK("https://etp-aktiv.ru/catalog/materialy/truboprovody/2000568326-V122/","Открыть позицию")</x:f>
        <x:v>Открыть позицию</x:v>
      </x:c>
    </x:row>
    <x:row r="454" ht="28" customHeight="1">
      <x:c r="A454" s="16" t="str">
        <x:v>Красноярская теплосеть</x:v>
      </x:c>
      <x:c r="B454" s="16" t="str">
        <x:v>2000555325-V122</x:v>
      </x:c>
      <x:c r="C454" s="16" t="str">
        <x:v>ТРОЙНИК П СТ20 159*8-133*6 ГОСТ17376-01</x:v>
      </x:c>
      <x:c r="D454" s="16" t="str">
        <x:v>Детали фасонные</x:v>
      </x:c>
      <x:c r="E454" s="16" t="str">
        <x:v>ШТ</x:v>
      </x:c>
      <x:c r="F454" s="21" t="n">
        <x:v>1</x:v>
      </x:c>
      <x:c r="G454" s="17" t="n">
        <x:v>1116.8856</x:v>
      </x:c>
      <x:c r="H454" s="17" t="n">
        <x:f>G454*F454</x:f>
        <x:v>1116.8856</x:v>
      </x:c>
      <x:c r="I454" s="22" t="str">
        <x:f>HYPERLINK("https://etp-aktiv.ru/catalog/materialy/truboprovody/2000555325-V122/","Открыть позицию")</x:f>
        <x:v>Открыть позицию</x:v>
      </x:c>
    </x:row>
    <x:row r="455" ht="28" customHeight="1">
      <x:c r="A455" s="16" t="str">
        <x:v>Красноярская теплосеть</x:v>
      </x:c>
      <x:c r="B455" s="16" t="str">
        <x:v>2000177064-V122</x:v>
      </x:c>
      <x:c r="C455" s="16" t="str">
        <x:v>ТРОЙНИК СТ20 108*6 ГОСТ17376-01</x:v>
      </x:c>
      <x:c r="D455" s="16" t="str">
        <x:v>Детали фасонные</x:v>
      </x:c>
      <x:c r="E455" s="16" t="str">
        <x:v>ШТ</x:v>
      </x:c>
      <x:c r="F455" s="21" t="n">
        <x:v>3</x:v>
      </x:c>
      <x:c r="G455" s="17" t="n">
        <x:v>483.9496</x:v>
      </x:c>
      <x:c r="H455" s="17" t="n">
        <x:f>G455*F455</x:f>
        <x:v>1451.8488</x:v>
      </x:c>
      <x:c r="I455" s="22" t="str">
        <x:f>HYPERLINK("https://etp-aktiv.ru/catalog/materialy/truboprovody/2000177064-V122/","Открыть позицию")</x:f>
        <x:v>Открыть позицию</x:v>
      </x:c>
    </x:row>
    <x:row r="456" ht="28" customHeight="1">
      <x:c r="A456" s="16" t="str">
        <x:v>Красноярская теплосеть</x:v>
      </x:c>
      <x:c r="B456" s="16" t="str">
        <x:v>2000481036-V122</x:v>
      </x:c>
      <x:c r="C456" s="16" t="str">
        <x:v>ТРОЙНИК СТ20 159*6 159 ГОСТ17376-2001</x:v>
      </x:c>
      <x:c r="D456" s="16" t="str">
        <x:v>Детали фасонные</x:v>
      </x:c>
      <x:c r="E456" s="16" t="str">
        <x:v>ШТ</x:v>
      </x:c>
      <x:c r="F456" s="21" t="n">
        <x:v>2</x:v>
      </x:c>
      <x:c r="G456" s="17" t="n">
        <x:v>446.59319999999997</x:v>
      </x:c>
      <x:c r="H456" s="17" t="n">
        <x:f>G456*F456</x:f>
        <x:v>893.1863999999999</x:v>
      </x:c>
      <x:c r="I456" s="22" t="str">
        <x:f>HYPERLINK("https://etp-aktiv.ru/catalog/materialy/truboprovody/2000481036-V122/","Открыть позицию")</x:f>
        <x:v>Открыть позицию</x:v>
      </x:c>
    </x:row>
    <x:row r="457" ht="28" customHeight="1">
      <x:c r="A457" s="16" t="str">
        <x:v>Красноярская теплосеть</x:v>
      </x:c>
      <x:c r="B457" s="16" t="str">
        <x:v>2000591032-V122</x:v>
      </x:c>
      <x:c r="C457" s="16" t="str">
        <x:v>ТРОЙНИК СТ20 159*7-76*3 ТС-588.000-020</x:v>
      </x:c>
      <x:c r="D457" s="16" t="str">
        <x:v>Детали фасонные</x:v>
      </x:c>
      <x:c r="E457" s="16" t="str">
        <x:v>ШТ</x:v>
      </x:c>
      <x:c r="F457" s="21" t="n">
        <x:v>2</x:v>
      </x:c>
      <x:c r="G457" s="17" t="n">
        <x:v>731.2558</x:v>
      </x:c>
      <x:c r="H457" s="17" t="n">
        <x:f>G457*F457</x:f>
        <x:v>1462.5116</x:v>
      </x:c>
      <x:c r="I457" s="22" t="str">
        <x:f>HYPERLINK("https://etp-aktiv.ru/catalog/materialy/truboprovody/2000591032-V122/","Открыть позицию")</x:f>
        <x:v>Открыть позицию</x:v>
      </x:c>
    </x:row>
    <x:row r="458" ht="28" customHeight="1">
      <x:c r="A458" s="16" t="str">
        <x:v>Красноярская теплосеть</x:v>
      </x:c>
      <x:c r="B458" s="16" t="str">
        <x:v>2000383215-V122</x:v>
      </x:c>
      <x:c r="C458" s="16" t="str">
        <x:v>ТРОЙНИК СТ20 219*6 219 6 ГОСТ17376-2001</x:v>
      </x:c>
      <x:c r="D458" s="16" t="str">
        <x:v>Детали фасонные</x:v>
      </x:c>
      <x:c r="E458" s="16" t="str">
        <x:v>ШТ</x:v>
      </x:c>
      <x:c r="F458" s="21" t="n">
        <x:v>5</x:v>
      </x:c>
      <x:c r="G458" s="17" t="n">
        <x:v>880.7302</x:v>
      </x:c>
      <x:c r="H458" s="17" t="n">
        <x:f>G458*F458</x:f>
        <x:v>4403.651</x:v>
      </x:c>
      <x:c r="I458" s="22" t="str">
        <x:f>HYPERLINK("https://etp-aktiv.ru/catalog/materialy/truboprovody/2000383215-V122/","Открыть позицию")</x:f>
        <x:v>Открыть позицию</x:v>
      </x:c>
    </x:row>
    <x:row r="459" ht="28" customHeight="1">
      <x:c r="A459" s="16" t="str">
        <x:v>Красноярская теплосеть</x:v>
      </x:c>
      <x:c r="B459" s="16" t="str">
        <x:v>2000555186-V122</x:v>
      </x:c>
      <x:c r="C459" s="16" t="str">
        <x:v>ТРОЙНИК СТ20 219*8-133*6 ГОСТ17376-01</x:v>
      </x:c>
      <x:c r="D459" s="16" t="str">
        <x:v>Детали фасонные</x:v>
      </x:c>
      <x:c r="E459" s="16" t="str">
        <x:v>ШТ</x:v>
      </x:c>
      <x:c r="F459" s="21" t="n">
        <x:v>2</x:v>
      </x:c>
      <x:c r="G459" s="17" t="n">
        <x:v>293.3734</x:v>
      </x:c>
      <x:c r="H459" s="17" t="n">
        <x:f>G459*F459</x:f>
        <x:v>586.7468</x:v>
      </x:c>
      <x:c r="I459" s="22" t="str">
        <x:f>HYPERLINK("https://etp-aktiv.ru/catalog/materialy/truboprovody/2000555186-V122/","Открыть позицию")</x:f>
        <x:v>Открыть позицию</x:v>
      </x:c>
    </x:row>
    <x:row r="460" ht="28" customHeight="1">
      <x:c r="A460" s="16" t="str">
        <x:v>Красноярская теплосеть</x:v>
      </x:c>
      <x:c r="B460" s="16" t="str">
        <x:v>2000568298-V122</x:v>
      </x:c>
      <x:c r="C460" s="16" t="str">
        <x:v>ТРОЙНИК СТ20 219*8-159*6 ГОСТ17376-2001</x:v>
      </x:c>
      <x:c r="D460" s="16" t="str">
        <x:v>Детали фасонные</x:v>
      </x:c>
      <x:c r="E460" s="16" t="str">
        <x:v>ШТ</x:v>
      </x:c>
      <x:c r="F460" s="21" t="n">
        <x:v>4</x:v>
      </x:c>
      <x:c r="G460" s="17" t="n">
        <x:v>2039.596</x:v>
      </x:c>
      <x:c r="H460" s="17" t="n">
        <x:f>G460*F460</x:f>
        <x:v>8158.384</x:v>
      </x:c>
      <x:c r="I460" s="22" t="str">
        <x:f>HYPERLINK("https://etp-aktiv.ru/catalog/materialy/truboprovody/2000568298-V122/","Открыть позицию")</x:f>
        <x:v>Открыть позицию</x:v>
      </x:c>
    </x:row>
    <x:row r="461" ht="28" customHeight="1">
      <x:c r="A461" s="16" t="str">
        <x:v>Красноярская теплосеть</x:v>
      </x:c>
      <x:c r="B461" s="16" t="str">
        <x:v>2000555204-V122</x:v>
      </x:c>
      <x:c r="C461" s="16" t="str">
        <x:v>ТРОЙНИК СТ20 273*7-219*6 ГОСТ17376-01</x:v>
      </x:c>
      <x:c r="D461" s="16" t="str">
        <x:v>Детали фасонные</x:v>
      </x:c>
      <x:c r="E461" s="16" t="str">
        <x:v>ШТ</x:v>
      </x:c>
      <x:c r="F461" s="21" t="n">
        <x:v>4</x:v>
      </x:c>
      <x:c r="G461" s="17" t="n">
        <x:v>1000.766</x:v>
      </x:c>
      <x:c r="H461" s="17" t="n">
        <x:f>G461*F461</x:f>
        <x:v>4003.064</x:v>
      </x:c>
      <x:c r="I461" s="22" t="str">
        <x:f>HYPERLINK("https://etp-aktiv.ru/catalog/materialy/truboprovody/2000555204-V122/","Открыть позицию")</x:f>
        <x:v>Открыть позицию</x:v>
      </x:c>
    </x:row>
    <x:row r="462" ht="28" customHeight="1">
      <x:c r="A462" s="16" t="str">
        <x:v>Красноярская теплосеть</x:v>
      </x:c>
      <x:c r="B462" s="16" t="str">
        <x:v>2000555216-V122</x:v>
      </x:c>
      <x:c r="C462" s="16" t="str">
        <x:v>ТРОЙНИК СТ20 325*10-273*10 ГОСТ17376-01</x:v>
      </x:c>
      <x:c r="D462" s="16" t="str">
        <x:v>Детали фасонные</x:v>
      </x:c>
      <x:c r="E462" s="16" t="str">
        <x:v>ШТ</x:v>
      </x:c>
      <x:c r="F462" s="21" t="n">
        <x:v>1</x:v>
      </x:c>
      <x:c r="G462" s="17" t="n">
        <x:v>2560.2066</x:v>
      </x:c>
      <x:c r="H462" s="17" t="n">
        <x:f>G462*F462</x:f>
        <x:v>2560.2066</x:v>
      </x:c>
      <x:c r="I462" s="22" t="str">
        <x:f>HYPERLINK("https://etp-aktiv.ru/catalog/materialy/truboprovody/2000555216-V122/","Открыть позицию")</x:f>
        <x:v>Открыть позицию</x:v>
      </x:c>
    </x:row>
    <x:row r="463" ht="28" customHeight="1">
      <x:c r="A463" s="16" t="str">
        <x:v>Красноярская теплосеть</x:v>
      </x:c>
      <x:c r="B463" s="16" t="str">
        <x:v>2000622734-V122</x:v>
      </x:c>
      <x:c r="C463" s="16" t="str">
        <x:v>ТРОЙНИК СТ20 720*14-325*13 ТС588.000-106</x:v>
      </x:c>
      <x:c r="D463" s="16" t="str">
        <x:v>Детали фасонные</x:v>
      </x:c>
      <x:c r="E463" s="16" t="str">
        <x:v>ШТ</x:v>
      </x:c>
      <x:c r="F463" s="21" t="n">
        <x:v>1</x:v>
      </x:c>
      <x:c r="G463" s="17" t="n">
        <x:v>25907.9932</x:v>
      </x:c>
      <x:c r="H463" s="17" t="n">
        <x:f>G463*F463</x:f>
        <x:v>25907.9932</x:v>
      </x:c>
      <x:c r="I463" s="22" t="str">
        <x:f>HYPERLINK("https://etp-aktiv.ru/catalog/materialy/truboprovody/2000622734-V122/","Открыть позицию")</x:f>
        <x:v>Открыть позицию</x:v>
      </x:c>
    </x:row>
    <x:row r="464" ht="28" customHeight="1">
      <x:c r="A464" s="16" t="str">
        <x:v>Красноярская теплосеть</x:v>
      </x:c>
      <x:c r="B464" s="16" t="str">
        <x:v>2000649753-V122</x:v>
      </x:c>
      <x:c r="C464" s="16" t="str">
        <x:v>ТРОЙНИК СТ20 76*3,5 ГОСТ17376-01</x:v>
      </x:c>
      <x:c r="D464" s="16" t="str">
        <x:v>Детали фасонные</x:v>
      </x:c>
      <x:c r="E464" s="16" t="str">
        <x:v>ШТ</x:v>
      </x:c>
      <x:c r="F464" s="21" t="n">
        <x:v>2</x:v>
      </x:c>
      <x:c r="G464" s="17" t="n">
        <x:v>219.39260000000002</x:v>
      </x:c>
      <x:c r="H464" s="17" t="n">
        <x:f>G464*F464</x:f>
        <x:v>438.78520000000003</x:v>
      </x:c>
      <x:c r="I464" s="22" t="str">
        <x:f>HYPERLINK("https://etp-aktiv.ru/catalog/materialy/truboprovody/2000649753-V122/","Открыть позицию")</x:f>
        <x:v>Открыть позицию</x:v>
      </x:c>
    </x:row>
    <x:row r="465" ht="28" customHeight="1">
      <x:c r="A465" s="16" t="str">
        <x:v>Красноярская теплосеть</x:v>
      </x:c>
      <x:c r="B465" s="16" t="str">
        <x:v>2000997328-V122</x:v>
      </x:c>
      <x:c r="C465" s="16" t="str">
        <x:v>ТРУБА 09Г2С 273*7 1-ППУ-ПЭ ГОСТ30732</x:v>
      </x:c>
      <x:c r="D465" s="16" t="str">
        <x:v>Труб/элем ТИ и Футер</x:v>
      </x:c>
      <x:c r="E465" s="16" t="str">
        <x:v>М</x:v>
      </x:c>
      <x:c r="F465" s="21" t="n">
        <x:v>24</x:v>
      </x:c>
      <x:c r="G465" s="17" t="n">
        <x:v>4045.4468</x:v>
      </x:c>
      <x:c r="H465" s="17" t="n">
        <x:f>G465*F465</x:f>
        <x:v>97090.72320000001</x:v>
      </x:c>
      <x:c r="I465" s="22" t="str">
        <x:f>HYPERLINK("https://etp-aktiv.ru/catalog/materialy/truboprovody/2000997328-V122/","Открыть позицию")</x:f>
        <x:v>Открыть позицию</x:v>
      </x:c>
    </x:row>
    <x:row r="466" ht="28" customHeight="1">
      <x:c r="A466" s="16" t="str">
        <x:v>Красноярская теплосеть</x:v>
      </x:c>
      <x:c r="B466" s="16" t="str">
        <x:v>2000560575-V122</x:v>
      </x:c>
      <x:c r="C466" s="16" t="str">
        <x:v>ТРУБА СТ3ПС4 1420*15,7 ГОСТ10705-80</x:v>
      </x:c>
      <x:c r="D466" s="16" t="str">
        <x:v>ТрубЧерСварБольшДиам</x:v>
      </x:c>
      <x:c r="E466" s="16" t="str">
        <x:v>Т</x:v>
      </x:c>
      <x:c r="F466" s="26" t="n">
        <x:v>2.481</x:v>
      </x:c>
      <x:c r="G466" s="17" t="n">
        <x:v>44999.273</x:v>
      </x:c>
      <x:c r="H466" s="17" t="n">
        <x:f>G466*F466</x:f>
        <x:v>111643.196313</x:v>
      </x:c>
      <x:c r="I466" s="22" t="str">
        <x:f>HYPERLINK("https://etp-aktiv.ru/catalog/materialy/truby-stalnye-i-polimernye/2000560575-V122/","Открыть позицию")</x:f>
        <x:v>Открыть позицию</x:v>
      </x:c>
    </x:row>
    <x:row r="467" ht="28" customHeight="1">
      <x:c r="A467" s="16" t="str">
        <x:v>Красноярская теплосеть</x:v>
      </x:c>
      <x:c r="B467" s="16" t="str">
        <x:v>2000771903-V122</x:v>
      </x:c>
      <x:c r="C467" s="16" t="str">
        <x:v>ТРУБА ТИП3 17Г1С 720*10 К52 ГОСТ20295-85</x:v>
      </x:c>
      <x:c r="D467" s="16" t="str">
        <x:v>ТрубЧерСварБольшДиам</x:v>
      </x:c>
      <x:c r="E467" s="16" t="str">
        <x:v>Т</x:v>
      </x:c>
      <x:c r="F467" s="26" t="n">
        <x:v>1.592</x:v>
      </x:c>
      <x:c r="G467" s="17" t="n">
        <x:v>42002.660200000006</x:v>
      </x:c>
      <x:c r="H467" s="17" t="n">
        <x:f>G467*F467</x:f>
        <x:v>66868.23503840002</x:v>
      </x:c>
      <x:c r="I467" s="22" t="str">
        <x:f>HYPERLINK("https://etp-aktiv.ru/catalog/materialy/truby-stalnye-i-polimernye/2000771903-V122/","Открыть позицию")</x:f>
        <x:v>Открыть позицию</x:v>
      </x:c>
    </x:row>
    <x:row r="468" ht="28" customHeight="1">
      <x:c r="A468" s="16" t="str">
        <x:v>Красноярская теплосеть</x:v>
      </x:c>
      <x:c r="B468" s="16" t="str">
        <x:v>2000738857-V122</x:v>
      </x:c>
      <x:c r="C468" s="16" t="str">
        <x:v>ТРУБА Э/С ВСТ3 1620*14 ГОСТ10706-76</x:v>
      </x:c>
      <x:c r="D468" s="16" t="str">
        <x:v>ТрубЧерСварБольшДиам</x:v>
      </x:c>
      <x:c r="E468" s="16" t="str">
        <x:v>Т</x:v>
      </x:c>
      <x:c r="F468" s="26" t="n">
        <x:v>80.623</x:v>
      </x:c>
      <x:c r="G468" s="17" t="n">
        <x:v>53375</x:v>
      </x:c>
      <x:c r="H468" s="17" t="n">
        <x:f>G468*F468</x:f>
        <x:v>4303252.625</x:v>
      </x:c>
      <x:c r="I468" s="22" t="str">
        <x:f>HYPERLINK("https://etp-aktiv.ru/catalog/materialy/truby-stalnye-i-polimernye/2000738857-V122/","Открыть позицию")</x:f>
        <x:v>Открыть позицию</x:v>
      </x:c>
    </x:row>
    <x:row r="469" ht="28" customHeight="1">
      <x:c r="A469" s="16" t="str">
        <x:v>Красноярская теплосеть</x:v>
      </x:c>
      <x:c r="B469" s="16" t="str">
        <x:v>2000554679-V122</x:v>
      </x:c>
      <x:c r="C469" s="16" t="str">
        <x:v>ФЛАНЕЦ СТ20 DN100 PN1,6 ИСП.1 ГОСТ12821</x:v>
      </x:c>
      <x:c r="D469" s="16" t="str">
        <x:v>Детали фасонные</x:v>
      </x:c>
      <x:c r="E469" s="16" t="str">
        <x:v>ШТ</x:v>
      </x:c>
      <x:c r="F469" s="21" t="n">
        <x:v>4</x:v>
      </x:c>
      <x:c r="G469" s="17" t="n">
        <x:v>259.9332</x:v>
      </x:c>
      <x:c r="H469" s="17" t="n">
        <x:f>G469*F469</x:f>
        <x:v>1039.7328</x:v>
      </x:c>
      <x:c r="I469" s="22" t="str">
        <x:f>HYPERLINK("https://etp-aktiv.ru/catalog/materialy/truboprovody/2000554679-V122/","Открыть позицию")</x:f>
        <x:v>Открыть позицию</x:v>
      </x:c>
    </x:row>
    <x:row r="470" ht="28" customHeight="1">
      <x:c r="A470" s="16" t="str">
        <x:v>Красноярская теплосеть</x:v>
      </x:c>
      <x:c r="B470" s="16" t="str">
        <x:v>2000554718-V122</x:v>
      </x:c>
      <x:c r="C470" s="16" t="str">
        <x:v>ФЛАНЕЦ СТ20 DN250 PN1,0 ИСП.1 ГОСТ12820</x:v>
      </x:c>
      <x:c r="D470" s="16" t="str">
        <x:v>Детали фасонные</x:v>
      </x:c>
      <x:c r="E470" s="16" t="str">
        <x:v>ШТ</x:v>
      </x:c>
      <x:c r="F470" s="21" t="n">
        <x:v>1</x:v>
      </x:c>
      <x:c r="G470" s="17" t="n">
        <x:v>773.5409999999999</x:v>
      </x:c>
      <x:c r="H470" s="17" t="n">
        <x:f>G470*F470</x:f>
        <x:v>773.5409999999999</x:v>
      </x:c>
      <x:c r="I470" s="22" t="str">
        <x:f>HYPERLINK("https://etp-aktiv.ru/catalog/materialy/truboprovody/2000554718-V122/","Открыть позицию")</x:f>
        <x:v>Открыть позицию</x:v>
      </x:c>
    </x:row>
    <x:row r="471" ht="28" customHeight="1">
      <x:c r="A471" s="16" t="str">
        <x:v>Красноярская теплосеть</x:v>
      </x:c>
      <x:c r="B471" s="16" t="str">
        <x:v>2000552796-V122</x:v>
      </x:c>
      <x:c r="C471" s="16" t="str">
        <x:v>ЭЛЕКТРОПРИВОД ГЗ-В.900/24</x:v>
      </x:c>
      <x:c r="D471" s="16" t="str">
        <x:v>Приводы арматуры</x:v>
      </x:c>
      <x:c r="E471" s="16" t="str">
        <x:v>ШТ</x:v>
      </x:c>
      <x:c r="F471" s="21" t="n">
        <x:v>1</x:v>
      </x:c>
      <x:c r="G471" s="17" t="n">
        <x:v>41757.733</x:v>
      </x:c>
      <x:c r="H471" s="17" t="n">
        <x:f>G471*F471</x:f>
        <x:v>41757.733</x:v>
      </x:c>
      <x:c r="I471" s="22" t="str">
        <x:f>HYPERLINK("https://etp-aktiv.ru/catalog/materialy/truboprovodnaya-armatura-i-komplektuyushchie/2000552796-V122/","Открыть позицию")</x:f>
        <x:v>Открыть позицию</x:v>
      </x:c>
    </x:row>
    <x:row r="472" ht="28" customHeight="1">
      <x:c r="A472" s="16" t="str">
        <x:v>Красноярская теплосеть</x:v>
      </x:c>
      <x:c r="B472" s="16" t="str">
        <x:v>2001031653-V122</x:v>
      </x:c>
      <x:c r="C472" s="16" t="str">
        <x:v>ЭЛЕМЕНТ 17Г1С 1020*10 1ППУПЭ СОДК Г30732</x:v>
      </x:c>
      <x:c r="D472" s="16" t="str">
        <x:v>Труб/элем ТИ и Футер</x:v>
      </x:c>
      <x:c r="E472" s="16" t="str">
        <x:v>ШТ</x:v>
      </x:c>
      <x:c r="F472" s="21" t="n">
        <x:v>6</x:v>
      </x:c>
      <x:c r="G472" s="17" t="n">
        <x:v>120530.96139999999</x:v>
      </x:c>
      <x:c r="H472" s="17" t="n">
        <x:f>G472*F472</x:f>
        <x:v>723185.7684</x:v>
      </x:c>
      <x:c r="I472" s="22" t="str">
        <x:f>HYPERLINK("https://etp-aktiv.ru/catalog/materialy/truboprovody/2001031653-V122/","Открыть позицию")</x:f>
        <x:v>Открыть позицию</x:v>
      </x:c>
    </x:row>
    <x:row r="473" ht="28" customHeight="1">
      <x:c r="A473" s="16" t="str">
        <x:v>Минусинская ТЭЦ</x:v>
      </x:c>
      <x:c r="B473" s="16" t="str">
        <x:v>2000552566-V112</x:v>
      </x:c>
      <x:c r="C473" s="16" t="str">
        <x:v>ЗАДВИЖКА 2С-25-2Н DN200 PN100 РУЧН П/П</x:v>
      </x:c>
      <x:c r="D473" s="16" t="str">
        <x:v>Трубопр арматура в/д</x:v>
      </x:c>
      <x:c r="E473" s="16" t="str">
        <x:v>ШТ</x:v>
      </x:c>
      <x:c r="F473" s="21" t="n">
        <x:v>1</x:v>
      </x:c>
      <x:c r="G473" s="17" t="n">
        <x:v>373167.6586</x:v>
      </x:c>
      <x:c r="H473" s="17" t="n">
        <x:f>G473*F473</x:f>
        <x:v>373167.6586</x:v>
      </x:c>
      <x:c r="I473" s="22" t="str">
        <x:f>HYPERLINK("https://etp-aktiv.ru/catalog/materialy/truboprovodnaya-armatura-i-komplektuyushchie/2000552566-V112/","Открыть позицию")</x:f>
        <x:v>Открыть позицию</x:v>
      </x:c>
    </x:row>
    <x:row r="474" ht="28" customHeight="1">
      <x:c r="A474" s="16" t="str">
        <x:v>Минусинская ТЭЦ</x:v>
      </x:c>
      <x:c r="B474" s="16" t="str">
        <x:v>2000577452-V112</x:v>
      </x:c>
      <x:c r="C474" s="16" t="str">
        <x:v>ЗАДВИЖКА 30Ч6БР DN300 PN10 Р/П ФЛ А</x:v>
      </x:c>
      <x:c r="D474" s="16" t="str">
        <x:v>ЧугунАрмат (кр.затв)</x:v>
      </x:c>
      <x:c r="E474" s="16" t="str">
        <x:v>ШТ</x:v>
      </x:c>
      <x:c r="F474" s="21" t="n">
        <x:v>6</x:v>
      </x:c>
      <x:c r="G474" s="17" t="n">
        <x:v>36118.71</x:v>
      </x:c>
      <x:c r="H474" s="17" t="n">
        <x:f>G474*F474</x:f>
        <x:v>216712.26</x:v>
      </x:c>
      <x:c r="I474" s="22" t="str">
        <x:f>HYPERLINK("https://etp-aktiv.ru/catalog/materialy/truboprovodnaya-armatura-i-komplektuyushchie/2000577452-V112/","Открыть позицию")</x:f>
        <x:v>Открыть позицию</x:v>
      </x:c>
    </x:row>
    <x:row r="475" ht="28" customHeight="1">
      <x:c r="A475" s="16" t="str">
        <x:v>Минусинская ТЭЦ</x:v>
      </x:c>
      <x:c r="B475" s="16" t="str">
        <x:v>2000539531-V112</x:v>
      </x:c>
      <x:c r="C475" s="16" t="str">
        <x:v>КЛАПАН 15Б3Р DN25 PN10 Р/П</x:v>
      </x:c>
      <x:c r="D475" s="16" t="str">
        <x:v>Армат из медн сплав</x:v>
      </x:c>
      <x:c r="E475" s="16" t="str">
        <x:v>ШТ</x:v>
      </x:c>
      <x:c r="F475" s="21" t="n">
        <x:v>4</x:v>
      </x:c>
      <x:c r="G475" s="17" t="n">
        <x:v>306.2444</x:v>
      </x:c>
      <x:c r="H475" s="17" t="n">
        <x:f>G475*F475</x:f>
        <x:v>1224.9776</x:v>
      </x:c>
      <x:c r="I475" s="22" t="str">
        <x:f>HYPERLINK("https://etp-aktiv.ru/catalog/materialy/truboprovodnaya-armatura-i-komplektuyushchie/2000539531-V112/","Открыть позицию")</x:f>
        <x:v>Открыть позицию</x:v>
      </x:c>
    </x:row>
    <x:row r="476" ht="28" customHeight="1">
      <x:c r="A476" s="16" t="str">
        <x:v>Минусинская ТЭЦ</x:v>
      </x:c>
      <x:c r="B476" s="16" t="str">
        <x:v>2000006752-V112</x:v>
      </x:c>
      <x:c r="C476" s="16" t="str">
        <x:v>КРАН 11Б27П1 DN32 PN16</x:v>
      </x:c>
      <x:c r="D476" s="16" t="str">
        <x:v>Армат из медн сплав</x:v>
      </x:c>
      <x:c r="E476" s="16" t="str">
        <x:v>ШТ</x:v>
      </x:c>
      <x:c r="F476" s="21" t="n">
        <x:v>11</x:v>
      </x:c>
      <x:c r="G476" s="17" t="n">
        <x:v>451.705</x:v>
      </x:c>
      <x:c r="H476" s="17" t="n">
        <x:f>G476*F476</x:f>
        <x:v>4968.755</x:v>
      </x:c>
      <x:c r="I476" s="22" t="str">
        <x:f>HYPERLINK("https://etp-aktiv.ru/catalog/materialy/truboprovodnaya-armatura-i-komplektuyushchie/2000006752-V112/","Открыть позицию")</x:f>
        <x:v>Открыть позицию</x:v>
      </x:c>
    </x:row>
    <x:row r="477" ht="28" customHeight="1">
      <x:c r="A477" s="16" t="str">
        <x:v>Минусинская ТЭЦ</x:v>
      </x:c>
      <x:c r="B477" s="16" t="str">
        <x:v>2000066592-V112</x:v>
      </x:c>
      <x:c r="C477" s="16" t="str">
        <x:v>КРАН 11Б27П1 DN50 PN16</x:v>
      </x:c>
      <x:c r="D477" s="16" t="str">
        <x:v>Армат из медн сплав</x:v>
      </x:c>
      <x:c r="E477" s="16" t="str">
        <x:v>ШТ</x:v>
      </x:c>
      <x:c r="F477" s="21" t="n">
        <x:v>7</x:v>
      </x:c>
      <x:c r="G477" s="17" t="n">
        <x:v>1086.2758</x:v>
      </x:c>
      <x:c r="H477" s="17" t="n">
        <x:f>G477*F477</x:f>
        <x:v>7603.9306</x:v>
      </x:c>
      <x:c r="I477" s="22" t="str">
        <x:f>HYPERLINK("https://etp-aktiv.ru/catalog/materialy/truboprovodnaya-armatura-i-komplektuyushchie/2000066592-V112/","Открыть позицию")</x:f>
        <x:v>Открыть позицию</x:v>
      </x:c>
    </x:row>
    <x:row r="478" ht="28" customHeight="1">
      <x:c r="A478" s="16" t="str">
        <x:v>Минусинская ТЭЦ</x:v>
      </x:c>
      <x:c r="B478" s="16" t="str">
        <x:v>2000178208-V112</x:v>
      </x:c>
      <x:c r="C478" s="16" t="str">
        <x:v>КРАН ШАРОВЫЙ СТ20 DN20 PN25</x:v>
      </x:c>
      <x:c r="D478" s="16" t="str">
        <x:v>Краны шаров.стальн</x:v>
      </x:c>
      <x:c r="E478" s="16" t="str">
        <x:v>ШТ</x:v>
      </x:c>
      <x:c r="F478" s="21" t="n">
        <x:v>16</x:v>
      </x:c>
      <x:c r="G478" s="17" t="n">
        <x:v>840.8362000000001</x:v>
      </x:c>
      <x:c r="H478" s="17" t="n">
        <x:f>G478*F478</x:f>
        <x:v>13453.379200000001</x:v>
      </x:c>
      <x:c r="I478" s="22" t="str">
        <x:f>HYPERLINK("https://etp-aktiv.ru/catalog/materialy/truboprovodnaya-armatura-i-komplektuyushchie/2000178208-V112/","Открыть позицию")</x:f>
        <x:v>Открыть позицию</x:v>
      </x:c>
    </x:row>
    <x:row r="479" ht="28" customHeight="1">
      <x:c r="A479" s="16" t="str">
        <x:v>Минусинская ТЭЦ</x:v>
      </x:c>
      <x:c r="B479" s="16" t="str">
        <x:v>2000582235-V112</x:v>
      </x:c>
      <x:c r="C479" s="16" t="str">
        <x:v>ПЕРЕХОД К СТ20 426*12-219*10 ГОСТ17378</x:v>
      </x:c>
      <x:c r="D479" s="16" t="str">
        <x:v>Детали фасонные</x:v>
      </x:c>
      <x:c r="E479" s="16" t="str">
        <x:v>ШТ</x:v>
      </x:c>
      <x:c r="F479" s="21" t="n">
        <x:v>1</x:v>
      </x:c>
      <x:c r="G479" s="17" t="n">
        <x:v>1681.3186</x:v>
      </x:c>
      <x:c r="H479" s="17" t="n">
        <x:f>G479*F479</x:f>
        <x:v>1681.3186</x:v>
      </x:c>
      <x:c r="I479" s="22" t="str">
        <x:f>HYPERLINK("https://etp-aktiv.ru/catalog/materialy/truboprovody/2000582235-V112/","Открыть позицию")</x:f>
        <x:v>Открыть позицию</x:v>
      </x:c>
    </x:row>
    <x:row r="480" ht="28" customHeight="1">
      <x:c r="A480" s="16" t="str">
        <x:v>Минусинская ТЭЦ</x:v>
      </x:c>
      <x:c r="B480" s="16" t="str">
        <x:v>2000560438-V112</x:v>
      </x:c>
      <x:c r="C480" s="16" t="str">
        <x:v>ТРУБА SDR11 ПИТ ПЭ100 50*4,6 ГОСТ18599</x:v>
      </x:c>
      <x:c r="D480" s="16" t="str">
        <x:v>Трубы полимерные</x:v>
      </x:c>
      <x:c r="E480" s="16" t="str">
        <x:v>М</x:v>
      </x:c>
      <x:c r="F480" s="21" t="n">
        <x:v>30</x:v>
      </x:c>
      <x:c r="G480" s="17" t="n">
        <x:v>76.4696</x:v>
      </x:c>
      <x:c r="H480" s="17" t="n">
        <x:f>G480*F480</x:f>
        <x:v>2294.088</x:v>
      </x:c>
      <x:c r="I480" s="22" t="str">
        <x:f>HYPERLINK("https://etp-aktiv.ru/catalog/materialy/truby-stalnye-i-polimernye/2000560438-V112/","Открыть позицию")</x:f>
        <x:v>Открыть позицию</x:v>
      </x:c>
    </x:row>
    <x:row r="481" ht="28" customHeight="1">
      <x:c r="A481" s="16" t="str">
        <x:v>Минусинская ТЭЦ</x:v>
      </x:c>
      <x:c r="B481" s="16" t="str">
        <x:v>2000560453-V112</x:v>
      </x:c>
      <x:c r="C481" s="16" t="str">
        <x:v>ТРУБА SDR17 ПИТ ПЭ100 160*9,5 ГОСТ18599</x:v>
      </x:c>
      <x:c r="D481" s="16" t="str">
        <x:v>Трубы полимерные</x:v>
      </x:c>
      <x:c r="E481" s="16" t="str">
        <x:v>М</x:v>
      </x:c>
      <x:c r="F481" s="21" t="n">
        <x:v>12</x:v>
      </x:c>
      <x:c r="G481" s="17" t="n">
        <x:v>2196</x:v>
      </x:c>
      <x:c r="H481" s="17" t="n">
        <x:f>G481*F481</x:f>
        <x:v>26352</x:v>
      </x:c>
      <x:c r="I481" s="22" t="str">
        <x:f>HYPERLINK("https://etp-aktiv.ru/catalog/materialy/truby-stalnye-i-polimernye/2000560453-V112/","Открыть позицию")</x:f>
        <x:v>Открыть позицию</x:v>
      </x:c>
    </x:row>
    <x:row r="482" ht="28" customHeight="1">
      <x:c r="A482" s="16" t="str">
        <x:v>Минусинская ТЭЦ</x:v>
      </x:c>
      <x:c r="B482" s="16" t="str">
        <x:v>2000148478-V112</x:v>
      </x:c>
      <x:c r="C482" s="16" t="str">
        <x:v>ТРУБА Б/Ш СТ20 Г/Д 159*4,5 ГОСТ8732-78</x:v>
      </x:c>
      <x:c r="D482" s="16" t="str">
        <x:v>Трубы черные бесшов</x:v>
      </x:c>
      <x:c r="E482" s="16" t="str">
        <x:v>Т</x:v>
      </x:c>
      <x:c r="F482" s="30" t="n">
        <x:v>0.09</x:v>
      </x:c>
      <x:c r="G482" s="17" t="n">
        <x:v>46607.8186</x:v>
      </x:c>
      <x:c r="H482" s="17" t="n">
        <x:f>G482*F482</x:f>
        <x:v>4194.703673999999</x:v>
      </x:c>
      <x:c r="I482" s="22" t="str">
        <x:f>HYPERLINK("https://etp-aktiv.ru/catalog/materialy/truby-stalnye-i-polimernye/2000148478-V112/","Открыть позицию")</x:f>
        <x:v>Открыть позицию</x:v>
      </x:c>
    </x:row>
    <x:row r="483" ht="28" customHeight="1">
      <x:c r="A483" s="16" t="str">
        <x:v>Минусинская ТЭЦ</x:v>
      </x:c>
      <x:c r="B483" s="16" t="str">
        <x:v>2000445678-V112</x:v>
      </x:c>
      <x:c r="C483" s="16" t="str">
        <x:v>ТРУБА Г/Д СТ20 273*9 ГОСТ8731-74</x:v>
      </x:c>
      <x:c r="D483" s="16" t="str">
        <x:v>Трубы черные бесшов</x:v>
      </x:c>
      <x:c r="E483" s="16" t="str">
        <x:v>Т</x:v>
      </x:c>
      <x:c r="F483" s="30" t="n">
        <x:v>0.426</x:v>
      </x:c>
      <x:c r="G483" s="17" t="n">
        <x:v>54328.125</x:v>
      </x:c>
      <x:c r="H483" s="17" t="n">
        <x:f>G483*F483</x:f>
        <x:v>23143.78125</x:v>
      </x:c>
      <x:c r="I483" s="22" t="str">
        <x:f>HYPERLINK("https://etp-aktiv.ru/catalog/materialy/truby-stalnye-i-polimernye/2000445678-V112/","Открыть позицию")</x:f>
        <x:v>Открыть позицию</x:v>
      </x:c>
    </x:row>
    <x:row r="484" ht="28" customHeight="1">
      <x:c r="A484" s="16" t="str">
        <x:v>Минусинская ТЭЦ</x:v>
      </x:c>
      <x:c r="B484" s="16" t="str">
        <x:v>2000470273-V112</x:v>
      </x:c>
      <x:c r="C484" s="16" t="str">
        <x:v>ТРУБА ГИБКАЯ ГОФРИРОВАНН D90ММ 120990</x:v>
      </x:c>
      <x:c r="D484" s="16" t="str">
        <x:v>Монтажн изд д/кабел</x:v>
      </x:c>
      <x:c r="E484" s="16" t="str">
        <x:v>М</x:v>
      </x:c>
      <x:c r="F484" s="21" t="n">
        <x:v>50</x:v>
      </x:c>
      <x:c r="G484" s="17" t="n">
        <x:v>94.3182</x:v>
      </x:c>
      <x:c r="H484" s="17" t="n">
        <x:f>G484*F484</x:f>
        <x:v>4715.91</x:v>
      </x:c>
      <x:c r="I484" s="22" t="str">
        <x:f>HYPERLINK("https://etp-aktiv.ru/catalog/materialy/ehlektrotekhnicheskie-materialy/2000470273-V112/","Открыть позицию")</x:f>
        <x:v>Открыть позицию</x:v>
      </x:c>
    </x:row>
    <x:row r="485" ht="28" customHeight="1">
      <x:c r="A485" s="16" t="str">
        <x:v>Минусинская ТЭЦ</x:v>
      </x:c>
      <x:c r="B485" s="16" t="str">
        <x:v>2000332582-V112</x:v>
      </x:c>
      <x:c r="C485" s="16" t="str">
        <x:v>ТРУБА ПЭ100 SDR17 110*6,6 ГОСТ18599-01</x:v>
      </x:c>
      <x:c r="D485" s="16" t="str">
        <x:v>Трубы полимерные</x:v>
      </x:c>
      <x:c r="E485" s="16" t="str">
        <x:v>ПМ</x:v>
      </x:c>
      <x:c r="F485" s="21" t="n">
        <x:v>20</x:v>
      </x:c>
      <x:c r="G485" s="17" t="n">
        <x:v>329.96119999999996</x:v>
      </x:c>
      <x:c r="H485" s="17" t="n">
        <x:f>G485*F485</x:f>
        <x:v>6599.223999999999</x:v>
      </x:c>
      <x:c r="I485" s="22" t="str">
        <x:f>HYPERLINK("https://etp-aktiv.ru/catalog/materialy/truby-stalnye-i-polimernye/2000332582-V112/","Открыть позицию")</x:f>
        <x:v>Открыть позицию</x:v>
      </x:c>
    </x:row>
    <x:row r="486" ht="28" customHeight="1">
      <x:c r="A486" s="16" t="str">
        <x:v>Минусинская ТЭЦ</x:v>
      </x:c>
      <x:c r="B486" s="16" t="str">
        <x:v>2000376552-V112</x:v>
      </x:c>
      <x:c r="C486" s="16" t="str">
        <x:v>ТРУБА ПЭ100 SDR17 200*11,9 ГОСТ18599-01</x:v>
      </x:c>
      <x:c r="D486" s="16" t="str">
        <x:v>Трубы полимерные</x:v>
      </x:c>
      <x:c r="E486" s="16" t="str">
        <x:v>М</x:v>
      </x:c>
      <x:c r="F486" s="21" t="n">
        <x:v>4</x:v>
      </x:c>
      <x:c r="G486" s="17" t="n">
        <x:v>1203.7984</x:v>
      </x:c>
      <x:c r="H486" s="17" t="n">
        <x:f>G486*F486</x:f>
        <x:v>4815.1936</x:v>
      </x:c>
      <x:c r="I486" s="22" t="str">
        <x:f>HYPERLINK("https://etp-aktiv.ru/catalog/materialy/truby-stalnye-i-polimernye/2000376552-V112/","Открыть позицию")</x:f>
        <x:v>Открыть позицию</x:v>
      </x:c>
    </x:row>
    <x:row r="487" ht="28" customHeight="1">
      <x:c r="A487" s="16" t="str">
        <x:v>Минусинская ТЭЦ</x:v>
      </x:c>
      <x:c r="B487" s="16" t="str">
        <x:v>2000546105-V112</x:v>
      </x:c>
      <x:c r="C487" s="16" t="str">
        <x:v>ТРУБА СТ20 159*8 ТУ14-3Р-55-01</x:v>
      </x:c>
      <x:c r="D487" s="16" t="str">
        <x:v>Трубы котельные в/д</x:v>
      </x:c>
      <x:c r="E487" s="16" t="str">
        <x:v>Т</x:v>
      </x:c>
      <x:c r="F487" s="30" t="n">
        <x:v>0.314</x:v>
      </x:c>
      <x:c r="G487" s="17" t="n">
        <x:v>87442.829</x:v>
      </x:c>
      <x:c r="H487" s="17" t="n">
        <x:f>G487*F487</x:f>
        <x:v>27457.048306</x:v>
      </x:c>
      <x:c r="I487" s="22" t="str">
        <x:f>HYPERLINK("https://etp-aktiv.ru/catalog/materialy/truby-stalnye-i-polimernye/2000546105-V112/","Открыть позицию")</x:f>
        <x:v>Открыть позицию</x:v>
      </x:c>
    </x:row>
    <x:row r="488" ht="28" customHeight="1">
      <x:c r="A488" s="16" t="str">
        <x:v>Минусинская ТЭЦ</x:v>
      </x:c>
      <x:c r="B488" s="16" t="str">
        <x:v>2000560191-V112</x:v>
      </x:c>
      <x:c r="C488" s="16" t="str">
        <x:v>ТРУБА СТ20 25*3,5 ГОСТ8731-74</x:v>
      </x:c>
      <x:c r="D488" s="16" t="str">
        <x:v>Трубы черные бесшов</x:v>
      </x:c>
      <x:c r="E488" s="16" t="str">
        <x:v>Т</x:v>
      </x:c>
      <x:c r="F488" s="30" t="n">
        <x:v>0.008</x:v>
      </x:c>
      <x:c r="G488" s="17" t="n">
        <x:v>300234.375</x:v>
      </x:c>
      <x:c r="H488" s="17" t="n">
        <x:f>G488*F488</x:f>
        <x:v>2401.875</x:v>
      </x:c>
      <x:c r="I488" s="22" t="str">
        <x:f>HYPERLINK("https://etp-aktiv.ru/catalog/materialy/truby-stalnye-i-polimernye/2000560191-V112/","Открыть позицию")</x:f>
        <x:v>Открыть позицию</x:v>
      </x:c>
    </x:row>
    <x:row r="489" ht="28" customHeight="1">
      <x:c r="A489" s="16" t="str">
        <x:v>Минусинская ТЭЦ</x:v>
      </x:c>
      <x:c r="B489" s="16" t="str">
        <x:v>2000545961-V112</x:v>
      </x:c>
      <x:c r="C489" s="16" t="str">
        <x:v>ТРУБА СТ20 28*3 ТУ14-3Р-55-01</x:v>
      </x:c>
      <x:c r="D489" s="16" t="str">
        <x:v>Трубы котельные в/д</x:v>
      </x:c>
      <x:c r="E489" s="16" t="str">
        <x:v>Т</x:v>
      </x:c>
      <x:c r="F489" s="30" t="n">
        <x:v>0.022</x:v>
      </x:c>
      <x:c r="G489" s="17" t="n">
        <x:v>429194.475</x:v>
      </x:c>
      <x:c r="H489" s="17" t="n">
        <x:f>G489*F489</x:f>
        <x:v>9442.27845</x:v>
      </x:c>
      <x:c r="I489" s="22" t="str">
        <x:f>HYPERLINK("https://etp-aktiv.ru/catalog/materialy/truby-stalnye-i-polimernye/2000545961-V112/","Открыть позицию")</x:f>
        <x:v>Открыть позицию</x:v>
      </x:c>
    </x:row>
    <x:row r="490" ht="28" customHeight="1">
      <x:c r="A490" s="16" t="str">
        <x:v>Минусинская ТЭЦ</x:v>
      </x:c>
      <x:c r="B490" s="16" t="str">
        <x:v>2000206210-V112</x:v>
      </x:c>
      <x:c r="C490" s="16" t="str">
        <x:v>ТРУБА СТ3 20*2,8 ГОСТ10705-80</x:v>
      </x:c>
      <x:c r="D490" s="16" t="str">
        <x:v>ТрбЧерСварМалСрдДиам</x:v>
      </x:c>
      <x:c r="E490" s="16" t="str">
        <x:v>Т</x:v>
      </x:c>
      <x:c r="F490" s="30" t="n">
        <x:v>0.06</x:v>
      </x:c>
      <x:c r="G490" s="17" t="n">
        <x:v>32596.875</x:v>
      </x:c>
      <x:c r="H490" s="17" t="n">
        <x:f>G490*F490</x:f>
        <x:v>1955.8125</x:v>
      </x:c>
      <x:c r="I490" s="22" t="str">
        <x:f>HYPERLINK("https://etp-aktiv.ru/catalog/materialy/truby-stalnye-i-polimernye/2000206210-V112/","Открыть позицию")</x:f>
        <x:v>Открыть позицию</x:v>
      </x:c>
    </x:row>
    <x:row r="491" ht="28" customHeight="1">
      <x:c r="A491" s="16" t="str">
        <x:v>Минусинская ТЭЦ</x:v>
      </x:c>
      <x:c r="B491" s="16" t="str">
        <x:v>2000560498-V112</x:v>
      </x:c>
      <x:c r="C491" s="16" t="str">
        <x:v>ТРУБА СТ3 25*3,2 ГОСТ10705-80</x:v>
      </x:c>
      <x:c r="D491" s="16" t="str">
        <x:v>ТрбЧерСварМалСрдДиам</x:v>
      </x:c>
      <x:c r="E491" s="16" t="str">
        <x:v>Т</x:v>
      </x:c>
      <x:c r="F491" s="30" t="n">
        <x:v>0.029</x:v>
      </x:c>
      <x:c r="G491" s="17" t="n">
        <x:v>32310.907</x:v>
      </x:c>
      <x:c r="H491" s="17" t="n">
        <x:f>G491*F491</x:f>
        <x:v>937.016303</x:v>
      </x:c>
      <x:c r="I491" s="22" t="str">
        <x:f>HYPERLINK("https://etp-aktiv.ru/catalog/materialy/truby-stalnye-i-polimernye/2000560498-V112/","Открыть позицию")</x:f>
        <x:v>Открыть позицию</x:v>
      </x:c>
    </x:row>
    <x:row r="492" ht="28" customHeight="1">
      <x:c r="A492" s="16" t="str">
        <x:v>Минусинская ТЭЦ</x:v>
      </x:c>
      <x:c r="B492" s="16" t="str">
        <x:v>2000553636-V112</x:v>
      </x:c>
      <x:c r="C492" s="16" t="str">
        <x:v>ТРУБКА PE 1/4" TU-2 (RAIFIL)</x:v>
      </x:c>
      <x:c r="D492" s="16" t="str">
        <x:v>Компл торг-техн обор</x:v>
      </x:c>
      <x:c r="E492" s="16" t="str">
        <x:v>М</x:v>
      </x:c>
      <x:c r="F492" s="21" t="n">
        <x:v>5</x:v>
      </x:c>
      <x:c r="G492" s="17" t="n">
        <x:v>13.42</x:v>
      </x:c>
      <x:c r="H492" s="17" t="n">
        <x:f>G492*F492</x:f>
        <x:v>67.1</x:v>
      </x:c>
      <x:c r="I492" s="22" t="str">
        <x:f>HYPERLINK("https://etp-aktiv.ru/catalog/materialy/prochie-materialy/2000553636-V112/","Открыть позицию")</x:f>
        <x:v>Открыть позицию</x:v>
      </x:c>
    </x:row>
    <x:row r="493" ht="28" customHeight="1">
      <x:c r="A493" s="16" t="str">
        <x:v>Минусинская ТЭЦ</x:v>
      </x:c>
      <x:c r="B493" s="16" t="str">
        <x:v>2000556309-V112</x:v>
      </x:c>
      <x:c r="C493" s="16" t="str">
        <x:v>ТРУБКА Л68 16*1*6000 ГОСТ21646-2003</x:v>
      </x:c>
      <x:c r="D493" s="16" t="str">
        <x:v>М/прокат цветной</x:v>
      </x:c>
      <x:c r="E493" s="16" t="str">
        <x:v>КГ</x:v>
      </x:c>
      <x:c r="F493" s="21" t="n">
        <x:v>28</x:v>
      </x:c>
      <x:c r="G493" s="17" t="n">
        <x:v>1976.8636000000001</x:v>
      </x:c>
      <x:c r="H493" s="17" t="n">
        <x:f>G493*F493</x:f>
        <x:v>55352.1808</x:v>
      </x:c>
      <x:c r="I493" s="22" t="str">
        <x:f>HYPERLINK("https://etp-aktiv.ru/catalog/materialy/metalloprodukciya/2000556309-V112/","Открыть позицию")</x:f>
        <x:v>Открыть позицию</x:v>
      </x:c>
    </x:row>
    <x:row r="494" ht="28" customHeight="1">
      <x:c r="A494" s="16" t="str">
        <x:v>Минусинская ТЭЦ</x:v>
      </x:c>
      <x:c r="B494" s="16" t="str">
        <x:v>2001014710-V112</x:v>
      </x:c>
      <x:c r="C494" s="16" t="str">
        <x:v>ТРУБКА ПВХ СТ-18 7*1,5 ТУ224746500208947</x:v>
      </x:c>
      <x:c r="D494" s="16" t="str">
        <x:v>Э/изоляцион мат-лы</x:v>
      </x:c>
      <x:c r="E494" s="16" t="str">
        <x:v>КГ</x:v>
      </x:c>
      <x:c r="F494" s="21" t="n">
        <x:v>1</x:v>
      </x:c>
      <x:c r="G494" s="17" t="n">
        <x:v>27587.25</x:v>
      </x:c>
      <x:c r="H494" s="17" t="n">
        <x:f>G494*F494</x:f>
        <x:v>27587.25</x:v>
      </x:c>
      <x:c r="I494" s="22" t="str">
        <x:f>HYPERLINK("https://etp-aktiv.ru/catalog/materialy/ehlektroizolyacionnye-materialy/2001014710-V112/","Открыть позицию")</x:f>
        <x:v>Открыть позицию</x:v>
      </x:c>
    </x:row>
    <x:row r="495" ht="28" customHeight="1">
      <x:c r="A495" s="16" t="str">
        <x:v>Минусинская ТЭЦ</x:v>
      </x:c>
      <x:c r="B495" s="16" t="str">
        <x:v>2000528958-V112</x:v>
      </x:c>
      <x:c r="C495" s="16" t="str">
        <x:v>ТРУБКА ТОПЛИВНАЯ 245-1104180-А-09</x:v>
      </x:c>
      <x:c r="D495" s="16" t="str">
        <x:v>ЗЧ автотрансп оборуд</x:v>
      </x:c>
      <x:c r="E495" s="16" t="str">
        <x:v>ШТ</x:v>
      </x:c>
      <x:c r="F495" s="21" t="n">
        <x:v>2</x:v>
      </x:c>
      <x:c r="G495" s="17" t="n">
        <x:v>197.0178</x:v>
      </x:c>
      <x:c r="H495" s="17" t="n">
        <x:f>G495*F495</x:f>
        <x:v>394.0356</x:v>
      </x:c>
      <x:c r="I495" s="22" t="str">
        <x:f>HYPERLINK("https://etp-aktiv.ru/catalog/materialy/zapasnye-chasti-k-avtotransportnomu-oborudovaniyu/2000528958-V112/","Открыть позицию")</x:f>
        <x:v>Открыть позицию</x:v>
      </x:c>
    </x:row>
    <x:row r="496" ht="28" customHeight="1">
      <x:c r="A496" s="16" t="str">
        <x:v>Минусинская ТЭЦ</x:v>
      </x:c>
      <x:c r="B496" s="16" t="str">
        <x:v>2000528870-V112</x:v>
      </x:c>
      <x:c r="C496" s="16" t="str">
        <x:v>ТРУБКА ТОПЛИВНАЯ 245-1104180-А1-03</x:v>
      </x:c>
      <x:c r="D496" s="16" t="str">
        <x:v>ЗЧ автотрансп оборуд</x:v>
      </x:c>
      <x:c r="E496" s="16" t="str">
        <x:v>ШТ</x:v>
      </x:c>
      <x:c r="F496" s="21" t="n">
        <x:v>2</x:v>
      </x:c>
      <x:c r="G496" s="17" t="n">
        <x:v>193.2968</x:v>
      </x:c>
      <x:c r="H496" s="17" t="n">
        <x:f>G496*F496</x:f>
        <x:v>386.5936</x:v>
      </x:c>
      <x:c r="I496" s="22" t="str">
        <x:f>HYPERLINK("https://etp-aktiv.ru/catalog/materialy/zapasnye-chasti-k-avtotransportnomu-oborudovaniyu/2000528870-V112/","Открыть позицию")</x:f>
        <x:v>Открыть позицию</x:v>
      </x:c>
    </x:row>
    <x:row r="497" ht="28" customHeight="1">
      <x:c r="A497" s="16" t="str">
        <x:v>Минусинская ТЭЦ</x:v>
      </x:c>
      <x:c r="B497" s="16" t="str">
        <x:v>2000553447-V112</x:v>
      </x:c>
      <x:c r="C497" s="16" t="str">
        <x:v>ХОМУТ 50 В ГОСТ24137-80</x:v>
      </x:c>
      <x:c r="D497" s="16" t="str">
        <x:v>Система опорн-подвес</x:v>
      </x:c>
      <x:c r="E497" s="16" t="str">
        <x:v>ШТ</x:v>
      </x:c>
      <x:c r="F497" s="21" t="n">
        <x:v>10</x:v>
      </x:c>
      <x:c r="G497" s="17" t="n">
        <x:v>68.625</x:v>
      </x:c>
      <x:c r="H497" s="17" t="n">
        <x:f>G497*F497</x:f>
        <x:v>686.25</x:v>
      </x:c>
      <x:c r="I497" s="22" t="str">
        <x:f>HYPERLINK("https://etp-aktiv.ru/catalog/materialy/truboprovody/2000553447-V112/","Открыть позицию")</x:f>
        <x:v>Открыть позицию</x:v>
      </x:c>
    </x:row>
    <x:row r="498" ht="28" customHeight="1">
      <x:c r="A498" s="16" t="str">
        <x:v>Назаровская ГРЭС</x:v>
      </x:c>
      <x:c r="B498" s="16" t="str">
        <x:v>2000015248-V311</x:v>
      </x:c>
      <x:c r="C498" s="16" t="str">
        <x:v>АРМАТУРА А-III 25Г2С D16ММ ГОСТ5781-82</x:v>
      </x:c>
      <x:c r="D498" s="16" t="str">
        <x:v>М/прокат черный</x:v>
      </x:c>
      <x:c r="E498" s="16" t="str">
        <x:v>Т</x:v>
      </x:c>
      <x:c r="F498" s="30" t="n">
        <x:v>0.125</x:v>
      </x:c>
      <x:c r="G498" s="17" t="n">
        <x:v>28607.353000000003</x:v>
      </x:c>
      <x:c r="H498" s="17" t="n">
        <x:f>G498*F498</x:f>
        <x:v>3575.9191250000003</x:v>
      </x:c>
      <x:c r="I498" s="22" t="str">
        <x:f>HYPERLINK("https://etp-aktiv.ru/catalog/materialy/metalloprodukciya/2000015248-V311/","Открыть позицию")</x:f>
        <x:v>Открыть позицию</x:v>
      </x:c>
    </x:row>
    <x:row r="499" ht="28" customHeight="1">
      <x:c r="A499" s="16" t="str">
        <x:v>Назаровская ГРЭС</x:v>
      </x:c>
      <x:c r="B499" s="16" t="str">
        <x:v>2000019512-V311</x:v>
      </x:c>
      <x:c r="C499" s="16" t="str">
        <x:v>АРМАТУРА А-III 25Г2С D22ММ ГОСТ5781-82</x:v>
      </x:c>
      <x:c r="D499" s="16" t="str">
        <x:v>М/прокат черный</x:v>
      </x:c>
      <x:c r="E499" s="16" t="str">
        <x:v>Т</x:v>
      </x:c>
      <x:c r="F499" s="30" t="n">
        <x:v>0.194</x:v>
      </x:c>
      <x:c r="G499" s="17" t="n">
        <x:v>24122.571999999996</x:v>
      </x:c>
      <x:c r="H499" s="17" t="n">
        <x:f>G499*F499</x:f>
        <x:v>4679.778968</x:v>
      </x:c>
      <x:c r="I499" s="22" t="str">
        <x:f>HYPERLINK("https://etp-aktiv.ru/catalog/materialy/metalloprodukciya/2000019512-V311/","Открыть позицию")</x:f>
        <x:v>Открыть позицию</x:v>
      </x:c>
    </x:row>
    <x:row r="500" ht="28" customHeight="1">
      <x:c r="A500" s="16" t="str">
        <x:v>Назаровская ГРЭС</x:v>
      </x:c>
      <x:c r="B500" s="16" t="str">
        <x:v>2000719995-V311</x:v>
      </x:c>
      <x:c r="C500" s="16" t="str">
        <x:v>АРМАТУРА А-III СТ3 D10ММ ГОСТ5781-82</x:v>
      </x:c>
      <x:c r="D500" s="16" t="str">
        <x:v>М/прокат черный</x:v>
      </x:c>
      <x:c r="E500" s="16" t="str">
        <x:v>Т</x:v>
      </x:c>
      <x:c r="F500" s="30" t="n">
        <x:v>0.581</x:v>
      </x:c>
      <x:c r="G500" s="17" t="n">
        <x:v>42103.8226</x:v>
      </x:c>
      <x:c r="H500" s="17" t="n">
        <x:f>G500*F500</x:f>
        <x:v>24462.3209306</x:v>
      </x:c>
      <x:c r="I500" s="22" t="str">
        <x:f>HYPERLINK("https://etp-aktiv.ru/catalog/materialy/metalloprodukciya/2000719995-V311/","Открыть позицию")</x:f>
        <x:v>Открыть позицию</x:v>
      </x:c>
    </x:row>
    <x:row r="501" ht="28" customHeight="1">
      <x:c r="A501" s="16" t="str">
        <x:v>Назаровская ГРЭС</x:v>
      </x:c>
      <x:c r="B501" s="16" t="str">
        <x:v>2000144455-V311</x:v>
      </x:c>
      <x:c r="C501" s="16" t="str">
        <x:v>АРМАТУРА СКЛ 14-А-К-2-220</x:v>
      </x:c>
      <x:c r="D501" s="16" t="str">
        <x:v>Освет и э/установоч</x:v>
      </x:c>
      <x:c r="E501" s="16" t="str">
        <x:v>ШТ</x:v>
      </x:c>
      <x:c r="F501" s="21" t="n">
        <x:v>2</x:v>
      </x:c>
      <x:c r="G501" s="17" t="n">
        <x:v>240.19359999999998</x:v>
      </x:c>
      <x:c r="H501" s="17" t="n">
        <x:f>G501*F501</x:f>
        <x:v>480.38719999999995</x:v>
      </x:c>
      <x:c r="I501" s="22" t="str">
        <x:f>HYPERLINK("https://etp-aktiv.ru/catalog/materialy/ehlektrotekhnicheskie-materialy/2000144455-V311/","Открыть позицию")</x:f>
        <x:v>Открыть позицию</x:v>
      </x:c>
    </x:row>
    <x:row r="502" ht="28" customHeight="1">
      <x:c r="A502" s="16" t="str">
        <x:v>Назаровская ГРЭС</x:v>
      </x:c>
      <x:c r="B502" s="16" t="str">
        <x:v>2000222774-V311</x:v>
      </x:c>
      <x:c r="C502" s="16" t="str">
        <x:v>АРМАТУРА СКЛ-14-А-Ж-2-220</x:v>
      </x:c>
      <x:c r="D502" s="16" t="str">
        <x:v>Освет и э/установоч</x:v>
      </x:c>
      <x:c r="E502" s="16" t="str">
        <x:v>ШТ</x:v>
      </x:c>
      <x:c r="F502" s="21" t="n">
        <x:v>1</x:v>
      </x:c>
      <x:c r="G502" s="17" t="n">
        <x:v>240.19359999999998</x:v>
      </x:c>
      <x:c r="H502" s="17" t="n">
        <x:f>G502*F502</x:f>
        <x:v>240.19359999999998</x:v>
      </x:c>
      <x:c r="I502" s="22" t="str">
        <x:f>HYPERLINK("https://etp-aktiv.ru/catalog/materialy/ehlektrotekhnicheskie-materialy/2000222774-V311/","Открыть позицию")</x:f>
        <x:v>Открыть позицию</x:v>
      </x:c>
    </x:row>
    <x:row r="503" ht="28" customHeight="1">
      <x:c r="A503" s="16" t="str">
        <x:v>Назаровская ГРЭС</x:v>
      </x:c>
      <x:c r="B503" s="16" t="str">
        <x:v>2000552973-V311</x:v>
      </x:c>
      <x:c r="C503" s="16" t="str">
        <x:v>БЛОК 08 ОСТ34-10-729-93</x:v>
      </x:c>
      <x:c r="D503" s="16" t="str">
        <x:v>Система опорн-подвес</x:v>
      </x:c>
      <x:c r="E503" s="16" t="str">
        <x:v>ШТ</x:v>
      </x:c>
      <x:c r="F503" s="21" t="n">
        <x:v>2</x:v>
      </x:c>
      <x:c r="G503" s="17" t="n">
        <x:v>212.29219999999998</x:v>
      </x:c>
      <x:c r="H503" s="17" t="n">
        <x:f>G503*F503</x:f>
        <x:v>424.58439999999996</x:v>
      </x:c>
      <x:c r="I503" s="22" t="str">
        <x:f>HYPERLINK("https://etp-aktiv.ru/catalog/materialy/truboprovody/2000552973-V311/","Открыть позицию")</x:f>
        <x:v>Открыть позицию</x:v>
      </x:c>
    </x:row>
    <x:row r="504" ht="28" customHeight="1">
      <x:c r="A504" s="16" t="str">
        <x:v>Назаровская ГРЭС</x:v>
      </x:c>
      <x:c r="B504" s="16" t="str">
        <x:v>2000553025-V311</x:v>
      </x:c>
      <x:c r="C504" s="16" t="str">
        <x:v>БЛОК ПРУЖИННЫЙ 08 ОСТ108.275.60-80</x:v>
      </x:c>
      <x:c r="D504" s="16" t="str">
        <x:v>Система опорн-подвес</x:v>
      </x:c>
      <x:c r="E504" s="16" t="str">
        <x:v>ШТ</x:v>
      </x:c>
      <x:c r="F504" s="21" t="n">
        <x:v>2</x:v>
      </x:c>
      <x:c r="G504" s="17" t="n">
        <x:v>2884.2386</x:v>
      </x:c>
      <x:c r="H504" s="17" t="n">
        <x:f>G504*F504</x:f>
        <x:v>5768.4772</x:v>
      </x:c>
      <x:c r="I504" s="22" t="str">
        <x:f>HYPERLINK("https://etp-aktiv.ru/catalog/materialy/truboprovody/2000553025-V311/","Открыть позицию")</x:f>
        <x:v>Открыть позицию</x:v>
      </x:c>
    </x:row>
    <x:row r="505" ht="28" customHeight="1">
      <x:c r="A505" s="16" t="str">
        <x:v>Назаровская ГРЭС</x:v>
      </x:c>
      <x:c r="B505" s="16" t="str">
        <x:v>2000553027-V311</x:v>
      </x:c>
      <x:c r="C505" s="16" t="str">
        <x:v>БЛОК ПРУЖИННЫЙ 09 ОСТ108.275.59-80</x:v>
      </x:c>
      <x:c r="D505" s="16" t="str">
        <x:v>Система опорн-подвес</x:v>
      </x:c>
      <x:c r="E505" s="16" t="str">
        <x:v>ШТ</x:v>
      </x:c>
      <x:c r="F505" s="21" t="n">
        <x:v>1</x:v>
      </x:c>
      <x:c r="G505" s="17" t="n">
        <x:v>27496.665</x:v>
      </x:c>
      <x:c r="H505" s="17" t="n">
        <x:f>G505*F505</x:f>
        <x:v>27496.665</x:v>
      </x:c>
      <x:c r="I505" s="22" t="str">
        <x:f>HYPERLINK("https://etp-aktiv.ru/catalog/materialy/truboprovody/2000553027-V311/","Открыть позицию")</x:f>
        <x:v>Открыть позицию</x:v>
      </x:c>
    </x:row>
    <x:row r="506" ht="28" customHeight="1">
      <x:c r="A506" s="16" t="str">
        <x:v>Назаровская ГРЭС</x:v>
      </x:c>
      <x:c r="B506" s="16" t="str">
        <x:v>2000198680-V311</x:v>
      </x:c>
      <x:c r="C506" s="16" t="str">
        <x:v>БЛОК ПРУЖИННЫЙ 21 ОСТ34-10-743-93</x:v>
      </x:c>
      <x:c r="D506" s="16" t="str">
        <x:v>Система опорн-подвес</x:v>
      </x:c>
      <x:c r="E506" s="16" t="str">
        <x:v>ШТ</x:v>
      </x:c>
      <x:c r="F506" s="21" t="n">
        <x:v>1</x:v>
      </x:c>
      <x:c r="G506" s="17" t="n">
        <x:v>22835.655</x:v>
      </x:c>
      <x:c r="H506" s="17" t="n">
        <x:f>G506*F506</x:f>
        <x:v>22835.655</x:v>
      </x:c>
      <x:c r="I506" s="22" t="str">
        <x:f>HYPERLINK("https://etp-aktiv.ru/catalog/materialy/truboprovody/2000198680-V311/","Открыть позицию")</x:f>
        <x:v>Открыть позицию</x:v>
      </x:c>
    </x:row>
    <x:row r="507" ht="28" customHeight="1">
      <x:c r="A507" s="16" t="str">
        <x:v>Назаровская ГРЭС</x:v>
      </x:c>
      <x:c r="B507" s="16" t="str">
        <x:v>2000739852-V311</x:v>
      </x:c>
      <x:c r="C507" s="16" t="str">
        <x:v>БЛОК ПРУЖИННЫЙ СБОРН 09 ОСТ34-10-743-93</x:v>
      </x:c>
      <x:c r="D507" s="16" t="str">
        <x:v>Система опорн-подвес</x:v>
      </x:c>
      <x:c r="E507" s="16" t="str">
        <x:v>ШТ</x:v>
      </x:c>
      <x:c r="F507" s="21" t="n">
        <x:v>1</x:v>
      </x:c>
      <x:c r="G507" s="17" t="n">
        <x:v>14619.1868</x:v>
      </x:c>
      <x:c r="H507" s="17" t="n">
        <x:f>G507*F507</x:f>
        <x:v>14619.1868</x:v>
      </x:c>
      <x:c r="I507" s="22" t="str">
        <x:f>HYPERLINK("https://etp-aktiv.ru/catalog/materialy/truboprovody/2000739852-V311/","Открыть позицию")</x:f>
        <x:v>Открыть позицию</x:v>
      </x:c>
    </x:row>
    <x:row r="508" ht="28" customHeight="1">
      <x:c r="A508" s="16" t="str">
        <x:v>Назаровская ГРЭС</x:v>
      </x:c>
      <x:c r="B508" s="16" t="str">
        <x:v>2000553063-V311</x:v>
      </x:c>
      <x:c r="C508" s="16" t="str">
        <x:v>БЛОК ПРУЖИННЫЙ СБОРН 20 ОСТ34-10-743-93</x:v>
      </x:c>
      <x:c r="D508" s="16" t="str">
        <x:v>Система опорн-подвес</x:v>
      </x:c>
      <x:c r="E508" s="16" t="str">
        <x:v>ШТ</x:v>
      </x:c>
      <x:c r="F508" s="21" t="n">
        <x:v>1</x:v>
      </x:c>
      <x:c r="G508" s="17" t="n">
        <x:v>17552.9086</x:v>
      </x:c>
      <x:c r="H508" s="17" t="n">
        <x:f>G508*F508</x:f>
        <x:v>17552.9086</x:v>
      </x:c>
      <x:c r="I508" s="22" t="str">
        <x:f>HYPERLINK("https://etp-aktiv.ru/catalog/materialy/truboprovody/2000553063-V311/","Открыть позицию")</x:f>
        <x:v>Открыть позицию</x:v>
      </x:c>
    </x:row>
    <x:row r="509" ht="28" customHeight="1">
      <x:c r="A509" s="16" t="str">
        <x:v>Назаровская ГРЭС</x:v>
      </x:c>
      <x:c r="B509" s="16" t="str">
        <x:v>2000553067-V311</x:v>
      </x:c>
      <x:c r="C509" s="16" t="str">
        <x:v>БЛОК ХОМУТОВЫЙ 14 ОСТ108.275.55-80</x:v>
      </x:c>
      <x:c r="D509" s="16" t="str">
        <x:v>Система опорн-подвес</x:v>
      </x:c>
      <x:c r="E509" s="16" t="str">
        <x:v>ШТ</x:v>
      </x:c>
      <x:c r="F509" s="21" t="n">
        <x:v>1</x:v>
      </x:c>
      <x:c r="G509" s="17" t="n">
        <x:v>3935.415</x:v>
      </x:c>
      <x:c r="H509" s="17" t="n">
        <x:f>G509*F509</x:f>
        <x:v>3935.415</x:v>
      </x:c>
      <x:c r="I509" s="22" t="str">
        <x:f>HYPERLINK("https://etp-aktiv.ru/catalog/materialy/truboprovody/2000553067-V311/","Открыть позицию")</x:f>
        <x:v>Открыть позицию</x:v>
      </x:c>
    </x:row>
    <x:row r="510" ht="28" customHeight="1">
      <x:c r="A510" s="16" t="str">
        <x:v>Назаровская ГРЭС</x:v>
      </x:c>
      <x:c r="B510" s="16" t="str">
        <x:v>2000855238-V311</x:v>
      </x:c>
      <x:c r="C510" s="16" t="str">
        <x:v>БЛОК ХОМУТОВЫЙ 219У-13 ОСТ34-10-725</x:v>
      </x:c>
      <x:c r="D510" s="16" t="str">
        <x:v>Система опорн-подвес</x:v>
      </x:c>
      <x:c r="E510" s="16" t="str">
        <x:v>ШТ</x:v>
      </x:c>
      <x:c r="F510" s="21" t="n">
        <x:v>1</x:v>
      </x:c>
      <x:c r="G510" s="17" t="n">
        <x:v>1441.125</x:v>
      </x:c>
      <x:c r="H510" s="17" t="n">
        <x:f>G510*F510</x:f>
        <x:v>1441.125</x:v>
      </x:c>
      <x:c r="I510" s="22" t="str">
        <x:f>HYPERLINK("https://etp-aktiv.ru/catalog/materialy/truboprovody/2000855238-V311/","Открыть позицию")</x:f>
        <x:v>Открыть позицию</x:v>
      </x:c>
    </x:row>
    <x:row r="511" ht="28" customHeight="1">
      <x:c r="A511" s="16" t="str">
        <x:v>Назаровская ГРЭС</x:v>
      </x:c>
      <x:c r="B511" s="16" t="str">
        <x:v>2000853185-V311</x:v>
      </x:c>
      <x:c r="C511" s="16" t="str">
        <x:v>БЛОК ХОМУТОВЫЙ 219У-37 ОСТ34-10-725-93</x:v>
      </x:c>
      <x:c r="D511" s="16" t="str">
        <x:v>Система опорн-подвес</x:v>
      </x:c>
      <x:c r="E511" s="16" t="str">
        <x:v>ШТ</x:v>
      </x:c>
      <x:c r="F511" s="21" t="n">
        <x:v>1</x:v>
      </x:c>
      <x:c r="G511" s="17" t="n">
        <x:v>480.375</x:v>
      </x:c>
      <x:c r="H511" s="17" t="n">
        <x:f>G511*F511</x:f>
        <x:v>480.375</x:v>
      </x:c>
      <x:c r="I511" s="22" t="str">
        <x:f>HYPERLINK("https://etp-aktiv.ru/catalog/materialy/truboprovody/2000853185-V311/","Открыть позицию")</x:f>
        <x:v>Открыть позицию</x:v>
      </x:c>
    </x:row>
    <x:row r="512" ht="28" customHeight="1">
      <x:c r="A512" s="16" t="str">
        <x:v>Назаровская ГРЭС</x:v>
      </x:c>
      <x:c r="B512" s="16" t="str">
        <x:v>2000553071-V311</x:v>
      </x:c>
      <x:c r="C512" s="16" t="str">
        <x:v>БЛОК ХОМУТОВЫЙ 530 У-23 ОСТ34-10-725-93</x:v>
      </x:c>
      <x:c r="D512" s="16" t="str">
        <x:v>Система опорн-подвес</x:v>
      </x:c>
      <x:c r="E512" s="16" t="str">
        <x:v>ШТ</x:v>
      </x:c>
      <x:c r="F512" s="21" t="n">
        <x:v>2</x:v>
      </x:c>
      <x:c r="G512" s="17" t="n">
        <x:v>1571.604</x:v>
      </x:c>
      <x:c r="H512" s="17" t="n">
        <x:f>G512*F512</x:f>
        <x:v>3143.208</x:v>
      </x:c>
      <x:c r="I512" s="22" t="str">
        <x:f>HYPERLINK("https://etp-aktiv.ru/catalog/materialy/truboprovody/2000553071-V311/","Открыть позицию")</x:f>
        <x:v>Открыть позицию</x:v>
      </x:c>
    </x:row>
    <x:row r="513" ht="28" customHeight="1">
      <x:c r="A513" s="16" t="str">
        <x:v>Назаровская ГРЭС</x:v>
      </x:c>
      <x:c r="B513" s="16" t="str">
        <x:v>2000553072-V311</x:v>
      </x:c>
      <x:c r="C513" s="16" t="str">
        <x:v>БЛОК ХОМУТОВЫЙ 530 У-47 ОСТ34-10-725-93</x:v>
      </x:c>
      <x:c r="D513" s="16" t="str">
        <x:v>Система опорн-подвес</x:v>
      </x:c>
      <x:c r="E513" s="16" t="str">
        <x:v>ШТ</x:v>
      </x:c>
      <x:c r="F513" s="21" t="n">
        <x:v>2</x:v>
      </x:c>
      <x:c r="G513" s="17" t="n">
        <x:v>1868.3324</x:v>
      </x:c>
      <x:c r="H513" s="17" t="n">
        <x:f>G513*F513</x:f>
        <x:v>3736.6648</x:v>
      </x:c>
      <x:c r="I513" s="22" t="str">
        <x:f>HYPERLINK("https://etp-aktiv.ru/catalog/materialy/truboprovody/2000553072-V311/","Открыть позицию")</x:f>
        <x:v>Открыть позицию</x:v>
      </x:c>
    </x:row>
    <x:row r="514" ht="28" customHeight="1">
      <x:c r="A514" s="16" t="str">
        <x:v>Назаровская ГРЭС</x:v>
      </x:c>
      <x:c r="B514" s="16" t="str">
        <x:v>2000004908-V311</x:v>
      </x:c>
      <x:c r="C514" s="16" t="str">
        <x:v>ВЕНТИЛЬ 15КЧ18П DN32 PN16</x:v>
      </x:c>
      <x:c r="D514" s="16" t="str">
        <x:v>ЧугунАрмат (кр.затв)</x:v>
      </x:c>
      <x:c r="E514" s="16" t="str">
        <x:v>ШТ</x:v>
      </x:c>
      <x:c r="F514" s="21" t="n">
        <x:v>23</x:v>
      </x:c>
      <x:c r="G514" s="17" t="n">
        <x:v>338.245</x:v>
      </x:c>
      <x:c r="H514" s="17" t="n">
        <x:f>G514*F514</x:f>
        <x:v>7779.635</x:v>
      </x:c>
      <x:c r="I514" s="22" t="str">
        <x:f>HYPERLINK("https://etp-aktiv.ru/catalog/materialy/truboprovodnaya-armatura-i-komplektuyushchie/2000004908-V311/","Открыть позицию")</x:f>
        <x:v>Открыть позицию</x:v>
      </x:c>
    </x:row>
    <x:row r="515" ht="28" customHeight="1">
      <x:c r="A515" s="16" t="str">
        <x:v>Назаровская ГРЭС</x:v>
      </x:c>
      <x:c r="B515" s="16" t="str">
        <x:v>2000006817-V311</x:v>
      </x:c>
      <x:c r="C515" s="16" t="str">
        <x:v>ВЕНТИЛЬ 15КЧ18П DN50 PN16</x:v>
      </x:c>
      <x:c r="D515" s="16" t="str">
        <x:v>ЧугунАрмат (кр.затв)</x:v>
      </x:c>
      <x:c r="E515" s="16" t="str">
        <x:v>ШТ</x:v>
      </x:c>
      <x:c r="F515" s="21" t="n">
        <x:v>10</x:v>
      </x:c>
      <x:c r="G515" s="17" t="n">
        <x:v>1313.0249999999999</x:v>
      </x:c>
      <x:c r="H515" s="17" t="n">
        <x:f>G515*F515</x:f>
        <x:v>13130.249999999998</x:v>
      </x:c>
      <x:c r="I515" s="22" t="str">
        <x:f>HYPERLINK("https://etp-aktiv.ru/catalog/materialy/truboprovodnaya-armatura-i-komplektuyushchie/2000006817-V311/","Открыть позицию")</x:f>
        <x:v>Открыть позицию</x:v>
      </x:c>
    </x:row>
    <x:row r="516" ht="28" customHeight="1">
      <x:c r="A516" s="16" t="str">
        <x:v>Назаровская ГРЭС</x:v>
      </x:c>
      <x:c r="B516" s="16" t="str">
        <x:v>2000694547-V311</x:v>
      </x:c>
      <x:c r="C516" s="16" t="str">
        <x:v>ВЕНТИЛЬ 652.9070.4020 DN20 PN373 РП ПП</x:v>
      </x:c>
      <x:c r="D516" s="16" t="str">
        <x:v>Трубопр арматура в/д</x:v>
      </x:c>
      <x:c r="E516" s="16" t="str">
        <x:v>ШТ</x:v>
      </x:c>
      <x:c r="F516" s="21" t="n">
        <x:v>3</x:v>
      </x:c>
      <x:c r="G516" s="17" t="n">
        <x:v>7851.9078</x:v>
      </x:c>
      <x:c r="H516" s="17" t="n">
        <x:f>G516*F516</x:f>
        <x:v>23555.7234</x:v>
      </x:c>
      <x:c r="I516" s="22" t="str">
        <x:f>HYPERLINK("https://etp-aktiv.ru/catalog/materialy/truboprovodnaya-armatura-i-komplektuyushchie/2000694547-V311/","Открыть позицию")</x:f>
        <x:v>Открыть позицию</x:v>
      </x:c>
    </x:row>
    <x:row r="517" ht="28" customHeight="1">
      <x:c r="A517" s="16" t="str">
        <x:v>Назаровская ГРЭС</x:v>
      </x:c>
      <x:c r="B517" s="16" t="str">
        <x:v>2000955123-V311</x:v>
      </x:c>
      <x:c r="C517" s="16" t="str">
        <x:v>ВЕНТИЛЬ ВИГ6С-Н1Б1Б DN5 PN6 С КМЧ</x:v>
      </x:c>
      <x:c r="D517" s="16" t="str">
        <x:v>Задвиж/клапан стальн</x:v>
      </x:c>
      <x:c r="E517" s="16" t="str">
        <x:v>ШТ</x:v>
      </x:c>
      <x:c r="F517" s="21" t="n">
        <x:v>16</x:v>
      </x:c>
      <x:c r="G517" s="17" t="n">
        <x:v>13008.3354</x:v>
      </x:c>
      <x:c r="H517" s="17" t="n">
        <x:f>G517*F517</x:f>
        <x:v>208133.3664</x:v>
      </x:c>
      <x:c r="I517" s="22" t="str">
        <x:f>HYPERLINK("https://etp-aktiv.ru/catalog/materialy/truboprovodnaya-armatura-i-komplektuyushchie/2000955123-V311/","Открыть позицию")</x:f>
        <x:v>Открыть позицию</x:v>
      </x:c>
    </x:row>
    <x:row r="518" ht="28" customHeight="1">
      <x:c r="A518" s="16" t="str">
        <x:v>Назаровская ГРЭС</x:v>
      </x:c>
      <x:c r="B518" s="16" t="str">
        <x:v>2001019060-V311</x:v>
      </x:c>
      <x:c r="C518" s="16" t="str">
        <x:v>ВТУЛКА 370921</x:v>
      </x:c>
      <x:c r="D518" s="16" t="str">
        <x:v>ЗЧ трубопр арматуры</x:v>
      </x:c>
      <x:c r="E518" s="16" t="str">
        <x:v>ШТ</x:v>
      </x:c>
      <x:c r="F518" s="21" t="n">
        <x:v>1</x:v>
      </x:c>
      <x:c r="G518" s="17" t="n">
        <x:v>72105.7332</x:v>
      </x:c>
      <x:c r="H518" s="17" t="n">
        <x:f>G518*F518</x:f>
        <x:v>72105.7332</x:v>
      </x:c>
      <x:c r="I518" s="22" t="str">
        <x:f>HYPERLINK("https://etp-aktiv.ru/catalog/materialy/truboprovodnaya-armatura-i-komplektuyushchie/2001019060-V311/","Открыть позицию")</x:f>
        <x:v>Открыть позицию</x:v>
      </x:c>
    </x:row>
    <x:row r="519" ht="28" customHeight="1">
      <x:c r="A519" s="16" t="str">
        <x:v>Назаровская ГРЭС</x:v>
      </x:c>
      <x:c r="B519" s="16" t="str">
        <x:v>2000246474-V311</x:v>
      </x:c>
      <x:c r="C519" s="16" t="str">
        <x:v>ГИБ 12Х1МФ 133*10*2188 ОСТ108.030.40-79</x:v>
      </x:c>
      <x:c r="D519" s="16" t="str">
        <x:v>Детали фасонные</x:v>
      </x:c>
      <x:c r="E519" s="16" t="str">
        <x:v>ШТ</x:v>
      </x:c>
      <x:c r="F519" s="21" t="n">
        <x:v>1</x:v>
      </x:c>
      <x:c r="G519" s="17" t="n">
        <x:v>8170.2912</x:v>
      </x:c>
      <x:c r="H519" s="17" t="n">
        <x:f>G519*F519</x:f>
        <x:v>8170.2912</x:v>
      </x:c>
      <x:c r="I519" s="22" t="str">
        <x:f>HYPERLINK("https://etp-aktiv.ru/catalog/materialy/truboprovody/2000246474-V311/","Открыть позицию")</x:f>
        <x:v>Открыть позицию</x:v>
      </x:c>
    </x:row>
    <x:row r="520" ht="28" customHeight="1">
      <x:c r="A520" s="16" t="str">
        <x:v>Назаровская ГРЭС</x:v>
      </x:c>
      <x:c r="B520" s="16" t="str">
        <x:v>2000246472-V311</x:v>
      </x:c>
      <x:c r="C520" s="16" t="str">
        <x:v>ГИБ 12Х1МФ 133*10*2294 ОСТ108.030.40-79</x:v>
      </x:c>
      <x:c r="D520" s="16" t="str">
        <x:v>Детали фасонные</x:v>
      </x:c>
      <x:c r="E520" s="16" t="str">
        <x:v>ШТ</x:v>
      </x:c>
      <x:c r="F520" s="21" t="n">
        <x:v>2</x:v>
      </x:c>
      <x:c r="G520" s="17" t="n">
        <x:v>8564.021799999999</x:v>
      </x:c>
      <x:c r="H520" s="17" t="n">
        <x:f>G520*F520</x:f>
        <x:v>17128.043599999997</x:v>
      </x:c>
      <x:c r="I520" s="22" t="str">
        <x:f>HYPERLINK("https://etp-aktiv.ru/catalog/materialy/truboprovody/2000246472-V311/","Открыть позицию")</x:f>
        <x:v>Открыть позицию</x:v>
      </x:c>
    </x:row>
    <x:row r="521" ht="28" customHeight="1">
      <x:c r="A521" s="16" t="str">
        <x:v>Назаровская ГРЭС</x:v>
      </x:c>
      <x:c r="B521" s="16" t="str">
        <x:v>2000559087-V311</x:v>
      </x:c>
      <x:c r="C521" s="16" t="str">
        <x:v>ГИБ 135° 273*26-4020 СТ20 КД-215023А</x:v>
      </x:c>
      <x:c r="D521" s="16" t="str">
        <x:v>Труб/элем ВД</x:v>
      </x:c>
      <x:c r="E521" s="16" t="str">
        <x:v>ШТ</x:v>
      </x:c>
      <x:c r="F521" s="21" t="n">
        <x:v>1</x:v>
      </x:c>
      <x:c r="G521" s="17" t="n">
        <x:v>107930.655</x:v>
      </x:c>
      <x:c r="H521" s="17" t="n">
        <x:f>G521*F521</x:f>
        <x:v>107930.655</x:v>
      </x:c>
      <x:c r="I521" s="22" t="str">
        <x:f>HYPERLINK("https://etp-aktiv.ru/catalog/materialy/truboprovody/2000559087-V311/","Открыть позицию")</x:f>
        <x:v>Открыть позицию</x:v>
      </x:c>
    </x:row>
    <x:row r="522" ht="28" customHeight="1">
      <x:c r="A522" s="16" t="str">
        <x:v>Назаровская ГРЭС</x:v>
      </x:c>
      <x:c r="B522" s="16" t="str">
        <x:v>2000559146-V311</x:v>
      </x:c>
      <x:c r="C522" s="16" t="str">
        <x:v>ГИБ 90 ТРУБЫ 108*12*3660 СТ20 КР-31</x:v>
      </x:c>
      <x:c r="D522" s="16" t="str">
        <x:v>Труб/элем ВД</x:v>
      </x:c>
      <x:c r="E522" s="16" t="str">
        <x:v>ШТ</x:v>
      </x:c>
      <x:c r="F522" s="21" t="n">
        <x:v>1</x:v>
      </x:c>
      <x:c r="G522" s="17" t="n">
        <x:v>23357.3392</x:v>
      </x:c>
      <x:c r="H522" s="17" t="n">
        <x:f>G522*F522</x:f>
        <x:v>23357.3392</x:v>
      </x:c>
      <x:c r="I522" s="22" t="str">
        <x:f>HYPERLINK("https://etp-aktiv.ru/catalog/materialy/truboprovody/2000559146-V311/","Открыть позицию")</x:f>
        <x:v>Открыть позицию</x:v>
      </x:c>
    </x:row>
    <x:row r="523" ht="28" customHeight="1">
      <x:c r="A523" s="16" t="str">
        <x:v>Назаровская ГРЭС</x:v>
      </x:c>
      <x:c r="B523" s="16" t="str">
        <x:v>2000218075-V311</x:v>
      </x:c>
      <x:c r="C523" s="16" t="str">
        <x:v>ГИБ 90° СТ20 108*14*2242 R500 К-1994</x:v>
      </x:c>
      <x:c r="D523" s="16" t="str">
        <x:v>Детали фасонные</x:v>
      </x:c>
      <x:c r="E523" s="16" t="str">
        <x:v>ШТ</x:v>
      </x:c>
      <x:c r="F523" s="21" t="n">
        <x:v>2</x:v>
      </x:c>
      <x:c r="G523" s="17" t="n">
        <x:v>4827.967</x:v>
      </x:c>
      <x:c r="H523" s="17" t="n">
        <x:f>G523*F523</x:f>
        <x:v>9655.934</x:v>
      </x:c>
      <x:c r="I523" s="22" t="str">
        <x:f>HYPERLINK("https://etp-aktiv.ru/catalog/materialy/truboprovody/2000218075-V311/","Открыть позицию")</x:f>
        <x:v>Открыть позицию</x:v>
      </x:c>
    </x:row>
    <x:row r="524" ht="28" customHeight="1">
      <x:c r="A524" s="16" t="str">
        <x:v>Назаровская ГРЭС</x:v>
      </x:c>
      <x:c r="B524" s="16" t="str">
        <x:v>2000729035-V311</x:v>
      </x:c>
      <x:c r="C524" s="16" t="str">
        <x:v>ЗАГЛУШКА 09Г2С DN159*4,5 PN1,6 ГОСТ17379</x:v>
      </x:c>
      <x:c r="D524" s="16" t="str">
        <x:v>Детали фасонные</x:v>
      </x:c>
      <x:c r="E524" s="16" t="str">
        <x:v>ШТ</x:v>
      </x:c>
      <x:c r="F524" s="21" t="n">
        <x:v>38</x:v>
      </x:c>
      <x:c r="G524" s="17" t="n">
        <x:v>138.0186</x:v>
      </x:c>
      <x:c r="H524" s="17" t="n">
        <x:f>G524*F524</x:f>
        <x:v>5244.7068</x:v>
      </x:c>
      <x:c r="I524" s="22" t="str">
        <x:f>HYPERLINK("https://etp-aktiv.ru/catalog/materialy/truboprovody/2000729035-V311/","Открыть позицию")</x:f>
        <x:v>Открыть позицию</x:v>
      </x:c>
    </x:row>
    <x:row r="525" ht="28" customHeight="1">
      <x:c r="A525" s="16" t="str">
        <x:v>Назаровская ГРЭС</x:v>
      </x:c>
      <x:c r="B525" s="16" t="str">
        <x:v>2000555457-V311</x:v>
      </x:c>
      <x:c r="C525" s="16" t="str">
        <x:v>ЗАГЛУШКА НАРУЖНАЯ 32 ТУ40-461-806-60</x:v>
      </x:c>
      <x:c r="D525" s="16" t="str">
        <x:v>Детали фасонные</x:v>
      </x:c>
      <x:c r="E525" s="16" t="str">
        <x:v>ШТ</x:v>
      </x:c>
      <x:c r="F525" s="21" t="n">
        <x:v>1188</x:v>
      </x:c>
      <x:c r="G525" s="17" t="n">
        <x:v>82.3744</x:v>
      </x:c>
      <x:c r="H525" s="17" t="n">
        <x:f>G525*F525</x:f>
        <x:v>97860.78719999999</x:v>
      </x:c>
      <x:c r="I525" s="22" t="str">
        <x:f>HYPERLINK("https://etp-aktiv.ru/catalog/materialy/truboprovody/2000555457-V311/","Открыть позицию")</x:f>
        <x:v>Открыть позицию</x:v>
      </x:c>
    </x:row>
    <x:row r="526" ht="28" customHeight="1">
      <x:c r="A526" s="16" t="str">
        <x:v>Назаровская ГРЭС</x:v>
      </x:c>
      <x:c r="B526" s="16" t="str">
        <x:v>2000259716-V311</x:v>
      </x:c>
      <x:c r="C526" s="16" t="str">
        <x:v>ЗАГЛУШКА СТ20 DN300*24 PN16 ОСТ34-10-7</x:v>
      </x:c>
      <x:c r="D526" s="16" t="str">
        <x:v>Детали фасонные</x:v>
      </x:c>
      <x:c r="E526" s="16" t="str">
        <x:v>ШТ</x:v>
      </x:c>
      <x:c r="F526" s="21" t="n">
        <x:v>1</x:v>
      </x:c>
      <x:c r="G526" s="17" t="n">
        <x:v>8396.2108</x:v>
      </x:c>
      <x:c r="H526" s="17" t="n">
        <x:f>G526*F526</x:f>
        <x:v>8396.2108</x:v>
      </x:c>
      <x:c r="I526" s="22" t="str">
        <x:f>HYPERLINK("https://etp-aktiv.ru/catalog/materialy/truboprovody/2000259716-V311/","Открыть позицию")</x:f>
        <x:v>Открыть позицию</x:v>
      </x:c>
    </x:row>
    <x:row r="527" ht="28" customHeight="1">
      <x:c r="A527" s="16" t="str">
        <x:v>Назаровская ГРЭС</x:v>
      </x:c>
      <x:c r="B527" s="16" t="str">
        <x:v>2000694816-V311</x:v>
      </x:c>
      <x:c r="C527" s="16" t="str">
        <x:v>ЗАГЛУШКА СТ20 DN57*4 PN16 ГОСТ17379-2001</x:v>
      </x:c>
      <x:c r="D527" s="16" t="str">
        <x:v>Детали фасонные</x:v>
      </x:c>
      <x:c r="E527" s="16" t="str">
        <x:v>ШТ</x:v>
      </x:c>
      <x:c r="F527" s="21" t="n">
        <x:v>3</x:v>
      </x:c>
      <x:c r="G527" s="17" t="n">
        <x:v>40.2112</x:v>
      </x:c>
      <x:c r="H527" s="17" t="n">
        <x:f>G527*F527</x:f>
        <x:v>120.6336</x:v>
      </x:c>
      <x:c r="I527" s="22" t="str">
        <x:f>HYPERLINK("https://etp-aktiv.ru/catalog/materialy/truboprovody/2000694816-V311/","Открыть позицию")</x:f>
        <x:v>Открыть позицию</x:v>
      </x:c>
    </x:row>
    <x:row r="528" ht="28" customHeight="1">
      <x:c r="A528" s="16" t="str">
        <x:v>Назаровская ГРЭС</x:v>
      </x:c>
      <x:c r="B528" s="16" t="str">
        <x:v>2000539359-V311</x:v>
      </x:c>
      <x:c r="C528" s="16" t="str">
        <x:v>ЗАДВИЖКА 30С41НЖ 350/16 Р/П П/П A 25Л</x:v>
      </x:c>
      <x:c r="D528" s="16" t="str">
        <x:v>Задвиж/клапан стальн</x:v>
      </x:c>
      <x:c r="E528" s="16" t="str">
        <x:v>ШТ</x:v>
      </x:c>
      <x:c r="F528" s="21" t="n">
        <x:v>4</x:v>
      </x:c>
      <x:c r="G528" s="17" t="n">
        <x:v>41060.0638</x:v>
      </x:c>
      <x:c r="H528" s="17" t="n">
        <x:f>G528*F528</x:f>
        <x:v>164240.2552</x:v>
      </x:c>
      <x:c r="I528" s="22" t="str">
        <x:f>HYPERLINK("https://etp-aktiv.ru/catalog/materialy/truboprovodnaya-armatura-i-komplektuyushchie/2000539359-V311/","Открыть позицию")</x:f>
        <x:v>Открыть позицию</x:v>
      </x:c>
    </x:row>
    <x:row r="529" ht="28" customHeight="1">
      <x:c r="A529" s="16" t="str">
        <x:v>Назаровская ГРЭС</x:v>
      </x:c>
      <x:c r="B529" s="16" t="str">
        <x:v>2000552580-V311</x:v>
      </x:c>
      <x:c r="C529" s="16" t="str">
        <x:v>ЗАДВИЖКА 881-150-ЦЗ DN150 PN250 РЕД П/ПР</x:v>
      </x:c>
      <x:c r="D529" s="16" t="str">
        <x:v>Трубопр арматура в/д</x:v>
      </x:c>
      <x:c r="E529" s="16" t="str">
        <x:v>ШТ</x:v>
      </x:c>
      <x:c r="F529" s="21" t="n">
        <x:v>0</x:v>
      </x:c>
      <x:c r="G529" s="17" t="n">
        <x:v>338509.9718</x:v>
      </x:c>
      <x:c r="H529" s="17" t="n">
        <x:f>G529*F529</x:f>
        <x:v>0</x:v>
      </x:c>
      <x:c r="I529" s="22" t="str">
        <x:f>HYPERLINK("https://etp-aktiv.ru/catalog/materialy/truboprovodnaya-armatura-i-komplektuyushchie/2000552580-V311/","Открыть позицию")</x:f>
        <x:v>Открыть позицию</x:v>
      </x:c>
    </x:row>
    <x:row r="530" ht="28" customHeight="1">
      <x:c r="A530" s="16" t="str">
        <x:v>Назаровская ГРЭС</x:v>
      </x:c>
      <x:c r="B530" s="16" t="str">
        <x:v>2000994763-V311</x:v>
      </x:c>
      <x:c r="C530" s="16" t="str">
        <x:v>ЗАДВИЖКА ЗС 200.16.4313 DN200 PN16 Р ПП</x:v>
      </x:c>
      <x:c r="D530" s="16" t="str">
        <x:v>Задвиж/клапан стальн</x:v>
      </x:c>
      <x:c r="E530" s="16" t="str">
        <x:v>ШТ</x:v>
      </x:c>
      <x:c r="F530" s="21" t="n">
        <x:v>2</x:v>
      </x:c>
      <x:c r="G530" s="17" t="n">
        <x:v>301422.7282</x:v>
      </x:c>
      <x:c r="H530" s="17" t="n">
        <x:f>G530*F530</x:f>
        <x:v>602845.4564</x:v>
      </x:c>
      <x:c r="I530" s="22" t="str">
        <x:f>HYPERLINK("https://etp-aktiv.ru/catalog/materialy/truboprovodnaya-armatura-i-komplektuyushchie/2000994763-V311/","Открыть позицию")</x:f>
        <x:v>Открыть позицию</x:v>
      </x:c>
    </x:row>
    <x:row r="531" ht="28" customHeight="1">
      <x:c r="A531" s="16" t="str">
        <x:v>Назаровская ГРЭС</x:v>
      </x:c>
      <x:c r="B531" s="16" t="str">
        <x:v>2000255304-V311</x:v>
      </x:c>
      <x:c r="C531" s="16" t="str">
        <x:v>ЗАЖИМ БЕЗВИНТОВОЙ ЗБ-222-413</x:v>
      </x:c>
      <x:c r="D531" s="16" t="str">
        <x:v>Лин-подвесн арматура</x:v>
      </x:c>
      <x:c r="E531" s="16" t="str">
        <x:v>ШТ</x:v>
      </x:c>
      <x:c r="F531" s="21" t="n">
        <x:v>50</x:v>
      </x:c>
      <x:c r="G531" s="17" t="n">
        <x:v>8.0032</x:v>
      </x:c>
      <x:c r="H531" s="17" t="n">
        <x:f>G531*F531</x:f>
        <x:v>400.15999999999997</x:v>
      </x:c>
      <x:c r="I531" s="22" t="str">
        <x:f>HYPERLINK("https://etp-aktiv.ru/catalog/materialy/ehlektrotekhnicheskie-materialy/2000255304-V311/","Открыть позицию")</x:f>
        <x:v>Открыть позицию</x:v>
      </x:c>
    </x:row>
    <x:row r="532" ht="28" customHeight="1">
      <x:c r="A532" s="16" t="str">
        <x:v>Назаровская ГРЭС</x:v>
      </x:c>
      <x:c r="B532" s="16" t="str">
        <x:v>2000995747-V311</x:v>
      </x:c>
      <x:c r="C532" s="16" t="str">
        <x:v>ЗАТВОР 1Н 50/16 ВЧ НЖ EPDM МФ Б/П</x:v>
      </x:c>
      <x:c r="D532" s="16" t="str">
        <x:v>ЗатворЧугунПоворотн</x:v>
      </x:c>
      <x:c r="E532" s="16" t="str">
        <x:v>ШТ</x:v>
      </x:c>
      <x:c r="F532" s="21" t="n">
        <x:v>1</x:v>
      </x:c>
      <x:c r="G532" s="17" t="n">
        <x:v>995.0686</x:v>
      </x:c>
      <x:c r="H532" s="17" t="n">
        <x:f>G532*F532</x:f>
        <x:v>995.0686</x:v>
      </x:c>
      <x:c r="I532" s="22" t="str">
        <x:f>HYPERLINK("https://etp-aktiv.ru/catalog/materialy/truboprovodnaya-armatura-i-komplektuyushchie/2000995747-V311/","Открыть позицию")</x:f>
        <x:v>Открыть позицию</x:v>
      </x:c>
    </x:row>
    <x:row r="533" ht="28" customHeight="1">
      <x:c r="A533" s="16" t="str">
        <x:v>Назаровская ГРЭС</x:v>
      </x:c>
      <x:c r="B533" s="16" t="str">
        <x:v>2000963894-V311</x:v>
      </x:c>
      <x:c r="C533" s="16" t="str">
        <x:v>ЗАТВОР 2Н 50/16 ВЧ ВЧ EPDM МФ РП</x:v>
      </x:c>
      <x:c r="D533" s="16" t="str">
        <x:v>ЗатворЧугунПоворотн</x:v>
      </x:c>
      <x:c r="E533" s="16" t="str">
        <x:v>ШТ</x:v>
      </x:c>
      <x:c r="F533" s="21" t="n">
        <x:v>1</x:v>
      </x:c>
      <x:c r="G533" s="17" t="n">
        <x:v>995.0686</x:v>
      </x:c>
      <x:c r="H533" s="17" t="n">
        <x:f>G533*F533</x:f>
        <x:v>995.0686</x:v>
      </x:c>
      <x:c r="I533" s="22" t="str">
        <x:f>HYPERLINK("https://etp-aktiv.ru/catalog/materialy/truboprovodnaya-armatura-i-komplektuyushchie/2000963894-V311/","Открыть позицию")</x:f>
        <x:v>Открыть позицию</x:v>
      </x:c>
    </x:row>
    <x:row r="534" ht="28" customHeight="1">
      <x:c r="A534" s="16" t="str">
        <x:v>Назаровская ГРЭС</x:v>
      </x:c>
      <x:c r="B534" s="16" t="str">
        <x:v>2000577785-V311</x:v>
      </x:c>
      <x:c r="C534" s="16" t="str">
        <x:v>ЗАТВОР ПДЗ.Ф.Р.250.025.02 РЕДУКТ ФЛ А</x:v>
      </x:c>
      <x:c r="D534" s="16" t="str">
        <x:v>@Трубопр армат промы</x:v>
      </x:c>
      <x:c r="E534" s="16" t="str">
        <x:v>ШТ</x:v>
      </x:c>
      <x:c r="F534" s="21" t="n">
        <x:v>2</x:v>
      </x:c>
      <x:c r="G534" s="17" t="n">
        <x:v>15098.537</x:v>
      </x:c>
      <x:c r="H534" s="17" t="n">
        <x:f>G534*F534</x:f>
        <x:v>30197.074</x:v>
      </x:c>
      <x:c r="I534" s="22" t="str">
        <x:f>HYPERLINK("https://etp-aktiv.ru/catalog/materialy/truboprovodnaya-armatura-i-komplektuyushchie/2000577785-V311/","Открыть позицию")</x:f>
        <x:v>Открыть позицию</x:v>
      </x:c>
    </x:row>
    <x:row r="535" ht="28" customHeight="1">
      <x:c r="A535" s="16" t="str">
        <x:v>Назаровская ГРЭС</x:v>
      </x:c>
      <x:c r="B535" s="16" t="str">
        <x:v>2000585413-V311</x:v>
      </x:c>
      <x:c r="C535" s="16" t="str">
        <x:v>ЗАТВОР Ф СТ/НЖ КИСЛ 100 М 250 /10 ЭП A</x:v>
      </x:c>
      <x:c r="D535" s="16" t="str">
        <x:v>ЗатворСтальнПповорот</x:v>
      </x:c>
      <x:c r="E535" s="16" t="str">
        <x:v>ШТ</x:v>
      </x:c>
      <x:c r="F535" s="21" t="n">
        <x:v>2</x:v>
      </x:c>
      <x:c r="G535" s="17" t="n">
        <x:v>112193.64</x:v>
      </x:c>
      <x:c r="H535" s="17" t="n">
        <x:f>G535*F535</x:f>
        <x:v>224387.28</x:v>
      </x:c>
      <x:c r="I535" s="22" t="str">
        <x:f>HYPERLINK("https://etp-aktiv.ru/catalog/materialy/truboprovodnaya-armatura-i-komplektuyushchie/2000585413-V311/","Открыть позицию")</x:f>
        <x:v>Открыть позицию</x:v>
      </x:c>
    </x:row>
    <x:row r="536" ht="28" customHeight="1">
      <x:c r="A536" s="16" t="str">
        <x:v>Назаровская ГРЭС</x:v>
      </x:c>
      <x:c r="B536" s="16" t="str">
        <x:v>2000832642-V311</x:v>
      </x:c>
      <x:c r="C536" s="16" t="str">
        <x:v>КЛАПАН 15С22НЖ DN25 PN40 РП ФЛ КОФ</x:v>
      </x:c>
      <x:c r="D536" s="16" t="str">
        <x:v>Задвиж/клапан стальн</x:v>
      </x:c>
      <x:c r="E536" s="16" t="str">
        <x:v>ШТ</x:v>
      </x:c>
      <x:c r="F536" s="21" t="n">
        <x:v>4</x:v>
      </x:c>
      <x:c r="G536" s="17" t="n">
        <x:v>2229.6232</x:v>
      </x:c>
      <x:c r="H536" s="17" t="n">
        <x:f>G536*F536</x:f>
        <x:v>8918.4928</x:v>
      </x:c>
      <x:c r="I536" s="22" t="str">
        <x:f>HYPERLINK("https://etp-aktiv.ru/catalog/materialy/truboprovodnaya-armatura-i-komplektuyushchie/2000832642-V311/","Открыть позицию")</x:f>
        <x:v>Открыть позицию</x:v>
      </x:c>
    </x:row>
    <x:row r="537" ht="28" customHeight="1">
      <x:c r="A537" s="16" t="str">
        <x:v>Назаровская ГРЭС</x:v>
      </x:c>
      <x:c r="B537" s="16" t="str">
        <x:v>2000539610-V311</x:v>
      </x:c>
      <x:c r="C537" s="16" t="str">
        <x:v>КЛАПАН 15С52НЖ DN20 PN63 Р/П ФЛ А</x:v>
      </x:c>
      <x:c r="D537" s="16" t="str">
        <x:v>Задвиж/клапан стальн</x:v>
      </x:c>
      <x:c r="E537" s="16" t="str">
        <x:v>ШТ</x:v>
      </x:c>
      <x:c r="F537" s="21" t="n">
        <x:v>1</x:v>
      </x:c>
      <x:c r="G537" s="17" t="n">
        <x:v>1110.5904</x:v>
      </x:c>
      <x:c r="H537" s="17" t="n">
        <x:f>G537*F537</x:f>
        <x:v>1110.5904</x:v>
      </x:c>
      <x:c r="I537" s="22" t="str">
        <x:f>HYPERLINK("https://etp-aktiv.ru/catalog/materialy/truboprovodnaya-armatura-i-komplektuyushchie/2000539610-V311/","Открыть позицию")</x:f>
        <x:v>Открыть позицию</x:v>
      </x:c>
    </x:row>
    <x:row r="538" ht="28" customHeight="1">
      <x:c r="A538" s="16" t="str">
        <x:v>Назаровская ГРЭС</x:v>
      </x:c>
      <x:c r="B538" s="16" t="str">
        <x:v>2000539625-V311</x:v>
      </x:c>
      <x:c r="C538" s="16" t="str">
        <x:v>КЛАПАН 15С65НЖ DN15 PN16 МАХ П/П A</x:v>
      </x:c>
      <x:c r="D538" s="16" t="str">
        <x:v>Задвиж/клапан стальн</x:v>
      </x:c>
      <x:c r="E538" s="16" t="str">
        <x:v>ШТ</x:v>
      </x:c>
      <x:c r="F538" s="21" t="n">
        <x:v>1</x:v>
      </x:c>
      <x:c r="G538" s="17" t="n">
        <x:v>3177.3436</x:v>
      </x:c>
      <x:c r="H538" s="17" t="n">
        <x:f>G538*F538</x:f>
        <x:v>3177.3436</x:v>
      </x:c>
      <x:c r="I538" s="22" t="str">
        <x:f>HYPERLINK("https://etp-aktiv.ru/catalog/materialy/truboprovodnaya-armatura-i-komplektuyushchie/2000539625-V311/","Открыть позицию")</x:f>
        <x:v>Открыть позицию</x:v>
      </x:c>
    </x:row>
    <x:row r="539" ht="28" customHeight="1">
      <x:c r="A539" s="16" t="str">
        <x:v>Назаровская ГРЭС</x:v>
      </x:c>
      <x:c r="B539" s="16" t="str">
        <x:v>2000539632-V311</x:v>
      </x:c>
      <x:c r="C539" s="16" t="str">
        <x:v>КЛАПАН 15С65НЖ DN50 PN16 Р/П ФЛ А КОФ</x:v>
      </x:c>
      <x:c r="D539" s="16" t="str">
        <x:v>Задвиж/клапан стальн</x:v>
      </x:c>
      <x:c r="E539" s="16" t="str">
        <x:v>ШТ</x:v>
      </x:c>
      <x:c r="F539" s="21" t="n">
        <x:v>1</x:v>
      </x:c>
      <x:c r="G539" s="17" t="n">
        <x:v>6488.496799999999</x:v>
      </x:c>
      <x:c r="H539" s="17" t="n">
        <x:f>G539*F539</x:f>
        <x:v>6488.496799999999</x:v>
      </x:c>
      <x:c r="I539" s="22" t="str">
        <x:f>HYPERLINK("https://etp-aktiv.ru/catalog/materialy/truboprovodnaya-armatura-i-komplektuyushchie/2000539632-V311/","Открыть позицию")</x:f>
        <x:v>Открыть позицию</x:v>
      </x:c>
    </x:row>
    <x:row r="540" ht="28" customHeight="1">
      <x:c r="A540" s="16" t="str">
        <x:v>Назаровская ГРЭС</x:v>
      </x:c>
      <x:c r="B540" s="16" t="str">
        <x:v>2000539726-V311</x:v>
      </x:c>
      <x:c r="C540" s="16" t="str">
        <x:v>КЛАПАН 19С38НЖ DN50 PN63 Р/П П/П А</x:v>
      </x:c>
      <x:c r="D540" s="16" t="str">
        <x:v>Обратная арматура</x:v>
      </x:c>
      <x:c r="E540" s="16" t="str">
        <x:v>ШТ</x:v>
      </x:c>
      <x:c r="F540" s="21" t="n">
        <x:v>1</x:v>
      </x:c>
      <x:c r="G540" s="17" t="n">
        <x:v>3258.8884</x:v>
      </x:c>
      <x:c r="H540" s="17" t="n">
        <x:f>G540*F540</x:f>
        <x:v>3258.8884</x:v>
      </x:c>
      <x:c r="I540" s="22" t="str">
        <x:f>HYPERLINK("https://etp-aktiv.ru/catalog/materialy/truboprovodnaya-armatura-i-komplektuyushchie/2000539726-V311/","Открыть позицию")</x:f>
        <x:v>Открыть позицию</x:v>
      </x:c>
    </x:row>
    <x:row r="541" ht="28" customHeight="1">
      <x:c r="A541" s="16" t="str">
        <x:v>Назаровская ГРЭС</x:v>
      </x:c>
      <x:c r="B541" s="16" t="str">
        <x:v>2000539728-V311</x:v>
      </x:c>
      <x:c r="C541" s="16" t="str">
        <x:v>КЛАПАН 19С38НЖ DN80 PN63 Р/П П/П А</x:v>
      </x:c>
      <x:c r="D541" s="16" t="str">
        <x:v>Обратная арматура</x:v>
      </x:c>
      <x:c r="E541" s="16" t="str">
        <x:v>ШТ</x:v>
      </x:c>
      <x:c r="F541" s="21" t="n">
        <x:v>3</x:v>
      </x:c>
      <x:c r="G541" s="17" t="n">
        <x:v>4566.6795999999995</x:v>
      </x:c>
      <x:c r="H541" s="17" t="n">
        <x:f>G541*F541</x:f>
        <x:v>13700.038799999998</x:v>
      </x:c>
      <x:c r="I541" s="22" t="str">
        <x:f>HYPERLINK("https://etp-aktiv.ru/catalog/materialy/truboprovodnaya-armatura-i-komplektuyushchie/2000539728-V311/","Открыть позицию")</x:f>
        <x:v>Открыть позицию</x:v>
      </x:c>
    </x:row>
    <x:row r="542" ht="28" customHeight="1">
      <x:c r="A542" s="16" t="str">
        <x:v>Назаровская ГРЭС</x:v>
      </x:c>
      <x:c r="B542" s="16" t="str">
        <x:v>2000539741-V311</x:v>
      </x:c>
      <x:c r="C542" s="16" t="str">
        <x:v>КЛАПАН 19С53НЖ DN300 PN25 Б/ПРИВ ФЛАНЦ А</x:v>
      </x:c>
      <x:c r="D542" s="16" t="str">
        <x:v>Обратная арматура</x:v>
      </x:c>
      <x:c r="E542" s="16" t="str">
        <x:v>ШТ</x:v>
      </x:c>
      <x:c r="F542" s="21" t="n">
        <x:v>2</x:v>
      </x:c>
      <x:c r="G542" s="17" t="n">
        <x:v>29703.962199999998</x:v>
      </x:c>
      <x:c r="H542" s="17" t="n">
        <x:f>G542*F542</x:f>
        <x:v>59407.924399999996</x:v>
      </x:c>
      <x:c r="I542" s="22" t="str">
        <x:f>HYPERLINK("https://etp-aktiv.ru/catalog/materialy/truboprovodnaya-armatura-i-komplektuyushchie/2000539741-V311/","Открыть позицию")</x:f>
        <x:v>Открыть позицию</x:v>
      </x:c>
    </x:row>
    <x:row r="543" ht="28" customHeight="1">
      <x:c r="A543" s="16" t="str">
        <x:v>Назаровская ГРЭС</x:v>
      </x:c>
      <x:c r="B543" s="16" t="str">
        <x:v>2000539743-V311</x:v>
      </x:c>
      <x:c r="C543" s="16" t="str">
        <x:v>КЛАПАН 19С53НЖ DN50 PN40 Р/П ФЛ А</x:v>
      </x:c>
      <x:c r="D543" s="16" t="str">
        <x:v>Обратная арматура</x:v>
      </x:c>
      <x:c r="E543" s="16" t="str">
        <x:v>ШТ</x:v>
      </x:c>
      <x:c r="F543" s="21" t="n">
        <x:v>2</x:v>
      </x:c>
      <x:c r="G543" s="17" t="n">
        <x:v>2780.8192</x:v>
      </x:c>
      <x:c r="H543" s="17" t="n">
        <x:f>G543*F543</x:f>
        <x:v>5561.6384</x:v>
      </x:c>
      <x:c r="I543" s="22" t="str">
        <x:f>HYPERLINK("https://etp-aktiv.ru/catalog/materialy/truboprovodnaya-armatura-i-komplektuyushchie/2000539743-V311/","Открыть позицию")</x:f>
        <x:v>Открыть позицию</x:v>
      </x:c>
    </x:row>
    <x:row r="544" ht="28" customHeight="1">
      <x:c r="A544" s="16" t="str">
        <x:v>Назаровская ГРЭС</x:v>
      </x:c>
      <x:c r="B544" s="16" t="str">
        <x:v>2000949179-V311</x:v>
      </x:c>
      <x:c r="C544" s="16" t="str">
        <x:v>КЛАПАН 19С76НЖ DN200 PN16 Б/П ФЛ КОФ</x:v>
      </x:c>
      <x:c r="D544" s="16" t="str">
        <x:v>Обратная арматура</x:v>
      </x:c>
      <x:c r="E544" s="16" t="str">
        <x:v>ШТ</x:v>
      </x:c>
      <x:c r="F544" s="21" t="n">
        <x:v>1</x:v>
      </x:c>
      <x:c r="G544" s="17" t="n">
        <x:v>53184.375</x:v>
      </x:c>
      <x:c r="H544" s="17" t="n">
        <x:f>G544*F544</x:f>
        <x:v>53184.375</x:v>
      </x:c>
      <x:c r="I544" s="22" t="str">
        <x:f>HYPERLINK("https://etp-aktiv.ru/catalog/materialy/truboprovodnaya-armatura-i-komplektuyushchie/2000949179-V311/","Открыть позицию")</x:f>
        <x:v>Открыть позицию</x:v>
      </x:c>
    </x:row>
    <x:row r="545" ht="28" customHeight="1">
      <x:c r="A545" s="16" t="str">
        <x:v>Назаровская ГРЭС</x:v>
      </x:c>
      <x:c r="B545" s="16" t="str">
        <x:v>2000539813-V311</x:v>
      </x:c>
      <x:c r="C545" s="16" t="str">
        <x:v>КЛАПАН 50-ЗМ-С-40-РУ 50 40 Р/П ФЛ А КОФ</x:v>
      </x:c>
      <x:c r="D545" s="16" t="str">
        <x:v>РегулирующАрматура</x:v>
      </x:c>
      <x:c r="E545" s="16" t="str">
        <x:v>ШТ</x:v>
      </x:c>
      <x:c r="F545" s="21" t="n">
        <x:v>2</x:v>
      </x:c>
      <x:c r="G545" s="17" t="n">
        <x:v>35101.5472</x:v>
      </x:c>
      <x:c r="H545" s="17" t="n">
        <x:f>G545*F545</x:f>
        <x:v>70203.0944</x:v>
      </x:c>
      <x:c r="I545" s="22" t="str">
        <x:f>HYPERLINK("https://etp-aktiv.ru/catalog/materialy/truboprovodnaya-armatura-i-komplektuyushchie/2000539813-V311/","Открыть позицию")</x:f>
        <x:v>Открыть позицию</x:v>
      </x:c>
    </x:row>
    <x:row r="546" ht="28" customHeight="1">
      <x:c r="A546" s="16" t="str">
        <x:v>Назаровская ГРЭС</x:v>
      </x:c>
      <x:c r="B546" s="16" t="str">
        <x:v>2000539328-V311</x:v>
      </x:c>
      <x:c r="C546" s="16" t="str">
        <x:v>КЛАПАН ЗАПОРНЫЙ 15С22НЖ 50/40 Б/ПР ФЛ А</x:v>
      </x:c>
      <x:c r="D546" s="16" t="str">
        <x:v>Задвиж/клапан стальн</x:v>
      </x:c>
      <x:c r="E546" s="16" t="str">
        <x:v>ШТ</x:v>
      </x:c>
      <x:c r="F546" s="21" t="n">
        <x:v>9</x:v>
      </x:c>
      <x:c r="G546" s="17" t="n">
        <x:v>5606.0098</x:v>
      </x:c>
      <x:c r="H546" s="17" t="n">
        <x:f>G546*F546</x:f>
        <x:v>50454.0882</x:v>
      </x:c>
      <x:c r="I546" s="22" t="str">
        <x:f>HYPERLINK("https://etp-aktiv.ru/catalog/materialy/truboprovodnaya-armatura-i-komplektuyushchie/2000539328-V311/","Открыть позицию")</x:f>
        <x:v>Открыть позицию</x:v>
      </x:c>
    </x:row>
    <x:row r="547" ht="28" customHeight="1">
      <x:c r="A547" s="16" t="str">
        <x:v>Назаровская ГРЭС</x:v>
      </x:c>
      <x:c r="B547" s="16" t="str">
        <x:v>2000802012-V311</x:v>
      </x:c>
      <x:c r="C547" s="16" t="str">
        <x:v>КЛАПАН ОБР VYC170-02 DN80 PN40 БП МФ КОФ</x:v>
      </x:c>
      <x:c r="D547" s="16" t="str">
        <x:v>Обратная арматура</x:v>
      </x:c>
      <x:c r="E547" s="16" t="str">
        <x:v>ШТ</x:v>
      </x:c>
      <x:c r="F547" s="21" t="n">
        <x:v>4</x:v>
      </x:c>
      <x:c r="G547" s="17" t="n">
        <x:v>14136.75</x:v>
      </x:c>
      <x:c r="H547" s="17" t="n">
        <x:f>G547*F547</x:f>
        <x:v>56547</x:v>
      </x:c>
      <x:c r="I547" s="22" t="str">
        <x:f>HYPERLINK("https://etp-aktiv.ru/catalog/materialy/truboprovodnaya-armatura-i-komplektuyushchie/2000802012-V311/","Открыть позицию")</x:f>
        <x:v>Открыть позицию</x:v>
      </x:c>
    </x:row>
    <x:row r="548" ht="28" customHeight="1">
      <x:c r="A548" s="16" t="str">
        <x:v>Назаровская ГРЭС</x:v>
      </x:c>
      <x:c r="B548" s="16" t="str">
        <x:v>2000688754-V311</x:v>
      </x:c>
      <x:c r="C548" s="16" t="str">
        <x:v>КЛАПАН ОБР КОШФ-25 DN25 PN10 БП ФЛАНЦ</x:v>
      </x:c>
      <x:c r="D548" s="16" t="str">
        <x:v>Обратная арматура</x:v>
      </x:c>
      <x:c r="E548" s="16" t="str">
        <x:v>ШТ</x:v>
      </x:c>
      <x:c r="F548" s="21" t="n">
        <x:v>3</x:v>
      </x:c>
      <x:c r="G548" s="17" t="n">
        <x:v>6556.4386</x:v>
      </x:c>
      <x:c r="H548" s="17" t="n">
        <x:f>G548*F548</x:f>
        <x:v>19669.3158</x:v>
      </x:c>
      <x:c r="I548" s="22" t="str">
        <x:f>HYPERLINK("https://etp-aktiv.ru/catalog/materialy/truboprovodnaya-armatura-i-komplektuyushchie/2000688754-V311/","Открыть позицию")</x:f>
        <x:v>Открыть позицию</x:v>
      </x:c>
    </x:row>
    <x:row r="549" ht="28" customHeight="1">
      <x:c r="A549" s="16" t="str">
        <x:v>Назаровская ГРЭС</x:v>
      </x:c>
      <x:c r="B549" s="16" t="str">
        <x:v>2000559169-V311</x:v>
      </x:c>
      <x:c r="C549" s="16" t="str">
        <x:v>КОЛЕНО 15 133*17*1155 12Х1МФФ К-215351</x:v>
      </x:c>
      <x:c r="D549" s="16" t="str">
        <x:v>Труб/элем ВД</x:v>
      </x:c>
      <x:c r="E549" s="16" t="str">
        <x:v>ШТ</x:v>
      </x:c>
      <x:c r="F549" s="21" t="n">
        <x:v>6</x:v>
      </x:c>
      <x:c r="G549" s="17" t="n">
        <x:v>41102.946800000005</x:v>
      </x:c>
      <x:c r="H549" s="17" t="n">
        <x:f>G549*F549</x:f>
        <x:v>246617.68080000003</x:v>
      </x:c>
      <x:c r="I549" s="22" t="str">
        <x:f>HYPERLINK("https://etp-aktiv.ru/catalog/materialy/truboprovody/2000559169-V311/","Открыть позицию")</x:f>
        <x:v>Открыть позицию</x:v>
      </x:c>
    </x:row>
    <x:row r="550" ht="28" customHeight="1">
      <x:c r="A550" s="16" t="str">
        <x:v>Назаровская ГРЭС</x:v>
      </x:c>
      <x:c r="B550" s="16" t="str">
        <x:v>2000559249-V311</x:v>
      </x:c>
      <x:c r="C550" s="16" t="str">
        <x:v>КОЛЕНО 90° 300 12 ОСТ108.327.01-82</x:v>
      </x:c>
      <x:c r="D550" s="16" t="str">
        <x:v>Труб/элем ВД</x:v>
      </x:c>
      <x:c r="E550" s="16" t="str">
        <x:v>ШТ</x:v>
      </x:c>
      <x:c r="F550" s="21" t="n">
        <x:v>1</x:v>
      </x:c>
      <x:c r="G550" s="17" t="n">
        <x:v>189319.905</x:v>
      </x:c>
      <x:c r="H550" s="17" t="n">
        <x:f>G550*F550</x:f>
        <x:v>189319.905</x:v>
      </x:c>
      <x:c r="I550" s="22" t="str">
        <x:f>HYPERLINK("https://etp-aktiv.ru/catalog/materialy/truboprovody/2000559249-V311/","Открыть позицию")</x:f>
        <x:v>Открыть позицию</x:v>
      </x:c>
    </x:row>
    <x:row r="551" ht="28" customHeight="1">
      <x:c r="A551" s="16" t="str">
        <x:v>Назаровская ГРЭС</x:v>
      </x:c>
      <x:c r="B551" s="16" t="str">
        <x:v>2000750368-V311</x:v>
      </x:c>
      <x:c r="C551" s="16" t="str">
        <x:v>КОМПЕНСАТОР КТ.1706087.15.00ВО 1000*2000</x:v>
      </x:c>
      <x:c r="D551" s="16" t="str">
        <x:v>Компенсаторы</x:v>
      </x:c>
      <x:c r="E551" s="16" t="str">
        <x:v>ШТ</x:v>
      </x:c>
      <x:c r="F551" s="21" t="n">
        <x:v>1</x:v>
      </x:c>
      <x:c r="G551" s="17" t="n">
        <x:v>331350.67019999993</x:v>
      </x:c>
      <x:c r="H551" s="17" t="n">
        <x:f>G551*F551</x:f>
        <x:v>331350.67019999993</x:v>
      </x:c>
      <x:c r="I551" s="22" t="str">
        <x:f>HYPERLINK("https://etp-aktiv.ru/catalog/materialy/truboprovody/2000750368-V311/","Открыть позицию")</x:f>
        <x:v>Открыть позицию</x:v>
      </x:c>
    </x:row>
    <x:row r="552" ht="28" customHeight="1">
      <x:c r="A552" s="16" t="str">
        <x:v>Назаровская ГРЭС</x:v>
      </x:c>
      <x:c r="B552" s="16" t="str">
        <x:v>2000535017-V311</x:v>
      </x:c>
      <x:c r="C552" s="16" t="str">
        <x:v>КОМПЕНСАТОР ЛИНЗОВЫЙ 500-1 07 ПГВУ 242</x:v>
      </x:c>
      <x:c r="D552" s="16" t="str">
        <x:v>Компенсаторы</x:v>
      </x:c>
      <x:c r="E552" s="16" t="str">
        <x:v>ШТ</x:v>
      </x:c>
      <x:c r="F552" s="21" t="n">
        <x:v>4</x:v>
      </x:c>
      <x:c r="G552" s="17" t="n">
        <x:v>3121.0772</x:v>
      </x:c>
      <x:c r="H552" s="17" t="n">
        <x:f>G552*F552</x:f>
        <x:v>12484.3088</x:v>
      </x:c>
      <x:c r="I552" s="22" t="str">
        <x:f>HYPERLINK("https://etp-aktiv.ru/catalog/materialy/truboprovody/2000535017-V311/","Открыть позицию")</x:f>
        <x:v>Открыть позицию</x:v>
      </x:c>
    </x:row>
    <x:row r="553" ht="28" customHeight="1">
      <x:c r="A553" s="16" t="str">
        <x:v>Назаровская ГРЭС</x:v>
      </x:c>
      <x:c r="B553" s="16" t="str">
        <x:v>2000558538-V311</x:v>
      </x:c>
      <x:c r="C553" s="16" t="str">
        <x:v>КРАН 09Г2С ПП ВОДА 200° ФЛ 40/16 РП A</x:v>
      </x:c>
      <x:c r="D553" s="16" t="str">
        <x:v>Краны шаров.стальн</x:v>
      </x:c>
      <x:c r="E553" s="16" t="str">
        <x:v>ШТ</x:v>
      </x:c>
      <x:c r="F553" s="21" t="n">
        <x:v>3</x:v>
      </x:c>
      <x:c r="G553" s="17" t="n">
        <x:v>686.1524</x:v>
      </x:c>
      <x:c r="H553" s="17" t="n">
        <x:f>G553*F553</x:f>
        <x:v>2058.4572</x:v>
      </x:c>
      <x:c r="I553" s="22" t="str">
        <x:f>HYPERLINK("https://etp-aktiv.ru/catalog/materialy/truboprovodnaya-armatura-i-komplektuyushchie/2000558538-V311/","Открыть позицию")</x:f>
        <x:v>Открыть позицию</x:v>
      </x:c>
    </x:row>
    <x:row r="554" ht="28" customHeight="1">
      <x:c r="A554" s="16" t="str">
        <x:v>Назаровская ГРЭС</x:v>
      </x:c>
      <x:c r="B554" s="16" t="str">
        <x:v>2000582713-V311</x:v>
      </x:c>
      <x:c r="C554" s="16" t="str">
        <x:v>КРАН 11НЖ01ПМ DУ10 PУ16 РП МЕЖФЛ А</x:v>
      </x:c>
      <x:c r="D554" s="16" t="str">
        <x:v>@Трубопр армат промы</x:v>
      </x:c>
      <x:c r="E554" s="16" t="str">
        <x:v>ШТ</x:v>
      </x:c>
      <x:c r="F554" s="21" t="n">
        <x:v>13</x:v>
      </x:c>
      <x:c r="G554" s="17" t="n">
        <x:v>556.7470000000001</x:v>
      </x:c>
      <x:c r="H554" s="17" t="n">
        <x:f>G554*F554</x:f>
        <x:v>7237.711000000001</x:v>
      </x:c>
      <x:c r="I554" s="22" t="str">
        <x:f>HYPERLINK("https://etp-aktiv.ru/catalog/materialy/truboprovodnaya-armatura-i-komplektuyushchie/2000582713-V311/","Открыть позицию")</x:f>
        <x:v>Открыть позицию</x:v>
      </x:c>
    </x:row>
    <x:row r="555" ht="28" customHeight="1">
      <x:c r="A555" s="16" t="str">
        <x:v>Назаровская ГРЭС</x:v>
      </x:c>
      <x:c r="B555" s="16" t="str">
        <x:v>2000582843-V311</x:v>
      </x:c>
      <x:c r="C555" s="16" t="str">
        <x:v>КРАН FIP VKDIV020E DУ90 PУ16 РП ФЛ А</x:v>
      </x:c>
      <x:c r="D555" s="16" t="str">
        <x:v>@Трубопр армат промы</x:v>
      </x:c>
      <x:c r="E555" s="16" t="str">
        <x:v>ШТ</x:v>
      </x:c>
      <x:c r="F555" s="21" t="n">
        <x:v>1</x:v>
      </x:c>
      <x:c r="G555" s="17" t="n">
        <x:v>24961.2244</x:v>
      </x:c>
      <x:c r="H555" s="17" t="n">
        <x:f>G555*F555</x:f>
        <x:v>24961.2244</x:v>
      </x:c>
      <x:c r="I555" s="22" t="str">
        <x:f>HYPERLINK("https://etp-aktiv.ru/catalog/materialy/truboprovodnaya-armatura-i-komplektuyushchie/2000582843-V311/","Открыть позицию")</x:f>
        <x:v>Открыть позицию</x:v>
      </x:c>
    </x:row>
    <x:row r="556" ht="28" customHeight="1">
      <x:c r="A556" s="16" t="str">
        <x:v>Назаровская ГРЭС</x:v>
      </x:c>
      <x:c r="B556" s="16" t="str">
        <x:v>2000568121-V311</x:v>
      </x:c>
      <x:c r="C556" s="16" t="str">
        <x:v>КРАН СТ20 БЫСТР НЗ МАЗУТ 250° ПП 50/40 Э</x:v>
      </x:c>
      <x:c r="D556" s="16" t="str">
        <x:v>Краны шаров.стальн</x:v>
      </x:c>
      <x:c r="E556" s="16" t="str">
        <x:v>ШТ</x:v>
      </x:c>
      <x:c r="F556" s="21" t="n">
        <x:v>1</x:v>
      </x:c>
      <x:c r="G556" s="17" t="n">
        <x:v>128968.579</x:v>
      </x:c>
      <x:c r="H556" s="17" t="n">
        <x:f>G556*F556</x:f>
        <x:v>128968.579</x:v>
      </x:c>
      <x:c r="I556" s="22" t="str">
        <x:f>HYPERLINK("https://etp-aktiv.ru/catalog/materialy/truboprovodnaya-armatura-i-komplektuyushchie/2000568121-V311/","Открыть позицию")</x:f>
        <x:v>Открыть позицию</x:v>
      </x:c>
    </x:row>
    <x:row r="557" ht="28" customHeight="1">
      <x:c r="A557" s="16" t="str">
        <x:v>Назаровская ГРЭС</x:v>
      </x:c>
      <x:c r="B557" s="16" t="str">
        <x:v>2000540134-V311</x:v>
      </x:c>
      <x:c r="C557" s="16" t="str">
        <x:v>КРАН СТ20 ПП ВОДА 200° М 50/40 РП A</x:v>
      </x:c>
      <x:c r="D557" s="16" t="str">
        <x:v>Краны шаров.стальн</x:v>
      </x:c>
      <x:c r="E557" s="16" t="str">
        <x:v>ШТ</x:v>
      </x:c>
      <x:c r="F557" s="21" t="n">
        <x:v>16</x:v>
      </x:c>
      <x:c r="G557" s="17" t="n">
        <x:v>1212.9484</x:v>
      </x:c>
      <x:c r="H557" s="17" t="n">
        <x:f>G557*F557</x:f>
        <x:v>19407.1744</x:v>
      </x:c>
      <x:c r="I557" s="22" t="str">
        <x:f>HYPERLINK("https://etp-aktiv.ru/catalog/materialy/truboprovodnaya-armatura-i-komplektuyushchie/2000540134-V311/","Открыть позицию")</x:f>
        <x:v>Открыть позицию</x:v>
      </x:c>
    </x:row>
    <x:row r="558" ht="28" customHeight="1">
      <x:c r="A558" s="16" t="str">
        <x:v>Назаровская ГРЭС</x:v>
      </x:c>
      <x:c r="B558" s="16" t="str">
        <x:v>2000540148-V311</x:v>
      </x:c>
      <x:c r="C558" s="16" t="str">
        <x:v>КРАН СТ20 ПП ВОДА 200° ПП 15/40 РП A</x:v>
      </x:c>
      <x:c r="D558" s="16" t="str">
        <x:v>Краны шаров.стальн</x:v>
      </x:c>
      <x:c r="E558" s="16" t="str">
        <x:v>ШТ</x:v>
      </x:c>
      <x:c r="F558" s="21" t="n">
        <x:v>3</x:v>
      </x:c>
      <x:c r="G558" s="17" t="n">
        <x:v>214.87859999999998</x:v>
      </x:c>
      <x:c r="H558" s="17" t="n">
        <x:f>G558*F558</x:f>
        <x:v>644.6357999999999</x:v>
      </x:c>
      <x:c r="I558" s="22" t="str">
        <x:f>HYPERLINK("https://etp-aktiv.ru/catalog/materialy/truboprovodnaya-armatura-i-komplektuyushchie/2000540148-V311/","Открыть позицию")</x:f>
        <x:v>Открыть позицию</x:v>
      </x:c>
    </x:row>
    <x:row r="559" ht="28" customHeight="1">
      <x:c r="A559" s="16" t="str">
        <x:v>Назаровская ГРЭС</x:v>
      </x:c>
      <x:c r="B559" s="16" t="str">
        <x:v>2000540314-V311</x:v>
      </x:c>
      <x:c r="C559" s="16" t="str">
        <x:v>КРАН СТ20 СП ВОДА 200° ПП 80/40 РП A</x:v>
      </x:c>
      <x:c r="D559" s="16" t="str">
        <x:v>Краны шаров.стальн</x:v>
      </x:c>
      <x:c r="E559" s="16" t="str">
        <x:v>ШТ</x:v>
      </x:c>
      <x:c r="F559" s="21" t="n">
        <x:v>11</x:v>
      </x:c>
      <x:c r="G559" s="17" t="n">
        <x:v>1878.8121999999998</x:v>
      </x:c>
      <x:c r="H559" s="17" t="n">
        <x:f>G559*F559</x:f>
        <x:v>20666.9342</x:v>
      </x:c>
      <x:c r="I559" s="22" t="str">
        <x:f>HYPERLINK("https://etp-aktiv.ru/catalog/materialy/truboprovodnaya-armatura-i-komplektuyushchie/2000540314-V311/","Открыть позицию")</x:f>
        <x:v>Открыть позицию</x:v>
      </x:c>
    </x:row>
    <x:row r="560" ht="28" customHeight="1">
      <x:c r="A560" s="16" t="str">
        <x:v>Назаровская ГРЭС</x:v>
      </x:c>
      <x:c r="B560" s="16" t="str">
        <x:v>2000540327-V311</x:v>
      </x:c>
      <x:c r="C560" s="16" t="str">
        <x:v>КРАН СТ20 СП ВОДА 200° ФЛ 20/40 РП A</x:v>
      </x:c>
      <x:c r="D560" s="16" t="str">
        <x:v>Краны шаров.стальн</x:v>
      </x:c>
      <x:c r="E560" s="16" t="str">
        <x:v>ШТ</x:v>
      </x:c>
      <x:c r="F560" s="21" t="n">
        <x:v>4</x:v>
      </x:c>
      <x:c r="G560" s="17" t="n">
        <x:v>353.739</x:v>
      </x:c>
      <x:c r="H560" s="17" t="n">
        <x:f>G560*F560</x:f>
        <x:v>1414.956</x:v>
      </x:c>
      <x:c r="I560" s="22" t="str">
        <x:f>HYPERLINK("https://etp-aktiv.ru/catalog/materialy/truboprovodnaya-armatura-i-komplektuyushchie/2000540327-V311/","Открыть позицию")</x:f>
        <x:v>Открыть позицию</x:v>
      </x:c>
    </x:row>
    <x:row r="561" ht="28" customHeight="1">
      <x:c r="A561" s="16" t="str">
        <x:v>Назаровская ГРЭС</x:v>
      </x:c>
      <x:c r="B561" s="16" t="str">
        <x:v>2000789497-V311</x:v>
      </x:c>
      <x:c r="C561" s="16" t="str">
        <x:v>КРАН ШАР ПП СТ20 АГР СРЕД МУФ 15/16 РП</x:v>
      </x:c>
      <x:c r="D561" s="16" t="str">
        <x:v>Краны шаров.стальн</x:v>
      </x:c>
      <x:c r="E561" s="16" t="str">
        <x:v>ШТ</x:v>
      </x:c>
      <x:c r="F561" s="21" t="n">
        <x:v>26</x:v>
      </x:c>
      <x:c r="G561" s="17" t="n">
        <x:v>5863.698200000001</x:v>
      </x:c>
      <x:c r="H561" s="17" t="n">
        <x:f>G561*F561</x:f>
        <x:v>152456.15320000003</x:v>
      </x:c>
      <x:c r="I561" s="22" t="str">
        <x:f>HYPERLINK("https://etp-aktiv.ru/catalog/materialy/truboprovodnaya-armatura-i-komplektuyushchie/2000789497-V311/","Открыть позицию")</x:f>
        <x:v>Открыть позицию</x:v>
      </x:c>
    </x:row>
    <x:row r="562" ht="28" customHeight="1">
      <x:c r="A562" s="16" t="str">
        <x:v>Назаровская ГРЭС</x:v>
      </x:c>
      <x:c r="B562" s="16" t="str">
        <x:v>2000914876-V311</x:v>
      </x:c>
      <x:c r="C562" s="16" t="str">
        <x:v>КРАН ШАР ПП СТ20 МАСЛО ПП DN20 PN16 РП</x:v>
      </x:c>
      <x:c r="D562" s="16" t="str">
        <x:v>Краны шаров.стальн</x:v>
      </x:c>
      <x:c r="E562" s="16" t="str">
        <x:v>ШТ</x:v>
      </x:c>
      <x:c r="F562" s="21" t="n">
        <x:v>4</x:v>
      </x:c>
      <x:c r="G562" s="17" t="n">
        <x:v>2668.75</x:v>
      </x:c>
      <x:c r="H562" s="17" t="n">
        <x:f>G562*F562</x:f>
        <x:v>10675</x:v>
      </x:c>
      <x:c r="I562" s="22" t="str">
        <x:f>HYPERLINK("https://etp-aktiv.ru/catalog/materialy/truboprovodnaya-armatura-i-komplektuyushchie/2000914876-V311/","Открыть позицию")</x:f>
        <x:v>Открыть позицию</x:v>
      </x:c>
    </x:row>
    <x:row r="563" ht="28" customHeight="1">
      <x:c r="A563" s="16" t="str">
        <x:v>Назаровская ГРЭС</x:v>
      </x:c>
      <x:c r="B563" s="16" t="str">
        <x:v>2000802009-V311</x:v>
      </x:c>
      <x:c r="C563" s="16" t="str">
        <x:v>КРАН ШАР ПП СТ20 МАСЛО ПП DN80 PN16 РП</x:v>
      </x:c>
      <x:c r="D563" s="16" t="str">
        <x:v>Краны шаров.стальн</x:v>
      </x:c>
      <x:c r="E563" s="16" t="str">
        <x:v>ШТ</x:v>
      </x:c>
      <x:c r="F563" s="21" t="n">
        <x:v>17</x:v>
      </x:c>
      <x:c r="G563" s="17" t="n">
        <x:v>7015.0854</x:v>
      </x:c>
      <x:c r="H563" s="17" t="n">
        <x:f>G563*F563</x:f>
        <x:v>119256.4518</x:v>
      </x:c>
      <x:c r="I563" s="22" t="str">
        <x:f>HYPERLINK("https://etp-aktiv.ru/catalog/materialy/truboprovodnaya-armatura-i-komplektuyushchie/2000802009-V311/","Открыть позицию")</x:f>
        <x:v>Открыть позицию</x:v>
      </x:c>
    </x:row>
    <x:row r="564" ht="28" customHeight="1">
      <x:c r="A564" s="16" t="str">
        <x:v>Назаровская ГРЭС</x:v>
      </x:c>
      <x:c r="B564" s="16" t="str">
        <x:v>2000835546-V311</x:v>
      </x:c>
      <x:c r="C564" s="16" t="str">
        <x:v>КРАН ШАРОВОЙ МУФТОВЫЙ 050 ПВХ FIP</x:v>
      </x:c>
      <x:c r="D564" s="16" t="str">
        <x:v>Фитинги труб полимер</x:v>
      </x:c>
      <x:c r="E564" s="16" t="str">
        <x:v>ШТ</x:v>
      </x:c>
      <x:c r="F564" s="21" t="n">
        <x:v>7</x:v>
      </x:c>
      <x:c r="G564" s="17" t="n">
        <x:v>3717.1936</x:v>
      </x:c>
      <x:c r="H564" s="17" t="n">
        <x:f>G564*F564</x:f>
        <x:v>26020.3552</x:v>
      </x:c>
      <x:c r="I564" s="22" t="str">
        <x:f>HYPERLINK("https://etp-aktiv.ru/catalog/materialy/truboprovody/2000835546-V311/","Открыть позицию")</x:f>
        <x:v>Открыть позицию</x:v>
      </x:c>
    </x:row>
    <x:row r="565" ht="28" customHeight="1">
      <x:c r="A565" s="16" t="str">
        <x:v>Назаровская ГРЭС</x:v>
      </x:c>
      <x:c r="B565" s="16" t="str">
        <x:v>2000557781-V311</x:v>
      </x:c>
      <x:c r="C565" s="16" t="str">
        <x:v>КРАН ШАРОВОЙ ПВХ DN20 PN16 VXELV034E</x:v>
      </x:c>
      <x:c r="D565" s="16" t="str">
        <x:v>Фитинги труб полимер</x:v>
      </x:c>
      <x:c r="E565" s="16" t="str">
        <x:v>ШТ</x:v>
      </x:c>
      <x:c r="F565" s="21" t="n">
        <x:v>13</x:v>
      </x:c>
      <x:c r="G565" s="17" t="n">
        <x:v>28.535800000000002</x:v>
      </x:c>
      <x:c r="H565" s="17" t="n">
        <x:f>G565*F565</x:f>
        <x:v>370.96540000000005</x:v>
      </x:c>
      <x:c r="I565" s="22" t="str">
        <x:f>HYPERLINK("https://etp-aktiv.ru/catalog/materialy/truboprovody/2000557781-V311/","Открыть позицию")</x:f>
        <x:v>Открыть позицию</x:v>
      </x:c>
    </x:row>
    <x:row r="566" ht="28" customHeight="1">
      <x:c r="A566" s="16" t="str">
        <x:v>Назаровская ГРЭС</x:v>
      </x:c>
      <x:c r="B566" s="16" t="str">
        <x:v>2000958890-V311</x:v>
      </x:c>
      <x:c r="C566" s="16" t="str">
        <x:v>КРАН ШАРОВЫЙ 3Х СТ20 ГАЗ ФЛ DN25 PN16 РП</x:v>
      </x:c>
      <x:c r="D566" s="16" t="str">
        <x:v>Краны шаров.стальн</x:v>
      </x:c>
      <x:c r="E566" s="16" t="str">
        <x:v>ШТ</x:v>
      </x:c>
      <x:c r="F566" s="21" t="n">
        <x:v>2</x:v>
      </x:c>
      <x:c r="G566" s="17" t="n">
        <x:v>14298.0218</x:v>
      </x:c>
      <x:c r="H566" s="17" t="n">
        <x:f>G566*F566</x:f>
        <x:v>28596.0436</x:v>
      </x:c>
      <x:c r="I566" s="22" t="str">
        <x:f>HYPERLINK("https://etp-aktiv.ru/catalog/materialy/truboprovodnaya-armatura-i-komplektuyushchie/2000958890-V311/","Открыть позицию")</x:f>
        <x:v>Открыть позицию</x:v>
      </x:c>
    </x:row>
    <x:row r="567" ht="28" customHeight="1">
      <x:c r="A567" s="16" t="str">
        <x:v>Назаровская ГРЭС</x:v>
      </x:c>
      <x:c r="B567" s="16" t="str">
        <x:v>2000958891-V311</x:v>
      </x:c>
      <x:c r="C567" s="16" t="str">
        <x:v>КРАН ШАРОВЫЙ 3Х СТ20 ГАЗ ФЛ DN32 PN16 РП</x:v>
      </x:c>
      <x:c r="D567" s="16" t="str">
        <x:v>Краны шаров.стальн</x:v>
      </x:c>
      <x:c r="E567" s="16" t="str">
        <x:v>ШТ</x:v>
      </x:c>
      <x:c r="F567" s="21" t="n">
        <x:v>8</x:v>
      </x:c>
      <x:c r="G567" s="17" t="n">
        <x:v>24018.75</x:v>
      </x:c>
      <x:c r="H567" s="17" t="n">
        <x:f>G567*F567</x:f>
        <x:v>192150</x:v>
      </x:c>
      <x:c r="I567" s="22" t="str">
        <x:f>HYPERLINK("https://etp-aktiv.ru/catalog/materialy/truboprovodnaya-armatura-i-komplektuyushchie/2000958891-V311/","Открыть позицию")</x:f>
        <x:v>Открыть позицию</x:v>
      </x:c>
    </x:row>
    <x:row r="568" ht="28" customHeight="1">
      <x:c r="A568" s="16" t="str">
        <x:v>Назаровская ГРЭС</x:v>
      </x:c>
      <x:c r="B568" s="16" t="str">
        <x:v>2000841871-V311</x:v>
      </x:c>
      <x:c r="C568" s="16" t="str">
        <x:v>МУФТА EN-GJS400 DN150 PN16 SYNOFLEX 7974</x:v>
      </x:c>
      <x:c r="D568" s="16" t="str">
        <x:v>Детали фасонные</x:v>
      </x:c>
      <x:c r="E568" s="16" t="str">
        <x:v>ШТ</x:v>
      </x:c>
      <x:c r="F568" s="21" t="n">
        <x:v>1</x:v>
      </x:c>
      <x:c r="G568" s="17" t="n">
        <x:v>56386.875</x:v>
      </x:c>
      <x:c r="H568" s="17" t="n">
        <x:f>G568*F568</x:f>
        <x:v>56386.875</x:v>
      </x:c>
      <x:c r="I568" s="22" t="str">
        <x:f>HYPERLINK("https://etp-aktiv.ru/catalog/materialy/truboprovody/2000841871-V311/","Открыть позицию")</x:f>
        <x:v>Открыть позицию</x:v>
      </x:c>
    </x:row>
    <x:row r="569" ht="28" customHeight="1">
      <x:c r="A569" s="16" t="str">
        <x:v>Назаровская ГРЭС</x:v>
      </x:c>
      <x:c r="B569" s="16" t="str">
        <x:v>2000559370-V311</x:v>
      </x:c>
      <x:c r="C569" s="16" t="str">
        <x:v>МУФТА PP-R 40 PA12014P</x:v>
      </x:c>
      <x:c r="D569" s="16" t="str">
        <x:v>Фитинги труб полимер</x:v>
      </x:c>
      <x:c r="E569" s="16" t="str">
        <x:v>ШТ</x:v>
      </x:c>
      <x:c r="F569" s="21" t="n">
        <x:v>20</x:v>
      </x:c>
      <x:c r="G569" s="17" t="n">
        <x:v>17.153200000000002</x:v>
      </x:c>
      <x:c r="H569" s="17" t="n">
        <x:f>G569*F569</x:f>
        <x:v>343.064</x:v>
      </x:c>
      <x:c r="I569" s="22" t="str">
        <x:f>HYPERLINK("https://etp-aktiv.ru/catalog/materialy/truboprovody/2000559370-V311/","Открыть позицию")</x:f>
        <x:v>Открыть позицию</x:v>
      </x:c>
    </x:row>
    <x:row r="570" ht="28" customHeight="1">
      <x:c r="A570" s="16" t="str">
        <x:v>Назаровская ГРЭС</x:v>
      </x:c>
      <x:c r="B570" s="16" t="str">
        <x:v>2000873584-V311</x:v>
      </x:c>
      <x:c r="C570" s="16" t="str">
        <x:v>МУФТА ТРУБА-ТРУБА D25 DKC 6110-25N</x:v>
      </x:c>
      <x:c r="D570" s="16" t="str">
        <x:v>Монтажн изд д/кабел</x:v>
      </x:c>
      <x:c r="E570" s="16" t="str">
        <x:v>ШТ</x:v>
      </x:c>
      <x:c r="F570" s="21" t="n">
        <x:v>73</x:v>
      </x:c>
      <x:c r="G570" s="17" t="n">
        <x:v>44.042</x:v>
      </x:c>
      <x:c r="H570" s="17" t="n">
        <x:f>G570*F570</x:f>
        <x:v>3215.0660000000003</x:v>
      </x:c>
      <x:c r="I570" s="22" t="str">
        <x:f>HYPERLINK("https://etp-aktiv.ru/catalog/materialy/ehlektrotekhnicheskie-materialy/2000873584-V311/","Открыть позицию")</x:f>
        <x:v>Открыть позицию</x:v>
      </x:c>
    </x:row>
    <x:row r="571" ht="28" customHeight="1">
      <x:c r="A571" s="16" t="str">
        <x:v>Назаровская ГРЭС</x:v>
      </x:c>
      <x:c r="B571" s="16" t="str">
        <x:v>2000748193-V311</x:v>
      </x:c>
      <x:c r="C571" s="16" t="str">
        <x:v>НАКЛАДКА 2-31 ОСТ34-10-733-93</x:v>
      </x:c>
      <x:c r="D571" s="16" t="str">
        <x:v>Система опорн-подвес</x:v>
      </x:c>
      <x:c r="E571" s="16" t="str">
        <x:v>ШТ</x:v>
      </x:c>
      <x:c r="F571" s="21" t="n">
        <x:v>3</x:v>
      </x:c>
      <x:c r="G571" s="17" t="n">
        <x:v>844.0935999999999</x:v>
      </x:c>
      <x:c r="H571" s="17" t="n">
        <x:f>G571*F571</x:f>
        <x:v>2532.2807999999995</x:v>
      </x:c>
      <x:c r="I571" s="22" t="str">
        <x:f>HYPERLINK("https://etp-aktiv.ru/catalog/materialy/truboprovody/2000748193-V311/","Открыть позицию")</x:f>
        <x:v>Открыть позицию</x:v>
      </x:c>
    </x:row>
    <x:row r="572" ht="28" customHeight="1">
      <x:c r="A572" s="16" t="str">
        <x:v>Назаровская ГРЭС</x:v>
      </x:c>
      <x:c r="B572" s="16" t="str">
        <x:v>2000553081-V311</x:v>
      </x:c>
      <x:c r="C572" s="16" t="str">
        <x:v>ОПОРА 108-04 ОСТ34-10-622-93</x:v>
      </x:c>
      <x:c r="D572" s="16" t="str">
        <x:v>Система опорн-подвес</x:v>
      </x:c>
      <x:c r="E572" s="16" t="str">
        <x:v>ШТ</x:v>
      </x:c>
      <x:c r="F572" s="21" t="n">
        <x:v>1</x:v>
      </x:c>
      <x:c r="G572" s="17" t="n">
        <x:v>248.1968</x:v>
      </x:c>
      <x:c r="H572" s="17" t="n">
        <x:f>G572*F572</x:f>
        <x:v>248.1968</x:v>
      </x:c>
      <x:c r="I572" s="22" t="str">
        <x:f>HYPERLINK("https://etp-aktiv.ru/catalog/materialy/truboprovody/2000553081-V311/","Открыть позицию")</x:f>
        <x:v>Открыть позицию</x:v>
      </x:c>
    </x:row>
    <x:row r="573" ht="28" customHeight="1">
      <x:c r="A573" s="16" t="str">
        <x:v>Назаровская ГРЭС</x:v>
      </x:c>
      <x:c r="B573" s="16" t="str">
        <x:v>2000553123-V311</x:v>
      </x:c>
      <x:c r="C573" s="16" t="str">
        <x:v>ОПОРА 57У 01 ОСТ34-10-617-93</x:v>
      </x:c>
      <x:c r="D573" s="16" t="str">
        <x:v>Система опорн-подвес</x:v>
      </x:c>
      <x:c r="E573" s="16" t="str">
        <x:v>ШТ</x:v>
      </x:c>
      <x:c r="F573" s="21" t="n">
        <x:v>7</x:v>
      </x:c>
      <x:c r="G573" s="17" t="n">
        <x:v>202.4468</x:v>
      </x:c>
      <x:c r="H573" s="17" t="n">
        <x:f>G573*F573</x:f>
        <x:v>1417.1276</x:v>
      </x:c>
      <x:c r="I573" s="22" t="str">
        <x:f>HYPERLINK("https://etp-aktiv.ru/catalog/materialy/truboprovody/2000553123-V311/","Открыть позицию")</x:f>
        <x:v>Открыть позицию</x:v>
      </x:c>
    </x:row>
    <x:row r="574" ht="28" customHeight="1">
      <x:c r="A574" s="16" t="str">
        <x:v>Назаровская ГРЭС</x:v>
      </x:c>
      <x:c r="B574" s="16" t="str">
        <x:v>2000553189-V311</x:v>
      </x:c>
      <x:c r="C574" s="16" t="str">
        <x:v>ОПОРА DН325 ТС624.000-036 С.5.903-13 В.8</x:v>
      </x:c>
      <x:c r="D574" s="16" t="str">
        <x:v>Система опорн-подвес</x:v>
      </x:c>
      <x:c r="E574" s="16" t="str">
        <x:v>ШТ</x:v>
      </x:c>
      <x:c r="F574" s="21" t="n">
        <x:v>2</x:v>
      </x:c>
      <x:c r="G574" s="17" t="n">
        <x:v>511.36299999999994</x:v>
      </x:c>
      <x:c r="H574" s="17" t="n">
        <x:f>G574*F574</x:f>
        <x:v>1022.7259999999999</x:v>
      </x:c>
      <x:c r="I574" s="22" t="str">
        <x:f>HYPERLINK("https://etp-aktiv.ru/catalog/materialy/truboprovody/2000553189-V311/","Открыть позицию")</x:f>
        <x:v>Открыть позицию</x:v>
      </x:c>
    </x:row>
    <x:row r="575" ht="28" customHeight="1">
      <x:c r="A575" s="16" t="str">
        <x:v>Назаровская ГРЭС</x:v>
      </x:c>
      <x:c r="B575" s="16" t="str">
        <x:v>2000211820-V311</x:v>
      </x:c>
      <x:c r="C575" s="16" t="str">
        <x:v>ОПОРА ПОДВИЖНАЯ 57 Т14.04.000СБ</x:v>
      </x:c>
      <x:c r="D575" s="16" t="str">
        <x:v>Система опорн-подвес</x:v>
      </x:c>
      <x:c r="E575" s="16" t="str">
        <x:v>ШТ</x:v>
      </x:c>
      <x:c r="F575" s="21" t="n">
        <x:v>12</x:v>
      </x:c>
      <x:c r="G575" s="17" t="n">
        <x:v>132.0772</x:v>
      </x:c>
      <x:c r="H575" s="17" t="n">
        <x:f>G575*F575</x:f>
        <x:v>1584.9264</x:v>
      </x:c>
      <x:c r="I575" s="22" t="str">
        <x:f>HYPERLINK("https://etp-aktiv.ru/catalog/materialy/truboprovody/2000211820-V311/","Открыть позицию")</x:f>
        <x:v>Открыть позицию</x:v>
      </x:c>
    </x:row>
    <x:row r="576" ht="28" customHeight="1">
      <x:c r="A576" s="16" t="str">
        <x:v>Назаровская ГРЭС</x:v>
      </x:c>
      <x:c r="B576" s="16" t="str">
        <x:v>2000559171-V311</x:v>
      </x:c>
      <x:c r="C576" s="16" t="str">
        <x:v>ОТВОД 25° 133*17-802 12Х1МФ 339733-02</x:v>
      </x:c>
      <x:c r="D576" s="16" t="str">
        <x:v>Труб/элем ВД</x:v>
      </x:c>
      <x:c r="E576" s="16" t="str">
        <x:v>ШТ</x:v>
      </x:c>
      <x:c r="F576" s="21" t="n">
        <x:v>6</x:v>
      </x:c>
      <x:c r="G576" s="17" t="n">
        <x:v>4464.150799999999</x:v>
      </x:c>
      <x:c r="H576" s="17" t="n">
        <x:f>G576*F576</x:f>
        <x:v>26784.904799999997</x:v>
      </x:c>
      <x:c r="I576" s="22" t="str">
        <x:f>HYPERLINK("https://etp-aktiv.ru/catalog/materialy/truboprovody/2000559171-V311/","Открыть позицию")</x:f>
        <x:v>Открыть позицию</x:v>
      </x:c>
    </x:row>
    <x:row r="577" ht="28" customHeight="1">
      <x:c r="A577" s="16" t="str">
        <x:v>Назаровская ГРЭС</x:v>
      </x:c>
      <x:c r="B577" s="16" t="str">
        <x:v>2000383323-V311</x:v>
      </x:c>
      <x:c r="C577" s="16" t="str">
        <x:v>ОТВОД 45° СТ20 DN273 6 ГОСТ17375-01</x:v>
      </x:c>
      <x:c r="D577" s="16" t="str">
        <x:v>Детали фасонные</x:v>
      </x:c>
      <x:c r="E577" s="16" t="str">
        <x:v>ШТ</x:v>
      </x:c>
      <x:c r="F577" s="21" t="n">
        <x:v>4</x:v>
      </x:c>
      <x:c r="G577" s="17" t="n">
        <x:v>4062.6</x:v>
      </x:c>
      <x:c r="H577" s="17" t="n">
        <x:f>G577*F577</x:f>
        <x:v>16250.4</x:v>
      </x:c>
      <x:c r="I577" s="22" t="str">
        <x:f>HYPERLINK("https://etp-aktiv.ru/catalog/materialy/truboprovody/2000383323-V311/","Открыть позицию")</x:f>
        <x:v>Открыть позицию</x:v>
      </x:c>
    </x:row>
    <x:row r="578" ht="28" customHeight="1">
      <x:c r="A578" s="16" t="str">
        <x:v>Назаровская ГРЭС</x:v>
      </x:c>
      <x:c r="B578" s="16" t="str">
        <x:v>2000166715-V311</x:v>
      </x:c>
      <x:c r="C578" s="16" t="str">
        <x:v>ОТВОД 45° СТ20 DN325 8 ГОСТ17380-01</x:v>
      </x:c>
      <x:c r="D578" s="16" t="str">
        <x:v>Детали фасонные</x:v>
      </x:c>
      <x:c r="E578" s="16" t="str">
        <x:v>ШТ</x:v>
      </x:c>
      <x:c r="F578" s="21" t="n">
        <x:v>2</x:v>
      </x:c>
      <x:c r="G578" s="17" t="n">
        <x:v>1719.3337999999999</x:v>
      </x:c>
      <x:c r="H578" s="17" t="n">
        <x:f>G578*F578</x:f>
        <x:v>3438.6675999999998</x:v>
      </x:c>
      <x:c r="I578" s="22" t="str">
        <x:f>HYPERLINK("https://etp-aktiv.ru/catalog/materialy/truboprovody/2000166715-V311/","Открыть позицию")</x:f>
        <x:v>Открыть позицию</x:v>
      </x:c>
    </x:row>
    <x:row r="579" ht="28" customHeight="1">
      <x:c r="A579" s="16" t="str">
        <x:v>Назаровская ГРЭС</x:v>
      </x:c>
      <x:c r="B579" s="16" t="str">
        <x:v>2000444656-V311</x:v>
      </x:c>
      <x:c r="C579" s="16" t="str">
        <x:v>ОТВОД 45° СТ20 DN426 10 ГОСТ17375-01</x:v>
      </x:c>
      <x:c r="D579" s="16" t="str">
        <x:v>Детали фасонные</x:v>
      </x:c>
      <x:c r="E579" s="16" t="str">
        <x:v>ШТ</x:v>
      </x:c>
      <x:c r="F579" s="21" t="n">
        <x:v>1</x:v>
      </x:c>
      <x:c r="G579" s="17" t="n">
        <x:v>3295.1711999999998</x:v>
      </x:c>
      <x:c r="H579" s="17" t="n">
        <x:f>G579*F579</x:f>
        <x:v>3295.1711999999998</x:v>
      </x:c>
      <x:c r="I579" s="22" t="str">
        <x:f>HYPERLINK("https://etp-aktiv.ru/catalog/materialy/truboprovody/2000444656-V311/","Открыть позицию")</x:f>
        <x:v>Открыть позицию</x:v>
      </x:c>
    </x:row>
    <x:row r="580" ht="28" customHeight="1">
      <x:c r="A580" s="16" t="str">
        <x:v>Назаровская ГРЭС</x:v>
      </x:c>
      <x:c r="B580" s="16" t="str">
        <x:v>2000992263-V311</x:v>
      </x:c>
      <x:c r="C580" s="16" t="str">
        <x:v>ОТВОД 45° СТ20 DN426*18 ГОСТ17375-2001</x:v>
      </x:c>
      <x:c r="D580" s="16" t="str">
        <x:v>Детали фасонные</x:v>
      </x:c>
      <x:c r="E580" s="16" t="str">
        <x:v>ШТ</x:v>
      </x:c>
      <x:c r="F580" s="21" t="n">
        <x:v>3</x:v>
      </x:c>
      <x:c r="G580" s="17" t="n">
        <x:v>33261.8482</x:v>
      </x:c>
      <x:c r="H580" s="17" t="n">
        <x:f>G580*F580</x:f>
        <x:v>99785.5446</x:v>
      </x:c>
      <x:c r="I580" s="22" t="str">
        <x:f>HYPERLINK("https://etp-aktiv.ru/catalog/materialy/truboprovody/2000992263-V311/","Открыть позицию")</x:f>
        <x:v>Открыть позицию</x:v>
      </x:c>
    </x:row>
    <x:row r="581" ht="28" customHeight="1">
      <x:c r="A581" s="16" t="str">
        <x:v>Назаровская ГРЭС</x:v>
      </x:c>
      <x:c r="B581" s="16" t="str">
        <x:v>2000992262-V311</x:v>
      </x:c>
      <x:c r="C581" s="16" t="str">
        <x:v>ОТВОД 60° СТ20 DN426*18 ГОСТ17375-2001</x:v>
      </x:c>
      <x:c r="D581" s="16" t="str">
        <x:v>Детали фасонные</x:v>
      </x:c>
      <x:c r="E581" s="16" t="str">
        <x:v>ШТ</x:v>
      </x:c>
      <x:c r="F581" s="21" t="n">
        <x:v>2</x:v>
      </x:c>
      <x:c r="G581" s="17" t="n">
        <x:v>33261.8482</x:v>
      </x:c>
      <x:c r="H581" s="17" t="n">
        <x:f>G581*F581</x:f>
        <x:v>66523.6964</x:v>
      </x:c>
      <x:c r="I581" s="22" t="str">
        <x:f>HYPERLINK("https://etp-aktiv.ru/catalog/materialy/truboprovody/2000992262-V311/","Открыть позицию")</x:f>
        <x:v>Открыть позицию</x:v>
      </x:c>
    </x:row>
    <x:row r="582" ht="28" customHeight="1">
      <x:c r="A582" s="16" t="str">
        <x:v>Назаровская ГРЭС</x:v>
      </x:c>
      <x:c r="B582" s="16" t="str">
        <x:v>2000263087-V311</x:v>
      </x:c>
      <x:c r="C582" s="16" t="str">
        <x:v>ОТВОД 60° СТ20 DN89 3,5 ГОСТ17375-01</x:v>
      </x:c>
      <x:c r="D582" s="16" t="str">
        <x:v>Детали фасонные</x:v>
      </x:c>
      <x:c r="E582" s="16" t="str">
        <x:v>ШТ</x:v>
      </x:c>
      <x:c r="F582" s="21" t="n">
        <x:v>1</x:v>
      </x:c>
      <x:c r="G582" s="17" t="n">
        <x:v>271.0718</x:v>
      </x:c>
      <x:c r="H582" s="17" t="n">
        <x:f>G582*F582</x:f>
        <x:v>271.0718</x:v>
      </x:c>
      <x:c r="I582" s="22" t="str">
        <x:f>HYPERLINK("https://etp-aktiv.ru/catalog/materialy/truboprovody/2000263087-V311/","Открыть позицию")</x:f>
        <x:v>Открыть позицию</x:v>
      </x:c>
    </x:row>
    <x:row r="583" ht="28" customHeight="1">
      <x:c r="A583" s="16" t="str">
        <x:v>Назаровская ГРЭС</x:v>
      </x:c>
      <x:c r="B583" s="16" t="str">
        <x:v>2000898353-V311</x:v>
      </x:c>
      <x:c r="C583" s="16" t="str">
        <x:v>ОТВОД 90 273*10-3232 СТ20 25ОСТ108321.15</x:v>
      </x:c>
      <x:c r="D583" s="16" t="str">
        <x:v>Детали фасонные</x:v>
      </x:c>
      <x:c r="E583" s="16" t="str">
        <x:v>ШТ</x:v>
      </x:c>
      <x:c r="F583" s="21" t="n">
        <x:v>1</x:v>
      </x:c>
      <x:c r="G583" s="17" t="n">
        <x:v>28273.390199999998</x:v>
      </x:c>
      <x:c r="H583" s="17" t="n">
        <x:f>G583*F583</x:f>
        <x:v>28273.390199999998</x:v>
      </x:c>
      <x:c r="I583" s="22" t="str">
        <x:f>HYPERLINK("https://etp-aktiv.ru/catalog/materialy/truboprovody/2000898353-V311/","Открыть позицию")</x:f>
        <x:v>Открыть позицию</x:v>
      </x:c>
    </x:row>
    <x:row r="584" ht="28" customHeight="1">
      <x:c r="A584" s="16" t="str">
        <x:v>Назаровская ГРЭС</x:v>
      </x:c>
      <x:c r="B584" s="16" t="str">
        <x:v>2000559201-V311</x:v>
      </x:c>
      <x:c r="C584" s="16" t="str">
        <x:v>ОТВОД 90 60*5-715 СТ20 К-2480.11КМД</x:v>
      </x:c>
      <x:c r="D584" s="16" t="str">
        <x:v>Труб/элем ВД</x:v>
      </x:c>
      <x:c r="E584" s="16" t="str">
        <x:v>ШТ</x:v>
      </x:c>
      <x:c r="F584" s="21" t="n">
        <x:v>8</x:v>
      </x:c>
      <x:c r="G584" s="17" t="n">
        <x:v>872.0559999999999</x:v>
      </x:c>
      <x:c r="H584" s="17" t="n">
        <x:f>G584*F584</x:f>
        <x:v>6976.447999999999</x:v>
      </x:c>
      <x:c r="I584" s="22" t="str">
        <x:f>HYPERLINK("https://etp-aktiv.ru/catalog/materialy/truboprovody/2000559201-V311/","Открыть позицию")</x:f>
        <x:v>Открыть позицию</x:v>
      </x:c>
    </x:row>
    <x:row r="585" ht="28" customHeight="1">
      <x:c r="A585" s="16" t="str">
        <x:v>Назаровская ГРЭС</x:v>
      </x:c>
      <x:c r="B585" s="16" t="str">
        <x:v>2000794440-V311</x:v>
      </x:c>
      <x:c r="C585" s="16" t="str">
        <x:v>ОТВОД 90 СТ20 426*11 ГОСТ17375-2001</x:v>
      </x:c>
      <x:c r="D585" s="16" t="str">
        <x:v>Детали фасонные</x:v>
      </x:c>
      <x:c r="E585" s="16" t="str">
        <x:v>ШТ</x:v>
      </x:c>
      <x:c r="F585" s="21" t="n">
        <x:v>1</x:v>
      </x:c>
      <x:c r="G585" s="17" t="n">
        <x:v>20212.777</x:v>
      </x:c>
      <x:c r="H585" s="17" t="n">
        <x:f>G585*F585</x:f>
        <x:v>20212.777</x:v>
      </x:c>
      <x:c r="I585" s="22" t="str">
        <x:f>HYPERLINK("https://etp-aktiv.ru/catalog/materialy/truboprovody/2000794440-V311/","Открыть позицию")</x:f>
        <x:v>Открыть позицию</x:v>
      </x:c>
    </x:row>
    <x:row r="586" ht="28" customHeight="1">
      <x:c r="A586" s="16" t="str">
        <x:v>Назаровская ГРЭС</x:v>
      </x:c>
      <x:c r="B586" s="16" t="str">
        <x:v>2000554451-V311</x:v>
      </x:c>
      <x:c r="C586" s="16" t="str">
        <x:v>ОТВОД 90° 09Г2С DN377*10 ГОСТ17375-01</x:v>
      </x:c>
      <x:c r="D586" s="16" t="str">
        <x:v>Детали фасонные</x:v>
      </x:c>
      <x:c r="E586" s="16" t="str">
        <x:v>ШТ</x:v>
      </x:c>
      <x:c r="F586" s="21" t="n">
        <x:v>5</x:v>
      </x:c>
      <x:c r="G586" s="17" t="n">
        <x:v>11316.0734</x:v>
      </x:c>
      <x:c r="H586" s="17" t="n">
        <x:f>G586*F586</x:f>
        <x:v>56580.367</x:v>
      </x:c>
      <x:c r="I586" s="22" t="str">
        <x:f>HYPERLINK("https://etp-aktiv.ru/catalog/materialy/truboprovody/2000554451-V311/","Открыть позицию")</x:f>
        <x:v>Открыть позицию</x:v>
      </x:c>
    </x:row>
    <x:row r="587" ht="28" customHeight="1">
      <x:c r="A587" s="16" t="str">
        <x:v>Назаровская ГРЭС</x:v>
      </x:c>
      <x:c r="B587" s="16" t="str">
        <x:v>2000554442-V311</x:v>
      </x:c>
      <x:c r="C587" s="16" t="str">
        <x:v>ОТВОД 90° 12Х18Н10Т DN32*3 ГОСТ17375-01</x:v>
      </x:c>
      <x:c r="D587" s="16" t="str">
        <x:v>Детали фасонные</x:v>
      </x:c>
      <x:c r="E587" s="16" t="str">
        <x:v>ШТ</x:v>
      </x:c>
      <x:c r="F587" s="21" t="n">
        <x:v>1</x:v>
      </x:c>
      <x:c r="G587" s="17" t="n">
        <x:v>339.6968</x:v>
      </x:c>
      <x:c r="H587" s="17" t="n">
        <x:f>G587*F587</x:f>
        <x:v>339.6968</x:v>
      </x:c>
      <x:c r="I587" s="22" t="str">
        <x:f>HYPERLINK("https://etp-aktiv.ru/catalog/materialy/truboprovody/2000554442-V311/","Открыть позицию")</x:f>
        <x:v>Открыть позицию</x:v>
      </x:c>
    </x:row>
    <x:row r="588" ht="28" customHeight="1">
      <x:c r="A588" s="16" t="str">
        <x:v>Назаровская ГРЭС</x:v>
      </x:c>
      <x:c r="B588" s="16" t="str">
        <x:v>2000172229-V311</x:v>
      </x:c>
      <x:c r="C588" s="16" t="str">
        <x:v>ОТВОД 90° 12Х18Н10Т DN57 5 ГОСТ17375-01</x:v>
      </x:c>
      <x:c r="D588" s="16" t="str">
        <x:v>Детали фасонные</x:v>
      </x:c>
      <x:c r="E588" s="16" t="str">
        <x:v>ШТ</x:v>
      </x:c>
      <x:c r="F588" s="21" t="n">
        <x:v>2</x:v>
      </x:c>
      <x:c r="G588" s="17" t="n">
        <x:v>614.1967999999999</x:v>
      </x:c>
      <x:c r="H588" s="17" t="n">
        <x:f>G588*F588</x:f>
        <x:v>1228.3935999999999</x:v>
      </x:c>
      <x:c r="I588" s="22" t="str">
        <x:f>HYPERLINK("https://etp-aktiv.ru/catalog/materialy/truboprovody/2000172229-V311/","Открыть позицию")</x:f>
        <x:v>Открыть позицию</x:v>
      </x:c>
    </x:row>
    <x:row r="589" ht="28" customHeight="1">
      <x:c r="A589" s="16" t="str">
        <x:v>Назаровская ГРЭС</x:v>
      </x:c>
      <x:c r="B589" s="16" t="str">
        <x:v>2000736775-V311</x:v>
      </x:c>
      <x:c r="C589" s="16" t="str">
        <x:v>ОТВОД 90° 273*24-2025*435*3050 600337</x:v>
      </x:c>
      <x:c r="D589" s="16" t="str">
        <x:v>Труб/элем ВД</x:v>
      </x:c>
      <x:c r="E589" s="16" t="str">
        <x:v>ШТ</x:v>
      </x:c>
      <x:c r="F589" s="21" t="n">
        <x:v>1</x:v>
      </x:c>
      <x:c r="G589" s="17" t="n">
        <x:v>159594.3</x:v>
      </x:c>
      <x:c r="H589" s="17" t="n">
        <x:f>G589*F589</x:f>
        <x:v>159594.3</x:v>
      </x:c>
      <x:c r="I589" s="22" t="str">
        <x:f>HYPERLINK("https://etp-aktiv.ru/catalog/materialy/truboprovody/2000736775-V311/","Открыть позицию")</x:f>
        <x:v>Открыть позицию</x:v>
      </x:c>
    </x:row>
    <x:row r="590" ht="28" customHeight="1">
      <x:c r="A590" s="16" t="str">
        <x:v>Назаровская ГРЭС</x:v>
      </x:c>
      <x:c r="B590" s="16" t="str">
        <x:v>2000335279-V311</x:v>
      </x:c>
      <x:c r="C590" s="16" t="str">
        <x:v>ОТВОД 90° СТ20 133*4 ГОСТ17375-01</x:v>
      </x:c>
      <x:c r="D590" s="16" t="str">
        <x:v>Детали фасонные</x:v>
      </x:c>
      <x:c r="E590" s="16" t="str">
        <x:v>ШТ</x:v>
      </x:c>
      <x:c r="F590" s="21" t="n">
        <x:v>21</x:v>
      </x:c>
      <x:c r="G590" s="17" t="n">
        <x:v>694.4728</x:v>
      </x:c>
      <x:c r="H590" s="17" t="n">
        <x:f>G590*F590</x:f>
        <x:v>14583.9288</x:v>
      </x:c>
      <x:c r="I590" s="22" t="str">
        <x:f>HYPERLINK("https://etp-aktiv.ru/catalog/materialy/truboprovody/2000335279-V311/","Открыть позицию")</x:f>
        <x:v>Открыть позицию</x:v>
      </x:c>
    </x:row>
    <x:row r="591" ht="28" customHeight="1">
      <x:c r="A591" s="16" t="str">
        <x:v>Назаровская ГРЭС</x:v>
      </x:c>
      <x:c r="B591" s="16" t="str">
        <x:v>2000032705-V311</x:v>
      </x:c>
      <x:c r="C591" s="16" t="str">
        <x:v>ОТВОД 90° СТ20 219*6 ГОСТ17375-01</x:v>
      </x:c>
      <x:c r="D591" s="16" t="str">
        <x:v>Детали фасонные</x:v>
      </x:c>
      <x:c r="E591" s="16" t="str">
        <x:v>ШТ</x:v>
      </x:c>
      <x:c r="F591" s="21" t="n">
        <x:v>6</x:v>
      </x:c>
      <x:c r="G591" s="17" t="n">
        <x:v>2037.5463999999997</x:v>
      </x:c>
      <x:c r="H591" s="17" t="n">
        <x:f>G591*F591</x:f>
        <x:v>12225.2784</x:v>
      </x:c>
      <x:c r="I591" s="22" t="str">
        <x:f>HYPERLINK("https://etp-aktiv.ru/catalog/materialy/truboprovody/2000032705-V311/","Открыть позицию")</x:f>
        <x:v>Открыть позицию</x:v>
      </x:c>
    </x:row>
    <x:row r="592" ht="28" customHeight="1">
      <x:c r="A592" s="16" t="str">
        <x:v>Назаровская ГРЭС</x:v>
      </x:c>
      <x:c r="B592" s="16" t="str">
        <x:v>2000383128-V311</x:v>
      </x:c>
      <x:c r="C592" s="16" t="str">
        <x:v>ОТВОД 90° СТ20 273*6 ГОСТ17375-01</x:v>
      </x:c>
      <x:c r="D592" s="16" t="str">
        <x:v>Детали фасонные</x:v>
      </x:c>
      <x:c r="E592" s="16" t="str">
        <x:v>ШТ</x:v>
      </x:c>
      <x:c r="F592" s="21" t="n">
        <x:v>2</x:v>
      </x:c>
      <x:c r="G592" s="17" t="n">
        <x:v>4954.3712</x:v>
      </x:c>
      <x:c r="H592" s="17" t="n">
        <x:f>G592*F592</x:f>
        <x:v>9908.7424</x:v>
      </x:c>
      <x:c r="I592" s="22" t="str">
        <x:f>HYPERLINK("https://etp-aktiv.ru/catalog/materialy/truboprovody/2000383128-V311/","Открыть позицию")</x:f>
        <x:v>Открыть позицию</x:v>
      </x:c>
    </x:row>
    <x:row r="593" ht="28" customHeight="1">
      <x:c r="A593" s="16" t="str">
        <x:v>Назаровская ГРЭС</x:v>
      </x:c>
      <x:c r="B593" s="16" t="str">
        <x:v>2000167347-V311</x:v>
      </x:c>
      <x:c r="C593" s="16" t="str">
        <x:v>ОТВОД 90° СТ20 377*10 ГОСТ17375-01</x:v>
      </x:c>
      <x:c r="D593" s="16" t="str">
        <x:v>Детали фасонные</x:v>
      </x:c>
      <x:c r="E593" s="16" t="str">
        <x:v>ШТ</x:v>
      </x:c>
      <x:c r="F593" s="21" t="n">
        <x:v>1</x:v>
      </x:c>
      <x:c r="G593" s="17" t="n">
        <x:v>11437.048599999998</x:v>
      </x:c>
      <x:c r="H593" s="17" t="n">
        <x:f>G593*F593</x:f>
        <x:v>11437.048599999998</x:v>
      </x:c>
      <x:c r="I593" s="22" t="str">
        <x:f>HYPERLINK("https://etp-aktiv.ru/catalog/materialy/truboprovody/2000167347-V311/","Открыть позицию")</x:f>
        <x:v>Открыть позицию</x:v>
      </x:c>
    </x:row>
    <x:row r="594" ht="28" customHeight="1">
      <x:c r="A594" s="16" t="str">
        <x:v>Назаровская ГРЭС</x:v>
      </x:c>
      <x:c r="B594" s="16" t="str">
        <x:v>2000172738-V311</x:v>
      </x:c>
      <x:c r="C594" s="16" t="str">
        <x:v>ОТВОД 90° СТ20 38*3 ГОСТ17375-01</x:v>
      </x:c>
      <x:c r="D594" s="16" t="str">
        <x:v>Детали фасонные</x:v>
      </x:c>
      <x:c r="E594" s="16" t="str">
        <x:v>ШТ</x:v>
      </x:c>
      <x:c r="F594" s="21" t="n">
        <x:v>1</x:v>
      </x:c>
      <x:c r="G594" s="17" t="n">
        <x:v>44.932599999999994</x:v>
      </x:c>
      <x:c r="H594" s="17" t="n">
        <x:f>G594*F594</x:f>
        <x:v>44.932599999999994</x:v>
      </x:c>
      <x:c r="I594" s="22" t="str">
        <x:f>HYPERLINK("https://etp-aktiv.ru/catalog/materialy/truboprovody/2000172738-V311/","Открыть позицию")</x:f>
        <x:v>Открыть позицию</x:v>
      </x:c>
    </x:row>
    <x:row r="595" ht="28" customHeight="1">
      <x:c r="A595" s="16" t="str">
        <x:v>Назаровская ГРЭС</x:v>
      </x:c>
      <x:c r="B595" s="16" t="str">
        <x:v>2000440034-V311</x:v>
      </x:c>
      <x:c r="C595" s="16" t="str">
        <x:v>ОТВОД 90° СТ20 DN32 3 ГОСТ17375-01</x:v>
      </x:c>
      <x:c r="D595" s="16" t="str">
        <x:v>Детали фасонные</x:v>
      </x:c>
      <x:c r="E595" s="16" t="str">
        <x:v>ШТ</x:v>
      </x:c>
      <x:c r="F595" s="21" t="n">
        <x:v>2</x:v>
      </x:c>
      <x:c r="G595" s="17" t="n">
        <x:v>62.4518</x:v>
      </x:c>
      <x:c r="H595" s="17" t="n">
        <x:f>G595*F595</x:f>
        <x:v>124.9036</x:v>
      </x:c>
      <x:c r="I595" s="22" t="str">
        <x:f>HYPERLINK("https://etp-aktiv.ru/catalog/materialy/truboprovody/2000440034-V311/","Открыть позицию")</x:f>
        <x:v>Открыть позицию</x:v>
      </x:c>
    </x:row>
    <x:row r="596" ht="28" customHeight="1">
      <x:c r="A596" s="16" t="str">
        <x:v>Назаровская ГРЭС</x:v>
      </x:c>
      <x:c r="B596" s="16" t="str">
        <x:v>2000220329-V311</x:v>
      </x:c>
      <x:c r="C596" s="16" t="str">
        <x:v>ОТВОД 90° СТ20 DN32 4 ГОСТ17375-01</x:v>
      </x:c>
      <x:c r="D596" s="16" t="str">
        <x:v>Детали фасонные</x:v>
      </x:c>
      <x:c r="E596" s="16" t="str">
        <x:v>ШТ</x:v>
      </x:c>
      <x:c r="F596" s="21" t="n">
        <x:v>9</x:v>
      </x:c>
      <x:c r="G596" s="17" t="n">
        <x:v>51.4596</x:v>
      </x:c>
      <x:c r="H596" s="17" t="n">
        <x:f>G596*F596</x:f>
        <x:v>463.13640000000004</x:v>
      </x:c>
      <x:c r="I596" s="22" t="str">
        <x:f>HYPERLINK("https://etp-aktiv.ru/catalog/materialy/truboprovody/2000220329-V311/","Открыть позицию")</x:f>
        <x:v>Открыть позицию</x:v>
      </x:c>
    </x:row>
    <x:row r="597" ht="28" customHeight="1">
      <x:c r="A597" s="16" t="str">
        <x:v>Назаровская ГРЭС</x:v>
      </x:c>
      <x:c r="B597" s="16" t="str">
        <x:v>2000992261-V311</x:v>
      </x:c>
      <x:c r="C597" s="16" t="str">
        <x:v>ОТВОД 90° СТ20 DN426*18 ГОСТ17375-2001</x:v>
      </x:c>
      <x:c r="D597" s="16" t="str">
        <x:v>Детали фасонные</x:v>
      </x:c>
      <x:c r="E597" s="16" t="str">
        <x:v>ШТ</x:v>
      </x:c>
      <x:c r="F597" s="21" t="n">
        <x:v>8</x:v>
      </x:c>
      <x:c r="G597" s="17" t="n">
        <x:v>33261.8482</x:v>
      </x:c>
      <x:c r="H597" s="17" t="n">
        <x:f>G597*F597</x:f>
        <x:v>266094.7856</x:v>
      </x:c>
      <x:c r="I597" s="22" t="str">
        <x:f>HYPERLINK("https://etp-aktiv.ru/catalog/materialy/truboprovody/2000992261-V311/","Открыть позицию")</x:f>
        <x:v>Открыть позицию</x:v>
      </x:c>
    </x:row>
    <x:row r="598" ht="28" customHeight="1">
      <x:c r="A598" s="16" t="str">
        <x:v>Назаровская ГРЭС</x:v>
      </x:c>
      <x:c r="B598" s="16" t="str">
        <x:v>2000172423-V311</x:v>
      </x:c>
      <x:c r="C598" s="16" t="str">
        <x:v>ОТВОД 90° СТ20 DN45 3,5 ГОСТ17375-01</x:v>
      </x:c>
      <x:c r="D598" s="16" t="str">
        <x:v>Детали фасонные</x:v>
      </x:c>
      <x:c r="E598" s="16" t="str">
        <x:v>ШТ</x:v>
      </x:c>
      <x:c r="F598" s="21" t="n">
        <x:v>6</x:v>
      </x:c>
      <x:c r="G598" s="17" t="n">
        <x:v>21.484199999999998</x:v>
      </x:c>
      <x:c r="H598" s="17" t="n">
        <x:f>G598*F598</x:f>
        <x:v>128.90519999999998</x:v>
      </x:c>
      <x:c r="I598" s="22" t="str">
        <x:f>HYPERLINK("https://etp-aktiv.ru/catalog/materialy/truboprovody/2000172423-V311/","Открыть позицию")</x:f>
        <x:v>Открыть позицию</x:v>
      </x:c>
    </x:row>
    <x:row r="599" ht="28" customHeight="1">
      <x:c r="A599" s="16" t="str">
        <x:v>Назаровская ГРЭС</x:v>
      </x:c>
      <x:c r="B599" s="16" t="str">
        <x:v>2000554511-V311</x:v>
      </x:c>
      <x:c r="C599" s="16" t="str">
        <x:v>ОТВОД 90° СТ20 DN720*10 ГОСТ17375-01</x:v>
      </x:c>
      <x:c r="D599" s="16" t="str">
        <x:v>Детали фасонные</x:v>
      </x:c>
      <x:c r="E599" s="16" t="str">
        <x:v>ШТ</x:v>
      </x:c>
      <x:c r="F599" s="21" t="n">
        <x:v>1</x:v>
      </x:c>
      <x:c r="G599" s="17" t="n">
        <x:v>34995.2608</x:v>
      </x:c>
      <x:c r="H599" s="17" t="n">
        <x:f>G599*F599</x:f>
        <x:v>34995.2608</x:v>
      </x:c>
      <x:c r="I599" s="22" t="str">
        <x:f>HYPERLINK("https://etp-aktiv.ru/catalog/materialy/truboprovody/2000554511-V311/","Открыть позицию")</x:f>
        <x:v>Открыть позицию</x:v>
      </x:c>
    </x:row>
    <x:row r="600" ht="28" customHeight="1">
      <x:c r="A600" s="16" t="str">
        <x:v>Назаровская ГРЭС</x:v>
      </x:c>
      <x:c r="B600" s="16" t="str">
        <x:v>2000554560-V311</x:v>
      </x:c>
      <x:c r="C600" s="16" t="str">
        <x:v>ОТВОД П 45° 09Г2С DN325*8 ГОСТ17375-01</x:v>
      </x:c>
      <x:c r="D600" s="16" t="str">
        <x:v>Детали фасонные</x:v>
      </x:c>
      <x:c r="E600" s="16" t="str">
        <x:v>ШТ</x:v>
      </x:c>
      <x:c r="F600" s="21" t="n">
        <x:v>1</x:v>
      </x:c>
      <x:c r="G600" s="17" t="n">
        <x:v>1806.3808000000001</x:v>
      </x:c>
      <x:c r="H600" s="17" t="n">
        <x:f>G600*F600</x:f>
        <x:v>1806.3808000000001</x:v>
      </x:c>
      <x:c r="I600" s="22" t="str">
        <x:f>HYPERLINK("https://etp-aktiv.ru/catalog/materialy/truboprovody/2000554560-V311/","Открыть позицию")</x:f>
        <x:v>Открыть позицию</x:v>
      </x:c>
    </x:row>
    <x:row r="601" ht="28" customHeight="1">
      <x:c r="A601" s="16" t="str">
        <x:v>Назаровская ГРЭС</x:v>
      </x:c>
      <x:c r="B601" s="16" t="str">
        <x:v>2000794282-V311</x:v>
      </x:c>
      <x:c r="C601" s="16" t="str">
        <x:v>ОТВОД П 45° 12Х18Н10Т DN57*3 ГОСТ17375</x:v>
      </x:c>
      <x:c r="D601" s="16" t="str">
        <x:v>Детали фасонные</x:v>
      </x:c>
      <x:c r="E601" s="16" t="str">
        <x:v>ШТ</x:v>
      </x:c>
      <x:c r="F601" s="21" t="n">
        <x:v>1</x:v>
      </x:c>
      <x:c r="G601" s="17" t="n">
        <x:v>522.1966</x:v>
      </x:c>
      <x:c r="H601" s="17" t="n">
        <x:f>G601*F601</x:f>
        <x:v>522.1966</x:v>
      </x:c>
      <x:c r="I601" s="22" t="str">
        <x:f>HYPERLINK("https://etp-aktiv.ru/catalog/materialy/truboprovody/2000794282-V311/","Открыть позицию")</x:f>
        <x:v>Открыть позицию</x:v>
      </x:c>
    </x:row>
    <x:row r="602" ht="28" customHeight="1">
      <x:c r="A602" s="16" t="str">
        <x:v>Назаровская ГРЭС</x:v>
      </x:c>
      <x:c r="B602" s="16" t="str">
        <x:v>2000927135-V311</x:v>
      </x:c>
      <x:c r="C602" s="16" t="str">
        <x:v>ОТВОД П 90° СТ20 DN273*11 ГОСТ17375-2001</x:v>
      </x:c>
      <x:c r="D602" s="16" t="str">
        <x:v>Детали фасонные</x:v>
      </x:c>
      <x:c r="E602" s="16" t="str">
        <x:v>ШТ</x:v>
      </x:c>
      <x:c r="F602" s="21" t="n">
        <x:v>1</x:v>
      </x:c>
      <x:c r="G602" s="17" t="n">
        <x:v>6835.05</x:v>
      </x:c>
      <x:c r="H602" s="17" t="n">
        <x:f>G602*F602</x:f>
        <x:v>6835.05</x:v>
      </x:c>
      <x:c r="I602" s="22" t="str">
        <x:f>HYPERLINK("https://etp-aktiv.ru/catalog/materialy/truboprovody/2000927135-V311/","Открыть позицию")</x:f>
        <x:v>Открыть позицию</x:v>
      </x:c>
    </x:row>
    <x:row r="603" ht="28" customHeight="1">
      <x:c r="A603" s="16" t="str">
        <x:v>Назаровская ГРЭС</x:v>
      </x:c>
      <x:c r="B603" s="16" t="str">
        <x:v>2000554636-V311</x:v>
      </x:c>
      <x:c r="C603" s="16" t="str">
        <x:v>ОТВОД П 90° СТ20 DN325*6 ГОСТ17375-01</x:v>
      </x:c>
      <x:c r="D603" s="16" t="str">
        <x:v>Детали фасонные</x:v>
      </x:c>
      <x:c r="E603" s="16" t="str">
        <x:v>ШТ</x:v>
      </x:c>
      <x:c r="F603" s="21" t="n">
        <x:v>1</x:v>
      </x:c>
      <x:c r="G603" s="17" t="n">
        <x:v>3368.3468</x:v>
      </x:c>
      <x:c r="H603" s="17" t="n">
        <x:f>G603*F603</x:f>
        <x:v>3368.3468</x:v>
      </x:c>
      <x:c r="I603" s="22" t="str">
        <x:f>HYPERLINK("https://etp-aktiv.ru/catalog/materialy/truboprovody/2000554636-V311/","Открыть позицию")</x:f>
        <x:v>Открыть позицию</x:v>
      </x:c>
    </x:row>
    <x:row r="604" ht="28" customHeight="1">
      <x:c r="A604" s="16" t="str">
        <x:v>Назаровская ГРЭС</x:v>
      </x:c>
      <x:c r="B604" s="16" t="str">
        <x:v>2000559063-V311</x:v>
      </x:c>
      <x:c r="C604" s="16" t="str">
        <x:v>ПЕРЕХОД 200*175 15Х1МФ 07 ОСТ108.318.21</x:v>
      </x:c>
      <x:c r="D604" s="16" t="str">
        <x:v>Труб/элем ВД</x:v>
      </x:c>
      <x:c r="E604" s="16" t="str">
        <x:v>ШТ</x:v>
      </x:c>
      <x:c r="F604" s="21" t="n">
        <x:v>3</x:v>
      </x:c>
      <x:c r="G604" s="17" t="n">
        <x:v>31551.0178</x:v>
      </x:c>
      <x:c r="H604" s="17" t="n">
        <x:f>G604*F604</x:f>
        <x:v>94653.0534</x:v>
      </x:c>
      <x:c r="I604" s="22" t="str">
        <x:f>HYPERLINK("https://etp-aktiv.ru/catalog/materialy/truboprovody/2000559063-V311/","Открыть позицию")</x:f>
        <x:v>Открыть позицию</x:v>
      </x:c>
    </x:row>
    <x:row r="605" ht="28" customHeight="1">
      <x:c r="A605" s="16" t="str">
        <x:v>Назаровская ГРЭС</x:v>
      </x:c>
      <x:c r="B605" s="16" t="str">
        <x:v>2000559064-V311</x:v>
      </x:c>
      <x:c r="C605" s="16" t="str">
        <x:v>ПЕРЕХОД 250*200 СТ20 04 ОСТ108.318.12</x:v>
      </x:c>
      <x:c r="D605" s="16" t="str">
        <x:v>Труб/элем ВД</x:v>
      </x:c>
      <x:c r="E605" s="16" t="str">
        <x:v>ШТ</x:v>
      </x:c>
      <x:c r="F605" s="21" t="n">
        <x:v>1</x:v>
      </x:c>
      <x:c r="G605" s="17" t="n">
        <x:v>56036.893599999996</x:v>
      </x:c>
      <x:c r="H605" s="17" t="n">
        <x:f>G605*F605</x:f>
        <x:v>56036.893599999996</x:v>
      </x:c>
      <x:c r="I605" s="22" t="str">
        <x:f>HYPERLINK("https://etp-aktiv.ru/catalog/materialy/truboprovody/2000559064-V311/","Открыть позицию")</x:f>
        <x:v>Открыть позицию</x:v>
      </x:c>
    </x:row>
    <x:row r="606" ht="28" customHeight="1">
      <x:c r="A606" s="16" t="str">
        <x:v>Назаровская ГРЭС</x:v>
      </x:c>
      <x:c r="B606" s="16" t="str">
        <x:v>2000559049-V311</x:v>
      </x:c>
      <x:c r="C606" s="16" t="str">
        <x:v>ПЕРЕХОД 42*5-38*4,5 СТ20 118.23.12.331</x:v>
      </x:c>
      <x:c r="D606" s="16" t="str">
        <x:v>Труб/элем ВД</x:v>
      </x:c>
      <x:c r="E606" s="16" t="str">
        <x:v>ШТ</x:v>
      </x:c>
      <x:c r="F606" s="21" t="n">
        <x:v>60</x:v>
      </x:c>
      <x:c r="G606" s="17" t="n">
        <x:v>261.019</x:v>
      </x:c>
      <x:c r="H606" s="17" t="n">
        <x:f>G606*F606</x:f>
        <x:v>15661.14</x:v>
      </x:c>
      <x:c r="I606" s="22" t="str">
        <x:f>HYPERLINK("https://etp-aktiv.ru/catalog/materialy/truboprovody/2000559049-V311/","Открыть позицию")</x:f>
        <x:v>Открыть позицию</x:v>
      </x:c>
    </x:row>
    <x:row r="607" ht="28" customHeight="1">
      <x:c r="A607" s="16" t="str">
        <x:v>Назаровская ГРЭС</x:v>
      </x:c>
      <x:c r="B607" s="16" t="str">
        <x:v>2000555023-V311</x:v>
      </x:c>
      <x:c r="C607" s="16" t="str">
        <x:v>ПЕРЕХОД К СТ17Г1С 720*630-2,5 ТС585-11</x:v>
      </x:c>
      <x:c r="D607" s="16" t="str">
        <x:v>Детали фасонные</x:v>
      </x:c>
      <x:c r="E607" s="16" t="str">
        <x:v>ШТ</x:v>
      </x:c>
      <x:c r="F607" s="21" t="n">
        <x:v>4</x:v>
      </x:c>
      <x:c r="G607" s="17" t="n">
        <x:v>5859.7210000000005</x:v>
      </x:c>
      <x:c r="H607" s="17" t="n">
        <x:f>G607*F607</x:f>
        <x:v>23438.884000000002</x:v>
      </x:c>
      <x:c r="I607" s="22" t="str">
        <x:f>HYPERLINK("https://etp-aktiv.ru/catalog/materialy/truboprovody/2000555023-V311/","Открыть позицию")</x:f>
        <x:v>Открыть позицию</x:v>
      </x:c>
    </x:row>
    <x:row r="608" ht="28" customHeight="1">
      <x:c r="A608" s="16" t="str">
        <x:v>Назаровская ГРЭС</x:v>
      </x:c>
      <x:c r="B608" s="16" t="str">
        <x:v>2000758239-V311</x:v>
      </x:c>
      <x:c r="C608" s="16" t="str">
        <x:v>ПЕРЕХОД К СТ20 133*5-108*4 ГОСТ17378</x:v>
      </x:c>
      <x:c r="D608" s="16" t="str">
        <x:v>Детали фасонные</x:v>
      </x:c>
      <x:c r="E608" s="16" t="str">
        <x:v>ШТ</x:v>
      </x:c>
      <x:c r="F608" s="21" t="n">
        <x:v>1</x:v>
      </x:c>
      <x:c r="G608" s="17" t="n">
        <x:v>960.75</x:v>
      </x:c>
      <x:c r="H608" s="17" t="n">
        <x:f>G608*F608</x:f>
        <x:v>960.75</x:v>
      </x:c>
      <x:c r="I608" s="22" t="str">
        <x:f>HYPERLINK("https://etp-aktiv.ru/catalog/materialy/truboprovody/2000758239-V311/","Открыть позицию")</x:f>
        <x:v>Открыть позицию</x:v>
      </x:c>
    </x:row>
    <x:row r="609" ht="28" customHeight="1">
      <x:c r="A609" s="16" t="str">
        <x:v>Назаровская ГРЭС</x:v>
      </x:c>
      <x:c r="B609" s="16" t="str">
        <x:v>2000706800-V311</x:v>
      </x:c>
      <x:c r="C609" s="16" t="str">
        <x:v>ПЕРЕХОД К СТ20 219,1*12,5-168,3*11 17378</x:v>
      </x:c>
      <x:c r="D609" s="16" t="str">
        <x:v>Детали фасонные</x:v>
      </x:c>
      <x:c r="E609" s="16" t="str">
        <x:v>ШТ</x:v>
      </x:c>
      <x:c r="F609" s="21" t="n">
        <x:v>1</x:v>
      </x:c>
      <x:c r="G609" s="17" t="n">
        <x:v>1505.2969999999998</x:v>
      </x:c>
      <x:c r="H609" s="17" t="n">
        <x:f>G609*F609</x:f>
        <x:v>1505.2969999999998</x:v>
      </x:c>
      <x:c r="I609" s="22" t="str">
        <x:f>HYPERLINK("https://etp-aktiv.ru/catalog/materialy/truboprovody/2000706800-V311/","Открыть позицию")</x:f>
        <x:v>Открыть позицию</x:v>
      </x:c>
    </x:row>
    <x:row r="610" ht="28" customHeight="1">
      <x:c r="A610" s="16" t="str">
        <x:v>Назаровская ГРЭС</x:v>
      </x:c>
      <x:c r="B610" s="16" t="str">
        <x:v>2000554970-V311</x:v>
      </x:c>
      <x:c r="C610" s="16" t="str">
        <x:v>ПЕРЕХОД К СТ20 377*10-325*8 ГОСТ17378-01</x:v>
      </x:c>
      <x:c r="D610" s="16" t="str">
        <x:v>Детали фасонные</x:v>
      </x:c>
      <x:c r="E610" s="16" t="str">
        <x:v>ШТ</x:v>
      </x:c>
      <x:c r="F610" s="21" t="n">
        <x:v>2</x:v>
      </x:c>
      <x:c r="G610" s="17" t="n">
        <x:v>1655.5156</x:v>
      </x:c>
      <x:c r="H610" s="17" t="n">
        <x:f>G610*F610</x:f>
        <x:v>3311.0312</x:v>
      </x:c>
      <x:c r="I610" s="22" t="str">
        <x:f>HYPERLINK("https://etp-aktiv.ru/catalog/materialy/truboprovody/2000554970-V311/","Открыть позицию")</x:f>
        <x:v>Открыть позицию</x:v>
      </x:c>
    </x:row>
    <x:row r="611" ht="28" customHeight="1">
      <x:c r="A611" s="16" t="str">
        <x:v>Назаровская ГРЭС</x:v>
      </x:c>
      <x:c r="B611" s="16" t="str">
        <x:v>2000554974-V311</x:v>
      </x:c>
      <x:c r="C611" s="16" t="str">
        <x:v>ПЕРЕХОД К СТ20 38*3-32*3 ГОСТ17378-01</x:v>
      </x:c>
      <x:c r="D611" s="16" t="str">
        <x:v>Детали фасонные</x:v>
      </x:c>
      <x:c r="E611" s="16" t="str">
        <x:v>ШТ</x:v>
      </x:c>
      <x:c r="F611" s="21" t="n">
        <x:v>220</x:v>
      </x:c>
      <x:c r="G611" s="17" t="n">
        <x:v>56.888600000000004</x:v>
      </x:c>
      <x:c r="H611" s="17" t="n">
        <x:f>G611*F611</x:f>
        <x:v>12515.492</x:v>
      </x:c>
      <x:c r="I611" s="22" t="str">
        <x:f>HYPERLINK("https://etp-aktiv.ru/catalog/materialy/truboprovody/2000554974-V311/","Открыть позицию")</x:f>
        <x:v>Открыть позицию</x:v>
      </x:c>
    </x:row>
    <x:row r="612" ht="28" customHeight="1">
      <x:c r="A612" s="16" t="str">
        <x:v>Назаровская ГРЭС</x:v>
      </x:c>
      <x:c r="B612" s="16" t="str">
        <x:v>2000992185-V311</x:v>
      </x:c>
      <x:c r="C612" s="16" t="str">
        <x:v>ПЕРЕХОД К СТ20 426*20-325*8 ГОСТ17378-01</x:v>
      </x:c>
      <x:c r="D612" s="16" t="str">
        <x:v>Детали фасонные</x:v>
      </x:c>
      <x:c r="E612" s="16" t="str">
        <x:v>ШТ</x:v>
      </x:c>
      <x:c r="F612" s="21" t="n">
        <x:v>1</x:v>
      </x:c>
      <x:c r="G612" s="17" t="n">
        <x:v>15327.6652</x:v>
      </x:c>
      <x:c r="H612" s="17" t="n">
        <x:f>G612*F612</x:f>
        <x:v>15327.6652</x:v>
      </x:c>
      <x:c r="I612" s="22" t="str">
        <x:f>HYPERLINK("https://etp-aktiv.ru/catalog/materialy/truboprovody/2000992185-V311/","Открыть позицию")</x:f>
        <x:v>Открыть позицию</x:v>
      </x:c>
    </x:row>
    <x:row r="613" ht="28" customHeight="1">
      <x:c r="A613" s="16" t="str">
        <x:v>Назаровская ГРЭС</x:v>
      </x:c>
      <x:c r="B613" s="16" t="str">
        <x:v>2000554994-V311</x:v>
      </x:c>
      <x:c r="C613" s="16" t="str">
        <x:v>ПЕРЕХОД К СТ20 530*10-377*10 ГОСТ17378</x:v>
      </x:c>
      <x:c r="D613" s="16" t="str">
        <x:v>Детали фасонные</x:v>
      </x:c>
      <x:c r="E613" s="16" t="str">
        <x:v>ШТ</x:v>
      </x:c>
      <x:c r="F613" s="21" t="n">
        <x:v>3</x:v>
      </x:c>
      <x:c r="G613" s="17" t="n">
        <x:v>6925.1226</x:v>
      </x:c>
      <x:c r="H613" s="17" t="n">
        <x:f>G613*F613</x:f>
        <x:v>20775.3678</x:v>
      </x:c>
      <x:c r="I613" s="22" t="str">
        <x:f>HYPERLINK("https://etp-aktiv.ru/catalog/materialy/truboprovody/2000554994-V311/","Открыть позицию")</x:f>
        <x:v>Открыть позицию</x:v>
      </x:c>
    </x:row>
    <x:row r="614" ht="28" customHeight="1">
      <x:c r="A614" s="16" t="str">
        <x:v>Назаровская ГРЭС</x:v>
      </x:c>
      <x:c r="B614" s="16" t="str">
        <x:v>2000774176-V311</x:v>
      </x:c>
      <x:c r="C614" s="16" t="str">
        <x:v>ПЕРЕХОД К СТ20 60,3*2,9-33,7*2,3 Г17378</x:v>
      </x:c>
      <x:c r="D614" s="16" t="str">
        <x:v>Детали фасонные</x:v>
      </x:c>
      <x:c r="E614" s="16" t="str">
        <x:v>ШТ</x:v>
      </x:c>
      <x:c r="F614" s="21" t="n">
        <x:v>1</x:v>
      </x:c>
      <x:c r="G614" s="17" t="n">
        <x:v>682.8218</x:v>
      </x:c>
      <x:c r="H614" s="17" t="n">
        <x:f>G614*F614</x:f>
        <x:v>682.8218</x:v>
      </x:c>
      <x:c r="I614" s="22" t="str">
        <x:f>HYPERLINK("https://etp-aktiv.ru/catalog/materialy/truboprovody/2000774176-V311/","Открыть позицию")</x:f>
        <x:v>Открыть позицию</x:v>
      </x:c>
    </x:row>
    <x:row r="615" ht="28" customHeight="1">
      <x:c r="A615" s="16" t="str">
        <x:v>Назаровская ГРЭС</x:v>
      </x:c>
      <x:c r="B615" s="16" t="str">
        <x:v>2000259205-V311</x:v>
      </x:c>
      <x:c r="C615" s="16" t="str">
        <x:v>ПЕРЕХОД К СТ20 76*4 57 4 ГОСТ17378-01</x:v>
      </x:c>
      <x:c r="D615" s="16" t="str">
        <x:v>Детали фасонные</x:v>
      </x:c>
      <x:c r="E615" s="16" t="str">
        <x:v>ШТ</x:v>
      </x:c>
      <x:c r="F615" s="21" t="n">
        <x:v>6</x:v>
      </x:c>
      <x:c r="G615" s="17" t="n">
        <x:v>202.6786</x:v>
      </x:c>
      <x:c r="H615" s="17" t="n">
        <x:f>G615*F615</x:f>
        <x:v>1216.0716</x:v>
      </x:c>
      <x:c r="I615" s="22" t="str">
        <x:f>HYPERLINK("https://etp-aktiv.ru/catalog/materialy/truboprovody/2000259205-V311/","Открыть позицию")</x:f>
        <x:v>Открыть позицию</x:v>
      </x:c>
    </x:row>
    <x:row r="616" ht="28" customHeight="1">
      <x:c r="A616" s="16" t="str">
        <x:v>Назаровская ГРЭС</x:v>
      </x:c>
      <x:c r="B616" s="16" t="str">
        <x:v>2000813769-V311</x:v>
      </x:c>
      <x:c r="C616" s="16" t="str">
        <x:v>ПЕРЕХОД ПK СТ20 426*10-377*10 ГОСТ17378</x:v>
      </x:c>
      <x:c r="D616" s="16" t="str">
        <x:v>Детали фасонные</x:v>
      </x:c>
      <x:c r="E616" s="16" t="str">
        <x:v>ШТ</x:v>
      </x:c>
      <x:c r="F616" s="21" t="n">
        <x:v>1</x:v>
      </x:c>
      <x:c r="G616" s="17" t="n">
        <x:v>4052.9986</x:v>
      </x:c>
      <x:c r="H616" s="17" t="n">
        <x:f>G616*F616</x:f>
        <x:v>4052.9986</x:v>
      </x:c>
      <x:c r="I616" s="22" t="str">
        <x:f>HYPERLINK("https://etp-aktiv.ru/catalog/materialy/truboprovody/2000813769-V311/","Открыть позицию")</x:f>
        <x:v>Открыть позицию</x:v>
      </x:c>
    </x:row>
    <x:row r="617" ht="28" customHeight="1">
      <x:c r="A617" s="16" t="str">
        <x:v>Назаровская ГРЭС</x:v>
      </x:c>
      <x:c r="B617" s="16" t="str">
        <x:v>2000996422-V311</x:v>
      </x:c>
      <x:c r="C617" s="16" t="str">
        <x:v>ПОДВЕСКА ЖЕСТКАЯ 4454.23-ВК3.1</x:v>
      </x:c>
      <x:c r="D617" s="16" t="str">
        <x:v>Система опорн-подвес</x:v>
      </x:c>
      <x:c r="E617" s="16" t="str">
        <x:v>ШТ</x:v>
      </x:c>
      <x:c r="F617" s="21" t="n">
        <x:v>1</x:v>
      </x:c>
      <x:c r="G617" s="17" t="n">
        <x:v>2331.542</x:v>
      </x:c>
      <x:c r="H617" s="17" t="n">
        <x:f>G617*F617</x:f>
        <x:v>2331.542</x:v>
      </x:c>
      <x:c r="I617" s="22" t="str">
        <x:f>HYPERLINK("https://etp-aktiv.ru/catalog/materialy/truboprovody/2000996422-V311/","Открыть позицию")</x:f>
        <x:v>Открыть позицию</x:v>
      </x:c>
    </x:row>
    <x:row r="618" ht="28" customHeight="1">
      <x:c r="A618" s="16" t="str">
        <x:v>Назаровская ГРЭС</x:v>
      </x:c>
      <x:c r="B618" s="16" t="str">
        <x:v>2000996423-V311</x:v>
      </x:c>
      <x:c r="C618" s="16" t="str">
        <x:v>ПОДВЕСКА ЖЕСТКАЯ 4454.23-ВК3.2</x:v>
      </x:c>
      <x:c r="D618" s="16" t="str">
        <x:v>Система опорн-подвес</x:v>
      </x:c>
      <x:c r="E618" s="16" t="str">
        <x:v>ШТ</x:v>
      </x:c>
      <x:c r="F618" s="21" t="n">
        <x:v>1</x:v>
      </x:c>
      <x:c r="G618" s="17" t="n">
        <x:v>2331.542</x:v>
      </x:c>
      <x:c r="H618" s="17" t="n">
        <x:f>G618*F618</x:f>
        <x:v>2331.542</x:v>
      </x:c>
      <x:c r="I618" s="22" t="str">
        <x:f>HYPERLINK("https://etp-aktiv.ru/catalog/materialy/truboprovody/2000996423-V311/","Открыть позицию")</x:f>
        <x:v>Открыть позицию</x:v>
      </x:c>
    </x:row>
    <x:row r="619" ht="28" customHeight="1">
      <x:c r="A619" s="16" t="str">
        <x:v>Назаровская ГРЭС</x:v>
      </x:c>
      <x:c r="B619" s="16" t="str">
        <x:v>2000553322-V311</x:v>
      </x:c>
      <x:c r="C619" s="16" t="str">
        <x:v>ПОЛУХОМУТ 1-16 ОСТ34-10-735-93</x:v>
      </x:c>
      <x:c r="D619" s="16" t="str">
        <x:v>Система опорн-подвес</x:v>
      </x:c>
      <x:c r="E619" s="16" t="str">
        <x:v>ШТ</x:v>
      </x:c>
      <x:c r="F619" s="21" t="n">
        <x:v>2</x:v>
      </x:c>
      <x:c r="G619" s="17" t="n">
        <x:v>189.28300000000002</x:v>
      </x:c>
      <x:c r="H619" s="17" t="n">
        <x:f>G619*F619</x:f>
        <x:v>378.56600000000003</x:v>
      </x:c>
      <x:c r="I619" s="22" t="str">
        <x:f>HYPERLINK("https://etp-aktiv.ru/catalog/materialy/truboprovody/2000553322-V311/","Открыть позицию")</x:f>
        <x:v>Открыть позицию</x:v>
      </x:c>
    </x:row>
    <x:row r="620" ht="28" customHeight="1">
      <x:c r="A620" s="16" t="str">
        <x:v>Назаровская ГРЭС</x:v>
      </x:c>
      <x:c r="B620" s="16" t="str">
        <x:v>2000803770-V311</x:v>
      </x:c>
      <x:c r="C620" s="16" t="str">
        <x:v>ПРОКЛАДКА А-50-16 ПОН-Б ГОСТ15180-86</x:v>
      </x:c>
      <x:c r="D620" s="16" t="str">
        <x:v>Детали фасонные</x:v>
      </x:c>
      <x:c r="E620" s="16" t="str">
        <x:v>ШТ</x:v>
      </x:c>
      <x:c r="F620" s="21" t="n">
        <x:v>4</x:v>
      </x:c>
      <x:c r="G620" s="17" t="n">
        <x:v>5.49</x:v>
      </x:c>
      <x:c r="H620" s="17" t="n">
        <x:f>G620*F620</x:f>
        <x:v>21.96</x:v>
      </x:c>
      <x:c r="I620" s="22" t="str">
        <x:f>HYPERLINK("https://etp-aktiv.ru/catalog/materialy/truboprovody/2000803770-V311/","Открыть позицию")</x:f>
        <x:v>Открыть позицию</x:v>
      </x:c>
    </x:row>
    <x:row r="621" ht="28" customHeight="1">
      <x:c r="A621" s="16" t="str">
        <x:v>Назаровская ГРЭС</x:v>
      </x:c>
      <x:c r="B621" s="16" t="str">
        <x:v>2000553330-V311</x:v>
      </x:c>
      <x:c r="C621" s="16" t="str">
        <x:v>ПРОУШИНА 1-02 ОСТ34-10-733-93</x:v>
      </x:c>
      <x:c r="D621" s="16" t="str">
        <x:v>Система опорн-подвес</x:v>
      </x:c>
      <x:c r="E621" s="16" t="str">
        <x:v>ШТ</x:v>
      </x:c>
      <x:c r="F621" s="21" t="n">
        <x:v>1</x:v>
      </x:c>
      <x:c r="G621" s="17" t="n">
        <x:v>534.5918</x:v>
      </x:c>
      <x:c r="H621" s="17" t="n">
        <x:f>G621*F621</x:f>
        <x:v>534.5918</x:v>
      </x:c>
      <x:c r="I621" s="22" t="str">
        <x:f>HYPERLINK("https://etp-aktiv.ru/catalog/materialy/truboprovody/2000553330-V311/","Открыть позицию")</x:f>
        <x:v>Открыть позицию</x:v>
      </x:c>
    </x:row>
    <x:row r="622" ht="28" customHeight="1">
      <x:c r="A622" s="16" t="str">
        <x:v>Назаровская ГРЭС</x:v>
      </x:c>
      <x:c r="B622" s="16" t="str">
        <x:v>2000553331-V311</x:v>
      </x:c>
      <x:c r="C622" s="16" t="str">
        <x:v>ПРОУШИНА 1-03 ОСТ34-10-733-93</x:v>
      </x:c>
      <x:c r="D622" s="16" t="str">
        <x:v>Система опорн-подвес</x:v>
      </x:c>
      <x:c r="E622" s="16" t="str">
        <x:v>ШТ</x:v>
      </x:c>
      <x:c r="F622" s="21" t="n">
        <x:v>1</x:v>
      </x:c>
      <x:c r="G622" s="17" t="n">
        <x:v>557.235</x:v>
      </x:c>
      <x:c r="H622" s="17" t="n">
        <x:f>G622*F622</x:f>
        <x:v>557.235</x:v>
      </x:c>
      <x:c r="I622" s="22" t="str">
        <x:f>HYPERLINK("https://etp-aktiv.ru/catalog/materialy/truboprovody/2000553331-V311/","Открыть позицию")</x:f>
        <x:v>Открыть позицию</x:v>
      </x:c>
    </x:row>
    <x:row r="623" ht="28" customHeight="1">
      <x:c r="A623" s="16" t="str">
        <x:v>Назаровская ГРЭС</x:v>
      </x:c>
      <x:c r="B623" s="16" t="str">
        <x:v>2000553332-V311</x:v>
      </x:c>
      <x:c r="C623" s="16" t="str">
        <x:v>ПРОУШИНА 1-04 ОСТ34-10-733-93</x:v>
      </x:c>
      <x:c r="D623" s="16" t="str">
        <x:v>Система опорн-подвес</x:v>
      </x:c>
      <x:c r="E623" s="16" t="str">
        <x:v>ШТ</x:v>
      </x:c>
      <x:c r="F623" s="21" t="n">
        <x:v>3</x:v>
      </x:c>
      <x:c r="G623" s="17" t="n">
        <x:v>1025.9468</x:v>
      </x:c>
      <x:c r="H623" s="17" t="n">
        <x:f>G623*F623</x:f>
        <x:v>3077.8404</x:v>
      </x:c>
      <x:c r="I623" s="22" t="str">
        <x:f>HYPERLINK("https://etp-aktiv.ru/catalog/materialy/truboprovody/2000553332-V311/","Открыть позицию")</x:f>
        <x:v>Открыть позицию</x:v>
      </x:c>
    </x:row>
    <x:row r="624" ht="28" customHeight="1">
      <x:c r="A624" s="16" t="str">
        <x:v>Назаровская ГРЭС</x:v>
      </x:c>
      <x:c r="B624" s="16" t="str">
        <x:v>2000553341-V311</x:v>
      </x:c>
      <x:c r="C624" s="16" t="str">
        <x:v>ПРУЖИНА 04 ОСТ108.764.01-80</x:v>
      </x:c>
      <x:c r="D624" s="16" t="str">
        <x:v>Система опорн-подвес</x:v>
      </x:c>
      <x:c r="E624" s="16" t="str">
        <x:v>ШТ</x:v>
      </x:c>
      <x:c r="F624" s="21" t="n">
        <x:v>2</x:v>
      </x:c>
      <x:c r="G624" s="17" t="n">
        <x:v>559.3944</x:v>
      </x:c>
      <x:c r="H624" s="17" t="n">
        <x:f>G624*F624</x:f>
        <x:v>1118.7888</x:v>
      </x:c>
      <x:c r="I624" s="22" t="str">
        <x:f>HYPERLINK("https://etp-aktiv.ru/catalog/materialy/truboprovody/2000553341-V311/","Открыть позицию")</x:f>
        <x:v>Открыть позицию</x:v>
      </x:c>
    </x:row>
    <x:row r="625" ht="28" customHeight="1">
      <x:c r="A625" s="16" t="str">
        <x:v>Назаровская ГРЭС</x:v>
      </x:c>
      <x:c r="B625" s="16" t="str">
        <x:v>2000553351-V311</x:v>
      </x:c>
      <x:c r="C625" s="16" t="str">
        <x:v>ПРУЖИНА 14 ОСТ108.764.01-80</x:v>
      </x:c>
      <x:c r="D625" s="16" t="str">
        <x:v>Система опорн-подвес</x:v>
      </x:c>
      <x:c r="E625" s="16" t="str">
        <x:v>ШТ</x:v>
      </x:c>
      <x:c r="F625" s="21" t="n">
        <x:v>2</x:v>
      </x:c>
      <x:c r="G625" s="17" t="n">
        <x:v>385.76399999999995</x:v>
      </x:c>
      <x:c r="H625" s="17" t="n">
        <x:f>G625*F625</x:f>
        <x:v>771.5279999999999</x:v>
      </x:c>
      <x:c r="I625" s="22" t="str">
        <x:f>HYPERLINK("https://etp-aktiv.ru/catalog/materialy/truboprovody/2000553351-V311/","Открыть позицию")</x:f>
        <x:v>Открыть позицию</x:v>
      </x:c>
    </x:row>
    <x:row r="626" ht="28" customHeight="1">
      <x:c r="A626" s="16" t="str">
        <x:v>Назаровская ГРЭС</x:v>
      </x:c>
      <x:c r="B626" s="16" t="str">
        <x:v>2000526757-V311</x:v>
      </x:c>
      <x:c r="C626" s="16" t="str">
        <x:v>СЕДЛО 881-250-2 ЗАДВИЖКА 881-250-ЦЗ</x:v>
      </x:c>
      <x:c r="D626" s="16" t="str">
        <x:v>ЗЧ трубопр арматуры</x:v>
      </x:c>
      <x:c r="E626" s="16" t="str">
        <x:v>ШТ</x:v>
      </x:c>
      <x:c r="F626" s="21" t="n">
        <x:v>2</x:v>
      </x:c>
      <x:c r="G626" s="17" t="n">
        <x:v>7179.8952</x:v>
      </x:c>
      <x:c r="H626" s="17" t="n">
        <x:f>G626*F626</x:f>
        <x:v>14359.7904</x:v>
      </x:c>
      <x:c r="I626" s="22" t="str">
        <x:f>HYPERLINK("https://etp-aktiv.ru/catalog/materialy/truboprovodnaya-armatura-i-komplektuyushchie/2000526757-V311/","Открыть позицию")</x:f>
        <x:v>Открыть позицию</x:v>
      </x:c>
    </x:row>
    <x:row r="627" ht="28" customHeight="1">
      <x:c r="A627" s="16" t="str">
        <x:v>Назаровская ГРЭС</x:v>
      </x:c>
      <x:c r="B627" s="16" t="str">
        <x:v>2000553363-V311</x:v>
      </x:c>
      <x:c r="C627" s="16" t="str">
        <x:v>СЕРЬГА 03 ОСТ34-10-730-93</x:v>
      </x:c>
      <x:c r="D627" s="16" t="str">
        <x:v>Система опорн-подвес</x:v>
      </x:c>
      <x:c r="E627" s="16" t="str">
        <x:v>ШТ</x:v>
      </x:c>
      <x:c r="F627" s="21" t="n">
        <x:v>1</x:v>
      </x:c>
      <x:c r="G627" s="17" t="n">
        <x:v>126.1968</x:v>
      </x:c>
      <x:c r="H627" s="17" t="n">
        <x:f>G627*F627</x:f>
        <x:v>126.1968</x:v>
      </x:c>
      <x:c r="I627" s="22" t="str">
        <x:f>HYPERLINK("https://etp-aktiv.ru/catalog/materialy/truboprovody/2000553363-V311/","Открыть позицию")</x:f>
        <x:v>Открыть позицию</x:v>
      </x:c>
    </x:row>
    <x:row r="628" ht="28" customHeight="1">
      <x:c r="A628" s="16" t="str">
        <x:v>Назаровская ГРЭС</x:v>
      </x:c>
      <x:c r="B628" s="16" t="str">
        <x:v>2000553364-V311</x:v>
      </x:c>
      <x:c r="C628" s="16" t="str">
        <x:v>СЕРЬГА 04 ОСТ34-10-730-93</x:v>
      </x:c>
      <x:c r="D628" s="16" t="str">
        <x:v>Система опорн-подвес</x:v>
      </x:c>
      <x:c r="E628" s="16" t="str">
        <x:v>ШТ</x:v>
      </x:c>
      <x:c r="F628" s="21" t="n">
        <x:v>2</x:v>
      </x:c>
      <x:c r="G628" s="17" t="n">
        <x:v>598.4832</x:v>
      </x:c>
      <x:c r="H628" s="17" t="n">
        <x:f>G628*F628</x:f>
        <x:v>1196.9664</x:v>
      </x:c>
      <x:c r="I628" s="22" t="str">
        <x:f>HYPERLINK("https://etp-aktiv.ru/catalog/materialy/truboprovody/2000553364-V311/","Открыть позицию")</x:f>
        <x:v>Открыть позицию</x:v>
      </x:c>
    </x:row>
    <x:row r="629" ht="28" customHeight="1">
      <x:c r="A629" s="16" t="str">
        <x:v>Назаровская ГРЭС</x:v>
      </x:c>
      <x:c r="B629" s="16" t="str">
        <x:v>2000542849-V311</x:v>
      </x:c>
      <x:c r="C629" s="16" t="str">
        <x:v>СТРУБЦИНА ТИП G 50ММ 59202</x:v>
      </x:c>
      <x:c r="D629" s="16" t="str">
        <x:v>Инструмент и спецосн</x:v>
      </x:c>
      <x:c r="E629" s="16" t="str">
        <x:v>ШТ</x:v>
      </x:c>
      <x:c r="F629" s="21" t="n">
        <x:v>2</x:v>
      </x:c>
      <x:c r="G629" s="17" t="n">
        <x:v>84.8388</x:v>
      </x:c>
      <x:c r="H629" s="17" t="n">
        <x:f>G629*F629</x:f>
        <x:v>169.6776</x:v>
      </x:c>
      <x:c r="I629" s="22" t="str">
        <x:f>HYPERLINK("https://etp-aktiv.ru/catalog/materialy/instrument-i-specosnastka/2000542849-V311/","Открыть позицию")</x:f>
        <x:v>Открыть позицию</x:v>
      </x:c>
    </x:row>
    <x:row r="630" ht="28" customHeight="1">
      <x:c r="A630" s="16" t="str">
        <x:v>Назаровская ГРЭС</x:v>
      </x:c>
      <x:c r="B630" s="16" t="str">
        <x:v>2000603879-V311</x:v>
      </x:c>
      <x:c r="C630" s="16" t="str">
        <x:v>ТЕПЛОИЗОЛЯЦИЯ ТРУБН FRZ E-42 THERMAFLEX</x:v>
      </x:c>
      <x:c r="D630" s="16" t="str">
        <x:v>Теплоизоляция</x:v>
      </x:c>
      <x:c r="E630" s="16" t="str">
        <x:v>ПМ</x:v>
      </x:c>
      <x:c r="F630" s="21" t="n">
        <x:v>140</x:v>
      </x:c>
      <x:c r="G630" s="17" t="n">
        <x:v>86.40039999999999</x:v>
      </x:c>
      <x:c r="H630" s="17" t="n">
        <x:f>G630*F630</x:f>
        <x:v>12096.055999999999</x:v>
      </x:c>
      <x:c r="I630" s="22" t="str">
        <x:f>HYPERLINK("https://etp-aktiv.ru/catalog/materialy/teploizolyaciya/2000603879-V311/","Открыть позицию")</x:f>
        <x:v>Открыть позицию</x:v>
      </x:c>
    </x:row>
    <x:row r="631" ht="28" customHeight="1">
      <x:c r="A631" s="16" t="str">
        <x:v>Назаровская ГРЭС</x:v>
      </x:c>
      <x:c r="B631" s="16" t="str">
        <x:v>2000555195-V311</x:v>
      </x:c>
      <x:c r="C631" s="16" t="str">
        <x:v>ТРОЙНИК 09Г2С 273*10-273 ГОСТ17376-01</x:v>
      </x:c>
      <x:c r="D631" s="16" t="str">
        <x:v>Детали фасонные</x:v>
      </x:c>
      <x:c r="E631" s="16" t="str">
        <x:v>ШТ</x:v>
      </x:c>
      <x:c r="F631" s="21" t="n">
        <x:v>2</x:v>
      </x:c>
      <x:c r="G631" s="17" t="n">
        <x:v>2800.7174</x:v>
      </x:c>
      <x:c r="H631" s="17" t="n">
        <x:f>G631*F631</x:f>
        <x:v>5601.4348</x:v>
      </x:c>
      <x:c r="I631" s="22" t="str">
        <x:f>HYPERLINK("https://etp-aktiv.ru/catalog/materialy/truboprovody/2000555195-V311/","Открыть позицию")</x:f>
        <x:v>Открыть позицию</x:v>
      </x:c>
    </x:row>
    <x:row r="632" ht="28" customHeight="1">
      <x:c r="A632" s="16" t="str">
        <x:v>Назаровская ГРЭС</x:v>
      </x:c>
      <x:c r="B632" s="16" t="str">
        <x:v>2000636270-V311</x:v>
      </x:c>
      <x:c r="C632" s="16" t="str">
        <x:v>ТРОЙНИК 201587 PP 110*50*87°</x:v>
      </x:c>
      <x:c r="D632" s="16" t="str">
        <x:v>Детали фасонные</x:v>
      </x:c>
      <x:c r="E632" s="16" t="str">
        <x:v>ШТ</x:v>
      </x:c>
      <x:c r="F632" s="21" t="n">
        <x:v>2</x:v>
      </x:c>
      <x:c r="G632" s="17" t="n">
        <x:v>50.0932</x:v>
      </x:c>
      <x:c r="H632" s="17" t="n">
        <x:f>G632*F632</x:f>
        <x:v>100.1864</x:v>
      </x:c>
      <x:c r="I632" s="22" t="str">
        <x:f>HYPERLINK("https://etp-aktiv.ru/catalog/materialy/truboprovody/2000636270-V311/","Открыть позицию")</x:f>
        <x:v>Открыть позицию</x:v>
      </x:c>
    </x:row>
    <x:row r="633" ht="28" customHeight="1">
      <x:c r="A633" s="16" t="str">
        <x:v>Назаровская ГРЭС</x:v>
      </x:c>
      <x:c r="B633" s="16" t="str">
        <x:v>2000869557-V311</x:v>
      </x:c>
      <x:c r="C633" s="16" t="str">
        <x:v>ТРОЙНИК СТ20 60,3*4-33,7*2,9 ГОСТ17376</x:v>
      </x:c>
      <x:c r="D633" s="16" t="str">
        <x:v>Детали фасонные</x:v>
      </x:c>
      <x:c r="E633" s="16" t="str">
        <x:v>ШТ</x:v>
      </x:c>
      <x:c r="F633" s="21" t="n">
        <x:v>6</x:v>
      </x:c>
      <x:c r="G633" s="17" t="n">
        <x:v>523.2702</x:v>
      </x:c>
      <x:c r="H633" s="17" t="n">
        <x:f>G633*F633</x:f>
        <x:v>3139.6212000000005</x:v>
      </x:c>
      <x:c r="I633" s="22" t="str">
        <x:f>HYPERLINK("https://etp-aktiv.ru/catalog/materialy/truboprovody/2000869557-V311/","Открыть позицию")</x:f>
        <x:v>Открыть позицию</x:v>
      </x:c>
    </x:row>
    <x:row r="634" ht="28" customHeight="1">
      <x:c r="A634" s="16" t="str">
        <x:v>Назаровская ГРЭС</x:v>
      </x:c>
      <x:c r="B634" s="16" t="str">
        <x:v>2000649753-V311</x:v>
      </x:c>
      <x:c r="C634" s="16" t="str">
        <x:v>ТРОЙНИК СТ20 76*3,5 ГОСТ17376-01</x:v>
      </x:c>
      <x:c r="D634" s="16" t="str">
        <x:v>Детали фасонные</x:v>
      </x:c>
      <x:c r="E634" s="16" t="str">
        <x:v>ШТ</x:v>
      </x:c>
      <x:c r="F634" s="21" t="n">
        <x:v>1</x:v>
      </x:c>
      <x:c r="G634" s="17" t="n">
        <x:v>271.0718</x:v>
      </x:c>
      <x:c r="H634" s="17" t="n">
        <x:f>G634*F634</x:f>
        <x:v>271.0718</x:v>
      </x:c>
      <x:c r="I634" s="22" t="str">
        <x:f>HYPERLINK("https://etp-aktiv.ru/catalog/materialy/truboprovody/2000649753-V311/","Открыть позицию")</x:f>
        <x:v>Открыть позицию</x:v>
      </x:c>
    </x:row>
    <x:row r="635" ht="28" customHeight="1">
      <x:c r="A635" s="16" t="str">
        <x:v>Назаровская ГРЭС</x:v>
      </x:c>
      <x:c r="B635" s="16" t="str">
        <x:v>2000555314-V311</x:v>
      </x:c>
      <x:c r="C635" s="16" t="str">
        <x:v>ТРОЙНИК СТ20 89*3,5-57*3 ГОСТ17376-01</x:v>
      </x:c>
      <x:c r="D635" s="16" t="str">
        <x:v>Детали фасонные</x:v>
      </x:c>
      <x:c r="E635" s="16" t="str">
        <x:v>ШТ</x:v>
      </x:c>
      <x:c r="F635" s="21" t="n">
        <x:v>4</x:v>
      </x:c>
      <x:c r="G635" s="17" t="n">
        <x:v>550.891</x:v>
      </x:c>
      <x:c r="H635" s="17" t="n">
        <x:f>G635*F635</x:f>
        <x:v>2203.564</x:v>
      </x:c>
      <x:c r="I635" s="22" t="str">
        <x:f>HYPERLINK("https://etp-aktiv.ru/catalog/materialy/truboprovody/2000555314-V311/","Открыть позицию")</x:f>
        <x:v>Открыть позицию</x:v>
      </x:c>
    </x:row>
    <x:row r="636" ht="28" customHeight="1">
      <x:c r="A636" s="16" t="str">
        <x:v>Назаровская ГРЭС</x:v>
      </x:c>
      <x:c r="B636" s="16" t="str">
        <x:v>2000555313-V311</x:v>
      </x:c>
      <x:c r="C636" s="16" t="str">
        <x:v>ТРОЙНИК СТ20 89*3,5-89 ГОСТ17376-01</x:v>
      </x:c>
      <x:c r="D636" s="16" t="str">
        <x:v>Детали фасонные</x:v>
      </x:c>
      <x:c r="E636" s="16" t="str">
        <x:v>ШТ</x:v>
      </x:c>
      <x:c r="F636" s="21" t="n">
        <x:v>8</x:v>
      </x:c>
      <x:c r="G636" s="17" t="n">
        <x:v>512.4854</x:v>
      </x:c>
      <x:c r="H636" s="17" t="n">
        <x:f>G636*F636</x:f>
        <x:v>4099.8832</x:v>
      </x:c>
      <x:c r="I636" s="22" t="str">
        <x:f>HYPERLINK("https://etp-aktiv.ru/catalog/materialy/truboprovody/2000555313-V311/","Открыть позицию")</x:f>
        <x:v>Открыть позицию</x:v>
      </x:c>
    </x:row>
    <x:row r="637" ht="28" customHeight="1">
      <x:c r="A637" s="16" t="str">
        <x:v>Назаровская ГРЭС</x:v>
      </x:c>
      <x:c r="B637" s="16" t="str">
        <x:v>2000566569-V311</x:v>
      </x:c>
      <x:c r="C637" s="16" t="str">
        <x:v>ТРУБА 09Г2С 25*2,5 ГОСТ8733-74</x:v>
      </x:c>
      <x:c r="D637" s="16" t="str">
        <x:v>Трубы черные бесшов</x:v>
      </x:c>
      <x:c r="E637" s="16" t="str">
        <x:v>Т</x:v>
      </x:c>
      <x:c r="F637" s="30" t="n">
        <x:v>0.175</x:v>
      </x:c>
      <x:c r="G637" s="17" t="n">
        <x:v>113745.9436</x:v>
      </x:c>
      <x:c r="H637" s="17" t="n">
        <x:f>G637*F637</x:f>
        <x:v>19905.540129999998</x:v>
      </x:c>
      <x:c r="I637" s="22" t="str">
        <x:f>HYPERLINK("https://etp-aktiv.ru/catalog/materialy/truby-stalnye-i-polimernye/2000566569-V311/","Открыть позицию")</x:f>
        <x:v>Открыть позицию</x:v>
      </x:c>
    </x:row>
    <x:row r="638" ht="28" customHeight="1">
      <x:c r="A638" s="16" t="str">
        <x:v>Назаровская ГРЭС</x:v>
      </x:c>
      <x:c r="B638" s="16" t="str">
        <x:v>2000560218-V311</x:v>
      </x:c>
      <x:c r="C638" s="16" t="str">
        <x:v>ТРУБА 09Г2С 32*4 ГОСТ8733-74</x:v>
      </x:c>
      <x:c r="D638" s="16" t="str">
        <x:v>Трубы черные бесшов</x:v>
      </x:c>
      <x:c r="E638" s="16" t="str">
        <x:v>Т</x:v>
      </x:c>
      <x:c r="F638" s="30" t="n">
        <x:v>0.117</x:v>
      </x:c>
      <x:c r="G638" s="17" t="n">
        <x:v>49567.4654</x:v>
      </x:c>
      <x:c r="H638" s="17" t="n">
        <x:f>G638*F638</x:f>
        <x:v>5799.393451800001</x:v>
      </x:c>
      <x:c r="I638" s="22" t="str">
        <x:f>HYPERLINK("https://etp-aktiv.ru/catalog/materialy/truby-stalnye-i-polimernye/2000560218-V311/","Открыть позицию")</x:f>
        <x:v>Открыть позицию</x:v>
      </x:c>
    </x:row>
    <x:row r="639" ht="28" customHeight="1">
      <x:c r="A639" s="16" t="str">
        <x:v>Назаровская ГРЭС</x:v>
      </x:c>
      <x:c r="B639" s="16" t="str">
        <x:v>2000680418-V311</x:v>
      </x:c>
      <x:c r="C639" s="16" t="str">
        <x:v>ТРУБА 09Г2С 57*5 ГОСТ8732-78</x:v>
      </x:c>
      <x:c r="D639" s="16" t="str">
        <x:v>Трубы черные бесшов</x:v>
      </x:c>
      <x:c r="E639" s="16" t="str">
        <x:v>Т</x:v>
      </x:c>
      <x:c r="F639" s="30" t="n">
        <x:v>0.05</x:v>
      </x:c>
      <x:c r="G639" s="17" t="n">
        <x:v>155709.4418</x:v>
      </x:c>
      <x:c r="H639" s="17" t="n">
        <x:f>G639*F639</x:f>
        <x:v>7785.47209</x:v>
      </x:c>
      <x:c r="I639" s="22" t="str">
        <x:f>HYPERLINK("https://etp-aktiv.ru/catalog/materialy/truby-stalnye-i-polimernye/2000680418-V311/","Открыть позицию")</x:f>
        <x:v>Открыть позицию</x:v>
      </x:c>
    </x:row>
    <x:row r="640" ht="28" customHeight="1">
      <x:c r="A640" s="16" t="str">
        <x:v>Назаровская ГРЭС</x:v>
      </x:c>
      <x:c r="B640" s="16" t="str">
        <x:v>2000560594-V311</x:v>
      </x:c>
      <x:c r="C640" s="16" t="str">
        <x:v>ТРУБА 09Г2С 630*10 ГОСТ10706-76</x:v>
      </x:c>
      <x:c r="D640" s="16" t="str">
        <x:v>ТрубЧерСварБольшДиам</x:v>
      </x:c>
      <x:c r="E640" s="16" t="str">
        <x:v>Т</x:v>
      </x:c>
      <x:c r="F640" s="26" t="n">
        <x:v>1.344</x:v>
      </x:c>
      <x:c r="G640" s="17" t="n">
        <x:v>34741.4032</x:v>
      </x:c>
      <x:c r="H640" s="17" t="n">
        <x:f>G640*F640</x:f>
        <x:v>46692.445900800005</x:v>
      </x:c>
      <x:c r="I640" s="22" t="str">
        <x:f>HYPERLINK("https://etp-aktiv.ru/catalog/materialy/truby-stalnye-i-polimernye/2000560594-V311/","Открыть позицию")</x:f>
        <x:v>Открыть позицию</x:v>
      </x:c>
    </x:row>
    <x:row r="641" ht="28" customHeight="1">
      <x:c r="A641" s="16" t="str">
        <x:v>Назаровская ГРЭС</x:v>
      </x:c>
      <x:c r="B641" s="16" t="str">
        <x:v>2000148470-V311</x:v>
      </x:c>
      <x:c r="C641" s="16" t="str">
        <x:v>ТРУБА 12Х18Н10Т 10*2 ГОСТ9941-81</x:v>
      </x:c>
      <x:c r="D641" s="16" t="str">
        <x:v>ТрбНж(свр/бш)КрмКтВД</x:v>
      </x:c>
      <x:c r="E641" s="16" t="str">
        <x:v>Т</x:v>
      </x:c>
      <x:c r="F641" s="30" t="n">
        <x:v>0.029</x:v>
      </x:c>
      <x:c r="G641" s="17" t="n">
        <x:v>583312.5</x:v>
      </x:c>
      <x:c r="H641" s="17" t="n">
        <x:f>G641*F641</x:f>
        <x:v>16916.0625</x:v>
      </x:c>
      <x:c r="I641" s="22" t="str">
        <x:f>HYPERLINK("https://etp-aktiv.ru/catalog/materialy/truby-stalnye-i-polimernye/2000148470-V311/","Открыть позицию")</x:f>
        <x:v>Открыть позицию</x:v>
      </x:c>
    </x:row>
    <x:row r="642" ht="28" customHeight="1">
      <x:c r="A642" s="16" t="str">
        <x:v>Назаровская ГРЭС</x:v>
      </x:c>
      <x:c r="B642" s="16" t="str">
        <x:v>2000560642-V311</x:v>
      </x:c>
      <x:c r="C642" s="16" t="str">
        <x:v>ТРУБА 12Х18Н10Т 14*2 ГОСТ9941-81</x:v>
      </x:c>
      <x:c r="D642" s="16" t="str">
        <x:v>ТрбНж(свр/бш)КрмКтВД</x:v>
      </x:c>
      <x:c r="E642" s="16" t="str">
        <x:v>Т</x:v>
      </x:c>
      <x:c r="F642" s="30" t="n">
        <x:v>0.003</x:v>
      </x:c>
      <x:c r="G642" s="17" t="n">
        <x:v>454983.75</x:v>
      </x:c>
      <x:c r="H642" s="17" t="n">
        <x:f>G642*F642</x:f>
        <x:v>1364.95125</x:v>
      </x:c>
      <x:c r="I642" s="22" t="str">
        <x:f>HYPERLINK("https://etp-aktiv.ru/catalog/materialy/truby-stalnye-i-polimernye/2000560642-V311/","Открыть позицию")</x:f>
        <x:v>Открыть позицию</x:v>
      </x:c>
    </x:row>
    <x:row r="643" ht="28" customHeight="1">
      <x:c r="A643" s="16" t="str">
        <x:v>Назаровская ГРЭС</x:v>
      </x:c>
      <x:c r="B643" s="16" t="str">
        <x:v>2000522237-V311</x:v>
      </x:c>
      <x:c r="C643" s="16" t="str">
        <x:v>ТРУБА 12Х18Н10Т 15*2 ГОСТ9941-81</x:v>
      </x:c>
      <x:c r="D643" s="16" t="str">
        <x:v>ТрбНж(свр/бш)КрмКтВД</x:v>
      </x:c>
      <x:c r="E643" s="16" t="str">
        <x:v>Т</x:v>
      </x:c>
      <x:c r="F643" s="30" t="n">
        <x:v>0.001</x:v>
      </x:c>
      <x:c r="G643" s="17" t="n">
        <x:v>343125</x:v>
      </x:c>
      <x:c r="H643" s="17" t="n">
        <x:f>G643*F643</x:f>
        <x:v>343.125</x:v>
      </x:c>
      <x:c r="I643" s="22" t="str">
        <x:f>HYPERLINK("https://etp-aktiv.ru/catalog/materialy/truby-stalnye-i-polimernye/2000522237-V311/","Открыть позицию")</x:f>
        <x:v>Открыть позицию</x:v>
      </x:c>
    </x:row>
    <x:row r="644" ht="28" customHeight="1">
      <x:c r="A644" s="16" t="str">
        <x:v>Назаровская ГРЭС</x:v>
      </x:c>
      <x:c r="B644" s="16" t="str">
        <x:v>2000150903-V311</x:v>
      </x:c>
      <x:c r="C644" s="16" t="str">
        <x:v>ТРУБА 12Х18Н10Т 159*6 ГОСТ9940-81</x:v>
      </x:c>
      <x:c r="D644" s="16" t="str">
        <x:v>ТрбНж(свр/бш)КрмКтВД</x:v>
      </x:c>
      <x:c r="E644" s="16" t="str">
        <x:v>Т</x:v>
      </x:c>
      <x:c r="F644" s="30" t="n">
        <x:v>0.139</x:v>
      </x:c>
      <x:c r="G644" s="17" t="n">
        <x:v>353479.079</x:v>
      </x:c>
      <x:c r="H644" s="17" t="n">
        <x:f>G644*F644</x:f>
        <x:v>49133.591981000005</x:v>
      </x:c>
      <x:c r="I644" s="22" t="str">
        <x:f>HYPERLINK("https://etp-aktiv.ru/catalog/materialy/truby-stalnye-i-polimernye/2000150903-V311/","Открыть позицию")</x:f>
        <x:v>Открыть позицию</x:v>
      </x:c>
    </x:row>
    <x:row r="645" ht="28" customHeight="1">
      <x:c r="A645" s="16" t="str">
        <x:v>Назаровская ГРЭС</x:v>
      </x:c>
      <x:c r="B645" s="16" t="str">
        <x:v>2000560648-V311</x:v>
      </x:c>
      <x:c r="C645" s="16" t="str">
        <x:v>ТРУБА 12Х18Н10Т 16*2 ГОСТ9941-81</x:v>
      </x:c>
      <x:c r="D645" s="16" t="str">
        <x:v>ТрбНж(свр/бш)КрмКтВД</x:v>
      </x:c>
      <x:c r="E645" s="16" t="str">
        <x:v>Т</x:v>
      </x:c>
      <x:c r="F645" s="30" t="n">
        <x:v>0.02</x:v>
      </x:c>
      <x:c r="G645" s="17" t="n">
        <x:v>187366.0018</x:v>
      </x:c>
      <x:c r="H645" s="17" t="n">
        <x:f>G645*F645</x:f>
        <x:v>3747.320036</x:v>
      </x:c>
      <x:c r="I645" s="22" t="str">
        <x:f>HYPERLINK("https://etp-aktiv.ru/catalog/materialy/truby-stalnye-i-polimernye/2000560648-V311/","Открыть позицию")</x:f>
        <x:v>Открыть позицию</x:v>
      </x:c>
    </x:row>
    <x:row r="646" ht="28" customHeight="1">
      <x:c r="A646" s="16" t="str">
        <x:v>Назаровская ГРЭС</x:v>
      </x:c>
      <x:c r="B646" s="16" t="str">
        <x:v>2000560656-V311</x:v>
      </x:c>
      <x:c r="C646" s="16" t="str">
        <x:v>ТРУБА 12Х18Н10Т 20*2 ГОСТ9941-81</x:v>
      </x:c>
      <x:c r="D646" s="16" t="str">
        <x:v>ТрбНж(свр/бш)КрмКтВД</x:v>
      </x:c>
      <x:c r="E646" s="16" t="str">
        <x:v>Т</x:v>
      </x:c>
      <x:c r="F646" s="30" t="n">
        <x:v>0.002</x:v>
      </x:c>
      <x:c r="G646" s="17" t="n">
        <x:v>299891.25</x:v>
      </x:c>
      <x:c r="H646" s="17" t="n">
        <x:f>G646*F646</x:f>
        <x:v>599.7825</x:v>
      </x:c>
      <x:c r="I646" s="22" t="str">
        <x:f>HYPERLINK("https://etp-aktiv.ru/catalog/materialy/truby-stalnye-i-polimernye/2000560656-V311/","Открыть позицию")</x:f>
        <x:v>Открыть позицию</x:v>
      </x:c>
    </x:row>
    <x:row r="647" ht="28" customHeight="1">
      <x:c r="A647" s="16" t="str">
        <x:v>Назаровская ГРЭС</x:v>
      </x:c>
      <x:c r="B647" s="16" t="str">
        <x:v>2000560658-V311</x:v>
      </x:c>
      <x:c r="C647" s="16" t="str">
        <x:v>ТРУБА 12Х18Н10Т 20*3 ГОСТ9941-81</x:v>
      </x:c>
      <x:c r="D647" s="16" t="str">
        <x:v>ТрбНж(свр/бш)КрмКтВД</x:v>
      </x:c>
      <x:c r="E647" s="16" t="str">
        <x:v>Т</x:v>
      </x:c>
      <x:c r="F647" s="30" t="n">
        <x:v>0.05</x:v>
      </x:c>
      <x:c r="G647" s="17" t="n">
        <x:v>162126.5686</x:v>
      </x:c>
      <x:c r="H647" s="17" t="n">
        <x:f>G647*F647</x:f>
        <x:v>8106.3284300000005</x:v>
      </x:c>
      <x:c r="I647" s="22" t="str">
        <x:f>HYPERLINK("https://etp-aktiv.ru/catalog/materialy/truby-stalnye-i-polimernye/2000560658-V311/","Открыть позицию")</x:f>
        <x:v>Открыть позицию</x:v>
      </x:c>
    </x:row>
    <x:row r="648" ht="28" customHeight="1">
      <x:c r="A648" s="16" t="str">
        <x:v>Назаровская ГРЭС</x:v>
      </x:c>
      <x:c r="B648" s="16" t="str">
        <x:v>2000779426-V311</x:v>
      </x:c>
      <x:c r="C648" s="16" t="str">
        <x:v>ТРУБА 12Х18Н10Т 21*2,5 ГОСТ9941-81</x:v>
      </x:c>
      <x:c r="D648" s="16" t="str">
        <x:v>ТрбНж(свр/бш)КрмКтВД</x:v>
      </x:c>
      <x:c r="E648" s="16" t="str">
        <x:v>Т</x:v>
      </x:c>
      <x:c r="F648" s="30" t="n">
        <x:v>0.002</x:v>
      </x:c>
      <x:c r="G648" s="17" t="n">
        <x:v>390761.0468</x:v>
      </x:c>
      <x:c r="H648" s="17" t="n">
        <x:f>G648*F648</x:f>
        <x:v>781.5220936000001</x:v>
      </x:c>
      <x:c r="I648" s="22" t="str">
        <x:f>HYPERLINK("https://etp-aktiv.ru/catalog/materialy/truby-stalnye-i-polimernye/2000779426-V311/","Открыть позицию")</x:f>
        <x:v>Открыть позицию</x:v>
      </x:c>
    </x:row>
    <x:row r="649" ht="28" customHeight="1">
      <x:c r="A649" s="16" t="str">
        <x:v>Назаровская ГРЭС</x:v>
      </x:c>
      <x:c r="B649" s="16" t="str">
        <x:v>2000709532-V311</x:v>
      </x:c>
      <x:c r="C649" s="16" t="str">
        <x:v>ТРУБА 12Х18Н10Т 28*2,5 ГОСТ9941-81</x:v>
      </x:c>
      <x:c r="D649" s="16" t="str">
        <x:v>ТрбНж(свр/бш)КрмКтВД</x:v>
      </x:c>
      <x:c r="E649" s="16" t="str">
        <x:v>Т</x:v>
      </x:c>
      <x:c r="F649" s="30" t="n">
        <x:v>0.109</x:v>
      </x:c>
      <x:c r="G649" s="17" t="n">
        <x:v>374749.66919999995</x:v>
      </x:c>
      <x:c r="H649" s="17" t="n">
        <x:f>G649*F649</x:f>
        <x:v>40847.713942799994</x:v>
      </x:c>
      <x:c r="I649" s="22" t="str">
        <x:f>HYPERLINK("https://etp-aktiv.ru/catalog/materialy/truby-stalnye-i-polimernye/2000709532-V311/","Открыть позицию")</x:f>
        <x:v>Открыть позицию</x:v>
      </x:c>
    </x:row>
    <x:row r="650" ht="28" customHeight="1">
      <x:c r="A650" s="16" t="str">
        <x:v>Назаровская ГРЭС</x:v>
      </x:c>
      <x:c r="B650" s="16" t="str">
        <x:v>2000522235-V311</x:v>
      </x:c>
      <x:c r="C650" s="16" t="str">
        <x:v>ТРУБА 12Х18Н10Т 32*2,5 ГОСТ9940-81</x:v>
      </x:c>
      <x:c r="D650" s="16" t="str">
        <x:v>ТрбНж(свр/бш)КрмКтВД</x:v>
      </x:c>
      <x:c r="E650" s="16" t="str">
        <x:v>Т</x:v>
      </x:c>
      <x:c r="F650" s="30" t="n">
        <x:v>0.012</x:v>
      </x:c>
      <x:c r="G650" s="17" t="n">
        <x:v>365599.6936</x:v>
      </x:c>
      <x:c r="H650" s="17" t="n">
        <x:f>G650*F650</x:f>
        <x:v>4387.1963232</x:v>
      </x:c>
      <x:c r="I650" s="22" t="str">
        <x:f>HYPERLINK("https://etp-aktiv.ru/catalog/materialy/truby-stalnye-i-polimernye/2000522235-V311/","Открыть позицию")</x:f>
        <x:v>Открыть позицию</x:v>
      </x:c>
    </x:row>
    <x:row r="651" ht="28" customHeight="1">
      <x:c r="A651" s="16" t="str">
        <x:v>Назаровская ГРЭС</x:v>
      </x:c>
      <x:c r="B651" s="16" t="str">
        <x:v>2000560708-V311</x:v>
      </x:c>
      <x:c r="C651" s="16" t="str">
        <x:v>ТРУБА 12Х18Н10Т 8*1 ГОСТ9941-81</x:v>
      </x:c>
      <x:c r="D651" s="16" t="str">
        <x:v>ТрбНж(свр/бш)КрмКтВД</x:v>
      </x:c>
      <x:c r="E651" s="16" t="str">
        <x:v>Т</x:v>
      </x:c>
      <x:c r="F651" s="30" t="n">
        <x:v>0.002</x:v>
      </x:c>
      <x:c r="G651" s="17" t="n">
        <x:v>544254.5782</x:v>
      </x:c>
      <x:c r="H651" s="17" t="n">
        <x:f>G651*F651</x:f>
        <x:v>1088.5091564</x:v>
      </x:c>
      <x:c r="I651" s="22" t="str">
        <x:f>HYPERLINK("https://etp-aktiv.ru/catalog/materialy/truby-stalnye-i-polimernye/2000560708-V311/","Открыть позицию")</x:f>
        <x:v>Открыть позицию</x:v>
      </x:c>
    </x:row>
    <x:row r="652" ht="28" customHeight="1">
      <x:c r="A652" s="16" t="str">
        <x:v>Назаровская ГРЭС</x:v>
      </x:c>
      <x:c r="B652" s="16" t="str">
        <x:v>2000546003-V311</x:v>
      </x:c>
      <x:c r="C652" s="16" t="str">
        <x:v>ТРУБА 12Х1МФ 133*13 ТУ14-3Р-55-01</x:v>
      </x:c>
      <x:c r="D652" s="16" t="str">
        <x:v>Трубы котельные в/д</x:v>
      </x:c>
      <x:c r="E652" s="16" t="str">
        <x:v>Т</x:v>
      </x:c>
      <x:c r="F652" s="30" t="n">
        <x:v>0.052</x:v>
      </x:c>
      <x:c r="G652" s="17" t="n">
        <x:v>69711.5564</x:v>
      </x:c>
      <x:c r="H652" s="17" t="n">
        <x:f>G652*F652</x:f>
        <x:v>3625.0009328</x:v>
      </x:c>
      <x:c r="I652" s="22" t="str">
        <x:f>HYPERLINK("https://etp-aktiv.ru/catalog/materialy/truby-stalnye-i-polimernye/2000546003-V311/","Открыть позицию")</x:f>
        <x:v>Открыть позицию</x:v>
      </x:c>
    </x:row>
    <x:row r="653" ht="28" customHeight="1">
      <x:c r="A653" s="16" t="str">
        <x:v>Назаровская ГРЭС</x:v>
      </x:c>
      <x:c r="B653" s="16" t="str">
        <x:v>2000546006-V311</x:v>
      </x:c>
      <x:c r="C653" s="16" t="str">
        <x:v>ТРУБА 12Х1МФ 133*16 ТУ14-3Р-55-01</x:v>
      </x:c>
      <x:c r="D653" s="16" t="str">
        <x:v>Трубы котельные в/д</x:v>
      </x:c>
      <x:c r="E653" s="16" t="str">
        <x:v>Т</x:v>
      </x:c>
      <x:c r="F653" s="30" t="n">
        <x:v>0.74</x:v>
      </x:c>
      <x:c r="G653" s="17" t="n">
        <x:v>150181.3534</x:v>
      </x:c>
      <x:c r="H653" s="17" t="n">
        <x:f>G653*F653</x:f>
        <x:v>111134.20151599999</x:v>
      </x:c>
      <x:c r="I653" s="22" t="str">
        <x:f>HYPERLINK("https://etp-aktiv.ru/catalog/materialy/truby-stalnye-i-polimernye/2000546006-V311/","Открыть позицию")</x:f>
        <x:v>Открыть позицию</x:v>
      </x:c>
    </x:row>
    <x:row r="654" ht="28" customHeight="1">
      <x:c r="A654" s="16" t="str">
        <x:v>Назаровская ГРЭС</x:v>
      </x:c>
      <x:c r="B654" s="16" t="str">
        <x:v>2000546019-V311</x:v>
      </x:c>
      <x:c r="C654" s="16" t="str">
        <x:v>ТРУБА 12Х1МФ 133*30 ТУ14-3Р-55-01</x:v>
      </x:c>
      <x:c r="D654" s="16" t="str">
        <x:v>Трубы котельные в/д</x:v>
      </x:c>
      <x:c r="E654" s="16" t="str">
        <x:v>Т</x:v>
      </x:c>
      <x:c r="F654" s="30" t="n">
        <x:v>0.855</x:v>
      </x:c>
      <x:c r="G654" s="17" t="n">
        <x:v>240187.5</x:v>
      </x:c>
      <x:c r="H654" s="17" t="n">
        <x:f>G654*F654</x:f>
        <x:v>205360.3125</x:v>
      </x:c>
      <x:c r="I654" s="22" t="str">
        <x:f>HYPERLINK("https://etp-aktiv.ru/catalog/materialy/truby-stalnye-i-polimernye/2000546019-V311/","Открыть позицию")</x:f>
        <x:v>Открыть позицию</x:v>
      </x:c>
    </x:row>
    <x:row r="655" ht="28" customHeight="1">
      <x:c r="A655" s="16" t="str">
        <x:v>Назаровская ГРЭС</x:v>
      </x:c>
      <x:c r="B655" s="16" t="str">
        <x:v>2000546020-V311</x:v>
      </x:c>
      <x:c r="C655" s="16" t="str">
        <x:v>ТРУБА 12Х1МФ 159*20 ТУ14-3Р-55-01</x:v>
      </x:c>
      <x:c r="D655" s="16" t="str">
        <x:v>Трубы котельные в/д</x:v>
      </x:c>
      <x:c r="E655" s="16" t="str">
        <x:v>Т</x:v>
      </x:c>
      <x:c r="F655" s="30" t="n">
        <x:v>0.821</x:v>
      </x:c>
      <x:c r="G655" s="17" t="n">
        <x:v>139119.2474</x:v>
      </x:c>
      <x:c r="H655" s="17" t="n">
        <x:f>G655*F655</x:f>
        <x:v>114216.9021154</x:v>
      </x:c>
      <x:c r="I655" s="22" t="str">
        <x:f>HYPERLINK("https://etp-aktiv.ru/catalog/materialy/truby-stalnye-i-polimernye/2000546020-V311/","Открыть позицию")</x:f>
        <x:v>Открыть позицию</x:v>
      </x:c>
    </x:row>
    <x:row r="656" ht="28" customHeight="1">
      <x:c r="A656" s="16" t="str">
        <x:v>Назаровская ГРЭС</x:v>
      </x:c>
      <x:c r="B656" s="16" t="str">
        <x:v>2000546062-V311</x:v>
      </x:c>
      <x:c r="C656" s="16" t="str">
        <x:v>ТРУБА 12Х1МФ 194*15 ТУ14-3Р-55-01</x:v>
      </x:c>
      <x:c r="D656" s="16" t="str">
        <x:v>Трубы котельные в/д</x:v>
      </x:c>
      <x:c r="E656" s="16" t="str">
        <x:v>Т</x:v>
      </x:c>
      <x:c r="F656" s="30" t="n">
        <x:v>0.419</x:v>
      </x:c>
      <x:c r="G656" s="17" t="n">
        <x:v>311858.9254</x:v>
      </x:c>
      <x:c r="H656" s="17" t="n">
        <x:f>G656*F656</x:f>
        <x:v>130668.8897426</x:v>
      </x:c>
      <x:c r="I656" s="22" t="str">
        <x:f>HYPERLINK("https://etp-aktiv.ru/catalog/materialy/truby-stalnye-i-polimernye/2000546062-V311/","Открыть позицию")</x:f>
        <x:v>Открыть позицию</x:v>
      </x:c>
    </x:row>
    <x:row r="657" ht="28" customHeight="1">
      <x:c r="A657" s="16" t="str">
        <x:v>Назаровская ГРЭС</x:v>
      </x:c>
      <x:c r="B657" s="16" t="str">
        <x:v>2000546109-V311</x:v>
      </x:c>
      <x:c r="C657" s="16" t="str">
        <x:v>ТРУБА 12Х1МФ 194*16 ТУ14-3Р-55-01</x:v>
      </x:c>
      <x:c r="D657" s="16" t="str">
        <x:v>Трубы котельные в/д</x:v>
      </x:c>
      <x:c r="E657" s="16" t="str">
        <x:v>Т</x:v>
      </x:c>
      <x:c r="F657" s="30" t="n">
        <x:v>0.2</x:v>
      </x:c>
      <x:c r="G657" s="17" t="n">
        <x:v>77203.125</x:v>
      </x:c>
      <x:c r="H657" s="17" t="n">
        <x:f>G657*F657</x:f>
        <x:v>15440.625</x:v>
      </x:c>
      <x:c r="I657" s="22" t="str">
        <x:f>HYPERLINK("https://etp-aktiv.ru/catalog/materialy/truby-stalnye-i-polimernye/2000546109-V311/","Открыть позицию")</x:f>
        <x:v>Открыть позицию</x:v>
      </x:c>
    </x:row>
    <x:row r="658" ht="28" customHeight="1">
      <x:c r="A658" s="16" t="str">
        <x:v>Назаровская ГРЭС</x:v>
      </x:c>
      <x:c r="B658" s="16" t="str">
        <x:v>2000546108-V311</x:v>
      </x:c>
      <x:c r="C658" s="16" t="str">
        <x:v>ТРУБА 12Х1МФ 273*30 ТУ14-3Р-55-01</x:v>
      </x:c>
      <x:c r="D658" s="16" t="str">
        <x:v>Трубы котельные в/д</x:v>
      </x:c>
      <x:c r="E658" s="16" t="str">
        <x:v>Т</x:v>
      </x:c>
      <x:c r="F658" s="30" t="n">
        <x:v>0.113</x:v>
      </x:c>
      <x:c r="G658" s="17" t="n">
        <x:v>224468.6052</x:v>
      </x:c>
      <x:c r="H658" s="17" t="n">
        <x:f>G658*F658</x:f>
        <x:v>25364.9523876</x:v>
      </x:c>
      <x:c r="I658" s="22" t="str">
        <x:f>HYPERLINK("https://etp-aktiv.ru/catalog/materialy/truby-stalnye-i-polimernye/2000546108-V311/","Открыть позицию")</x:f>
        <x:v>Открыть позицию</x:v>
      </x:c>
    </x:row>
    <x:row r="659" ht="28" customHeight="1">
      <x:c r="A659" s="16" t="str">
        <x:v>Назаровская ГРЭС</x:v>
      </x:c>
      <x:c r="B659" s="16" t="str">
        <x:v>2000546083-V311</x:v>
      </x:c>
      <x:c r="C659" s="16" t="str">
        <x:v>ТРУБА 12Х1МФ 273*36 ТУ14-3Р-55-01</x:v>
      </x:c>
      <x:c r="D659" s="16" t="str">
        <x:v>Трубы котельные в/д</x:v>
      </x:c>
      <x:c r="E659" s="16" t="str">
        <x:v>Т</x:v>
      </x:c>
      <x:c r="F659" s="30" t="n">
        <x:v>0.562</x:v>
      </x:c>
      <x:c r="G659" s="17" t="n">
        <x:v>257343.75</x:v>
      </x:c>
      <x:c r="H659" s="17" t="n">
        <x:f>G659*F659</x:f>
        <x:v>144627.1875</x:v>
      </x:c>
      <x:c r="I659" s="22" t="str">
        <x:f>HYPERLINK("https://etp-aktiv.ru/catalog/materialy/truby-stalnye-i-polimernye/2000546083-V311/","Открыть позицию")</x:f>
        <x:v>Открыть позицию</x:v>
      </x:c>
    </x:row>
    <x:row r="660" ht="28" customHeight="1">
      <x:c r="A660" s="16" t="str">
        <x:v>Назаровская ГРЭС</x:v>
      </x:c>
      <x:c r="B660" s="16" t="str">
        <x:v>2000546107-V311</x:v>
      </x:c>
      <x:c r="C660" s="16" t="str">
        <x:v>ТРУБА 12Х1МФ 273*40 ТУ14-3Р-55-01</x:v>
      </x:c>
      <x:c r="D660" s="16" t="str">
        <x:v>Трубы котельные в/д</x:v>
      </x:c>
      <x:c r="E660" s="16" t="str">
        <x:v>Т</x:v>
      </x:c>
      <x:c r="F660" s="26" t="n">
        <x:v>3.28</x:v>
      </x:c>
      <x:c r="G660" s="17" t="n">
        <x:v>238116.2572</x:v>
      </x:c>
      <x:c r="H660" s="17" t="n">
        <x:f>G660*F660</x:f>
        <x:v>781021.3236159999</x:v>
      </x:c>
      <x:c r="I660" s="22" t="str">
        <x:f>HYPERLINK("https://etp-aktiv.ru/catalog/materialy/truby-stalnye-i-polimernye/2000546107-V311/","Открыть позицию")</x:f>
        <x:v>Открыть позицию</x:v>
      </x:c>
    </x:row>
    <x:row r="661" ht="28" customHeight="1">
      <x:c r="A661" s="16" t="str">
        <x:v>Назаровская ГРЭС</x:v>
      </x:c>
      <x:c r="B661" s="16" t="str">
        <x:v>2000545859-V311</x:v>
      </x:c>
      <x:c r="C661" s="16" t="str">
        <x:v>ТРУБА 12Х1МФ 32*6 ТУ14-3-460-75</x:v>
      </x:c>
      <x:c r="D661" s="16" t="str">
        <x:v>Трубы котельные в/д</x:v>
      </x:c>
      <x:c r="E661" s="16" t="str">
        <x:v>Т</x:v>
      </x:c>
      <x:c r="F661" s="30" t="n">
        <x:v>0.077</x:v>
      </x:c>
      <x:c r="G661" s="17" t="n">
        <x:v>182751.9008</x:v>
      </x:c>
      <x:c r="H661" s="17" t="n">
        <x:f>G661*F661</x:f>
        <x:v>14071.8963616</x:v>
      </x:c>
      <x:c r="I661" s="22" t="str">
        <x:f>HYPERLINK("https://etp-aktiv.ru/catalog/materialy/truby-stalnye-i-polimernye/2000545859-V311/","Открыть позицию")</x:f>
        <x:v>Открыть позицию</x:v>
      </x:c>
    </x:row>
    <x:row r="662" ht="28" customHeight="1">
      <x:c r="A662" s="16" t="str">
        <x:v>Назаровская ГРЭС</x:v>
      </x:c>
      <x:c r="B662" s="16" t="str">
        <x:v>2000546026-V311</x:v>
      </x:c>
      <x:c r="C662" s="16" t="str">
        <x:v>ТРУБА 12Х1МФ 32*7,5 ТУ14-3Р-55-01</x:v>
      </x:c>
      <x:c r="D662" s="16" t="str">
        <x:v>Трубы котельные в/д</x:v>
      </x:c>
      <x:c r="E662" s="16" t="str">
        <x:v>Т</x:v>
      </x:c>
      <x:c r="F662" s="30" t="n">
        <x:v>0.066</x:v>
      </x:c>
      <x:c r="G662" s="17" t="n">
        <x:v>158001.9682</x:v>
      </x:c>
      <x:c r="H662" s="17" t="n">
        <x:f>G662*F662</x:f>
        <x:v>10428.1299012</x:v>
      </x:c>
      <x:c r="I662" s="22" t="str">
        <x:f>HYPERLINK("https://etp-aktiv.ru/catalog/materialy/truby-stalnye-i-polimernye/2000546026-V311/","Открыть позицию")</x:f>
        <x:v>Открыть позицию</x:v>
      </x:c>
    </x:row>
    <x:row r="663" ht="28" customHeight="1">
      <x:c r="A663" s="16" t="str">
        <x:v>Назаровская ГРЭС</x:v>
      </x:c>
      <x:c r="B663" s="16" t="str">
        <x:v>2000545988-V311</x:v>
      </x:c>
      <x:c r="C663" s="16" t="str">
        <x:v>ТРУБА 12Х1МФ 42*4,5 ТУ14-3Р-55-01</x:v>
      </x:c>
      <x:c r="D663" s="16" t="str">
        <x:v>Трубы котельные в/д</x:v>
      </x:c>
      <x:c r="E663" s="16" t="str">
        <x:v>Т</x:v>
      </x:c>
      <x:c r="F663" s="30" t="n">
        <x:v>0.9</x:v>
      </x:c>
      <x:c r="G663" s="17" t="n">
        <x:v>81224.15959999998</x:v>
      </x:c>
      <x:c r="H663" s="17" t="n">
        <x:f>G663*F663</x:f>
        <x:v>73101.74363999999</x:v>
      </x:c>
      <x:c r="I663" s="22" t="str">
        <x:f>HYPERLINK("https://etp-aktiv.ru/catalog/materialy/truby-stalnye-i-polimernye/2000545988-V311/","Открыть позицию")</x:f>
        <x:v>Открыть позицию</x:v>
      </x:c>
    </x:row>
    <x:row r="664" ht="28" customHeight="1">
      <x:c r="A664" s="16" t="str">
        <x:v>Назаровская ГРЭС</x:v>
      </x:c>
      <x:c r="B664" s="16" t="str">
        <x:v>2000545995-V311</x:v>
      </x:c>
      <x:c r="C664" s="16" t="str">
        <x:v>ТРУБА 12Х1МФ 42*6 ТУ14-3Р-55-01</x:v>
      </x:c>
      <x:c r="D664" s="16" t="str">
        <x:v>Трубы котельные в/д</x:v>
      </x:c>
      <x:c r="E664" s="16" t="str">
        <x:v>Т</x:v>
      </x:c>
      <x:c r="F664" s="30" t="n">
        <x:v>0.95</x:v>
      </x:c>
      <x:c r="G664" s="17" t="n">
        <x:v>218530.9506</x:v>
      </x:c>
      <x:c r="H664" s="17" t="n">
        <x:f>G664*F664</x:f>
        <x:v>207604.40307</x:v>
      </x:c>
      <x:c r="I664" s="22" t="str">
        <x:f>HYPERLINK("https://etp-aktiv.ru/catalog/materialy/truby-stalnye-i-polimernye/2000545995-V311/","Открыть позицию")</x:f>
        <x:v>Открыть позицию</x:v>
      </x:c>
    </x:row>
    <x:row r="665" ht="28" customHeight="1">
      <x:c r="A665" s="16" t="str">
        <x:v>Назаровская ГРЭС</x:v>
      </x:c>
      <x:c r="B665" s="16" t="str">
        <x:v>2000246040-V311</x:v>
      </x:c>
      <x:c r="C665" s="16" t="str">
        <x:v>ТРУБА 12Х1МФ 465*22 ТУ14-3Р-55-01</x:v>
      </x:c>
      <x:c r="D665" s="16" t="str">
        <x:v>Трубы котельные в/д</x:v>
      </x:c>
      <x:c r="E665" s="16" t="str">
        <x:v>Т</x:v>
      </x:c>
      <x:c r="F665" s="26" t="n">
        <x:v>1.59</x:v>
      </x:c>
      <x:c r="G665" s="17" t="n">
        <x:v>296695.13060000003</x:v>
      </x:c>
      <x:c r="H665" s="17" t="n">
        <x:f>G665*F665</x:f>
        <x:v>471745.2576540001</x:v>
      </x:c>
      <x:c r="I665" s="22" t="str">
        <x:f>HYPERLINK("https://etp-aktiv.ru/catalog/materialy/truby-stalnye-i-polimernye/2000246040-V311/","Открыть позицию")</x:f>
        <x:v>Открыть позицию</x:v>
      </x:c>
    </x:row>
    <x:row r="666" ht="28" customHeight="1">
      <x:c r="A666" s="16" t="str">
        <x:v>Назаровская ГРЭС</x:v>
      </x:c>
      <x:c r="B666" s="16" t="str">
        <x:v>2000147499-V311</x:v>
      </x:c>
      <x:c r="C666" s="16" t="str">
        <x:v>ТРУБА 12Х1МФ 76*13 ТУ14-3Р-55-01</x:v>
      </x:c>
      <x:c r="D666" s="16" t="str">
        <x:v>Трубы котельные в/д</x:v>
      </x:c>
      <x:c r="E666" s="16" t="str">
        <x:v>Т</x:v>
      </x:c>
      <x:c r="F666" s="26" t="n">
        <x:v>5.061</x:v>
      </x:c>
      <x:c r="G666" s="17" t="n">
        <x:v>196791.7584</x:v>
      </x:c>
      <x:c r="H666" s="17" t="n">
        <x:f>G666*F666</x:f>
        <x:v>995963.0892623999</x:v>
      </x:c>
      <x:c r="I666" s="22" t="str">
        <x:f>HYPERLINK("https://etp-aktiv.ru/catalog/materialy/truby-stalnye-i-polimernye/2000147499-V311/","Открыть позицию")</x:f>
        <x:v>Открыть позицию</x:v>
      </x:c>
    </x:row>
    <x:row r="667" ht="28" customHeight="1">
      <x:c r="A667" s="16" t="str">
        <x:v>Назаровская ГРЭС</x:v>
      </x:c>
      <x:c r="B667" s="16" t="str">
        <x:v>2000545853-V311</x:v>
      </x:c>
      <x:c r="C667" s="16" t="str">
        <x:v>ТРУБА 12Х1МФ 76*6 ТУ14-3Р-55-01</x:v>
      </x:c>
      <x:c r="D667" s="16" t="str">
        <x:v>Трубы котельные в/д</x:v>
      </x:c>
      <x:c r="E667" s="16" t="str">
        <x:v>Т</x:v>
      </x:c>
      <x:c r="F667" s="30" t="n">
        <x:v>0.014</x:v>
      </x:c>
      <x:c r="G667" s="17" t="n">
        <x:v>114960.844</x:v>
      </x:c>
      <x:c r="H667" s="17" t="n">
        <x:f>G667*F667</x:f>
        <x:v>1609.451816</x:v>
      </x:c>
      <x:c r="I667" s="22" t="str">
        <x:f>HYPERLINK("https://etp-aktiv.ru/catalog/materialy/truby-stalnye-i-polimernye/2000545853-V311/","Открыть позицию")</x:f>
        <x:v>Открыть позицию</x:v>
      </x:c>
    </x:row>
    <x:row r="668" ht="28" customHeight="1">
      <x:c r="A668" s="16" t="str">
        <x:v>Назаровская ГРЭС</x:v>
      </x:c>
      <x:c r="B668" s="16" t="str">
        <x:v>2000546056-V311</x:v>
      </x:c>
      <x:c r="C668" s="16" t="str">
        <x:v>ТРУБА 12Х1МФ 76*8 ТУ14-3Р-55-01</x:v>
      </x:c>
      <x:c r="D668" s="16" t="str">
        <x:v>Трубы котельные в/д</x:v>
      </x:c>
      <x:c r="E668" s="16" t="str">
        <x:v>Т</x:v>
      </x:c>
      <x:c r="F668" s="26" t="n">
        <x:v>4.04</x:v>
      </x:c>
      <x:c r="G668" s="17" t="n">
        <x:v>174578.1936</x:v>
      </x:c>
      <x:c r="H668" s="17" t="n">
        <x:f>G668*F668</x:f>
        <x:v>705295.902144</x:v>
      </x:c>
      <x:c r="I668" s="22" t="str">
        <x:f>HYPERLINK("https://etp-aktiv.ru/catalog/materialy/truby-stalnye-i-polimernye/2000546056-V311/","Открыть позицию")</x:f>
        <x:v>Открыть позицию</x:v>
      </x:c>
    </x:row>
    <x:row r="669" ht="28" customHeight="1">
      <x:c r="A669" s="16" t="str">
        <x:v>Назаровская ГРЭС</x:v>
      </x:c>
      <x:c r="B669" s="16" t="str">
        <x:v>2000546127-V311</x:v>
      </x:c>
      <x:c r="C669" s="16" t="str">
        <x:v>ТРУБА 12Х1МФ Г 325*60 ТУ14-3Р-55-01</x:v>
      </x:c>
      <x:c r="D669" s="16" t="str">
        <x:v>Трубы котельные в/д</x:v>
      </x:c>
      <x:c r="E669" s="16" t="str">
        <x:v>Т</x:v>
      </x:c>
      <x:c r="F669" s="30" t="n">
        <x:v>0.353</x:v>
      </x:c>
      <x:c r="G669" s="17" t="n">
        <x:v>209061.8596</x:v>
      </x:c>
      <x:c r="H669" s="17" t="n">
        <x:f>G669*F669</x:f>
        <x:v>73798.83643879999</x:v>
      </x:c>
      <x:c r="I669" s="22" t="str">
        <x:f>HYPERLINK("https://etp-aktiv.ru/catalog/materialy/truby-stalnye-i-polimernye/2000546127-V311/","Открыть позицию")</x:f>
        <x:v>Открыть позицию</x:v>
      </x:c>
    </x:row>
    <x:row r="670" ht="28" customHeight="1">
      <x:c r="A670" s="16" t="str">
        <x:v>Назаровская ГРЭС</x:v>
      </x:c>
      <x:c r="B670" s="16" t="str">
        <x:v>2000688038-V311</x:v>
      </x:c>
      <x:c r="C670" s="16" t="str">
        <x:v>ТРУБА 15ГС 219*19 ТУ14-3Р-55-01</x:v>
      </x:c>
      <x:c r="D670" s="16" t="str">
        <x:v>Трубы котельные в/д</x:v>
      </x:c>
      <x:c r="E670" s="16" t="str">
        <x:v>Т</x:v>
      </x:c>
      <x:c r="F670" s="30" t="n">
        <x:v>0.144</x:v>
      </x:c>
      <x:c r="G670" s="17" t="n">
        <x:v>128328.75</x:v>
      </x:c>
      <x:c r="H670" s="17" t="n">
        <x:f>G670*F670</x:f>
        <x:v>18479.34</x:v>
      </x:c>
      <x:c r="I670" s="22" t="str">
        <x:f>HYPERLINK("https://etp-aktiv.ru/catalog/materialy/truby-stalnye-i-polimernye/2000688038-V311/","Открыть позицию")</x:f>
        <x:v>Открыть позицию</x:v>
      </x:c>
    </x:row>
    <x:row r="671" ht="28" customHeight="1">
      <x:c r="A671" s="16" t="str">
        <x:v>Назаровская ГРЭС</x:v>
      </x:c>
      <x:c r="B671" s="16" t="str">
        <x:v>2000546086-V311</x:v>
      </x:c>
      <x:c r="C671" s="16" t="str">
        <x:v>ТРУБА 15ГС 273*24 ТУ14-3Р-55-01</x:v>
      </x:c>
      <x:c r="D671" s="16" t="str">
        <x:v>Трубы котельные в/д</x:v>
      </x:c>
      <x:c r="E671" s="16" t="str">
        <x:v>Т</x:v>
      </x:c>
      <x:c r="F671" s="30" t="n">
        <x:v>0.524</x:v>
      </x:c>
      <x:c r="G671" s="17" t="n">
        <x:v>113745.9436</x:v>
      </x:c>
      <x:c r="H671" s="17" t="n">
        <x:f>G671*F671</x:f>
        <x:v>59602.874446400005</x:v>
      </x:c>
      <x:c r="I671" s="22" t="str">
        <x:f>HYPERLINK("https://etp-aktiv.ru/catalog/materialy/truby-stalnye-i-polimernye/2000546086-V311/","Открыть позицию")</x:f>
        <x:v>Открыть позицию</x:v>
      </x:c>
    </x:row>
    <x:row r="672" ht="28" customHeight="1">
      <x:c r="A672" s="16" t="str">
        <x:v>Назаровская ГРЭС</x:v>
      </x:c>
      <x:c r="B672" s="16" t="str">
        <x:v>2000546081-V311</x:v>
      </x:c>
      <x:c r="C672" s="16" t="str">
        <x:v>ТРУБА 15ГС 377*32 ТУ14-3Р-55-01</x:v>
      </x:c>
      <x:c r="D672" s="16" t="str">
        <x:v>Трубы котельные в/д</x:v>
      </x:c>
      <x:c r="E672" s="16" t="str">
        <x:v>Т</x:v>
      </x:c>
      <x:c r="F672" s="21" t="n">
        <x:v>0</x:v>
      </x:c>
      <x:c r="G672" s="17" t="n">
        <x:v>72534.3436</x:v>
      </x:c>
      <x:c r="H672" s="17" t="n">
        <x:f>G672*F672</x:f>
        <x:v>0</x:v>
      </x:c>
      <x:c r="I672" s="22" t="str">
        <x:f>HYPERLINK("https://etp-aktiv.ru/catalog/materialy/truby-stalnye-i-polimernye/2000546081-V311/","Открыть позицию")</x:f>
        <x:v>Открыть позицию</x:v>
      </x:c>
    </x:row>
    <x:row r="673" ht="28" customHeight="1">
      <x:c r="A673" s="16" t="str">
        <x:v>Назаровская ГРЭС</x:v>
      </x:c>
      <x:c r="B673" s="16" t="str">
        <x:v>2000244129-V311</x:v>
      </x:c>
      <x:c r="C673" s="16" t="str">
        <x:v>ТРУБА 15Х1М1Ф 325*50 ТУ14-3Р-55-01</x:v>
      </x:c>
      <x:c r="D673" s="16" t="str">
        <x:v>Трубы котельные в/д</x:v>
      </x:c>
      <x:c r="E673" s="16" t="str">
        <x:v>Т</x:v>
      </x:c>
      <x:c r="F673" s="26" t="n">
        <x:v>3.204</x:v>
      </x:c>
      <x:c r="G673" s="17" t="n">
        <x:v>123424.49639999999</x:v>
      </x:c>
      <x:c r="H673" s="17" t="n">
        <x:f>G673*F673</x:f>
        <x:v>395452.0864656</x:v>
      </x:c>
      <x:c r="I673" s="22" t="str">
        <x:f>HYPERLINK("https://etp-aktiv.ru/catalog/materialy/truby-stalnye-i-polimernye/2000244129-V311/","Открыть позицию")</x:f>
        <x:v>Открыть позицию</x:v>
      </x:c>
    </x:row>
    <x:row r="674" ht="28" customHeight="1">
      <x:c r="A674" s="16" t="str">
        <x:v>Назаровская ГРЭС</x:v>
      </x:c>
      <x:c r="B674" s="16" t="str">
        <x:v>2000331930-V311</x:v>
      </x:c>
      <x:c r="C674" s="16" t="str">
        <x:v>ТРУБА PPR-C 40*6,7 ГОСТ52134-2003</x:v>
      </x:c>
      <x:c r="D674" s="16" t="str">
        <x:v>Трубы полимер.армир</x:v>
      </x:c>
      <x:c r="E674" s="16" t="str">
        <x:v>М</x:v>
      </x:c>
      <x:c r="F674" s="21" t="n">
        <x:v>50</x:v>
      </x:c>
      <x:c r="G674" s="17" t="n">
        <x:v>110.62960000000001</x:v>
      </x:c>
      <x:c r="H674" s="17" t="n">
        <x:f>G674*F674</x:f>
        <x:v>5531.4800000000005</x:v>
      </x:c>
      <x:c r="I674" s="22" t="str">
        <x:f>HYPERLINK("https://etp-aktiv.ru/catalog/materialy/truby-stalnye-i-polimernye/2000331930-V311/","Открыть позицию")</x:f>
        <x:v>Открыть позицию</x:v>
      </x:c>
    </x:row>
    <x:row r="675" ht="28" customHeight="1">
      <x:c r="A675" s="16" t="str">
        <x:v>Назаровская ГРЭС</x:v>
      </x:c>
      <x:c r="B675" s="16" t="str">
        <x:v>2000331929-V311</x:v>
      </x:c>
      <x:c r="C675" s="16" t="str">
        <x:v>ТРУБА PPR-C 50*8,3 ГОСТ52134-2003</x:v>
      </x:c>
      <x:c r="D675" s="16" t="str">
        <x:v>Трубы полимер.армир</x:v>
      </x:c>
      <x:c r="E675" s="16" t="str">
        <x:v>М</x:v>
      </x:c>
      <x:c r="F675" s="21" t="n">
        <x:v>2</x:v>
      </x:c>
      <x:c r="G675" s="17" t="n">
        <x:v>204.53300000000002</x:v>
      </x:c>
      <x:c r="H675" s="17" t="n">
        <x:f>G675*F675</x:f>
        <x:v>409.06600000000003</x:v>
      </x:c>
      <x:c r="I675" s="22" t="str">
        <x:f>HYPERLINK("https://etp-aktiv.ru/catalog/materialy/truby-stalnye-i-polimernye/2000331929-V311/","Открыть позицию")</x:f>
        <x:v>Открыть позицию</x:v>
      </x:c>
    </x:row>
    <x:row r="676" ht="28" customHeight="1">
      <x:c r="A676" s="16" t="str">
        <x:v>Назаровская ГРЭС</x:v>
      </x:c>
      <x:c r="B676" s="16" t="str">
        <x:v>2000504199-V311</x:v>
      </x:c>
      <x:c r="C676" s="16" t="str">
        <x:v>ТРУБА АРМИР PPR PN25 32*4 ГОСТ52134-03</x:v>
      </x:c>
      <x:c r="D676" s="16" t="str">
        <x:v>Трубы полимер.армир</x:v>
      </x:c>
      <x:c r="E676" s="16" t="str">
        <x:v>М</x:v>
      </x:c>
      <x:c r="F676" s="21" t="n">
        <x:v>2</x:v>
      </x:c>
      <x:c r="G676" s="17" t="n">
        <x:v>74.7738</x:v>
      </x:c>
      <x:c r="H676" s="17" t="n">
        <x:f>G676*F676</x:f>
        <x:v>149.5476</x:v>
      </x:c>
      <x:c r="I676" s="22" t="str">
        <x:f>HYPERLINK("https://etp-aktiv.ru/catalog/materialy/truby-stalnye-i-polimernye/2000504199-V311/","Открыть позицию")</x:f>
        <x:v>Открыть позицию</x:v>
      </x:c>
    </x:row>
    <x:row r="677" ht="28" customHeight="1">
      <x:c r="A677" s="16" t="str">
        <x:v>Назаровская ГРЭС</x:v>
      </x:c>
      <x:c r="B677" s="16" t="str">
        <x:v>2000592912-V311</x:v>
      </x:c>
      <x:c r="C677" s="16" t="str">
        <x:v>ТРУБА Б/Ш СТ20 133*4,5 ГОСТ8732-78</x:v>
      </x:c>
      <x:c r="D677" s="16" t="str">
        <x:v>Трубы черные бесшов</x:v>
      </x:c>
      <x:c r="E677" s="16" t="str">
        <x:v>Т</x:v>
      </x:c>
      <x:c r="F677" s="30" t="n">
        <x:v>0.155</x:v>
      </x:c>
      <x:c r="G677" s="17" t="n">
        <x:v>96075</x:v>
      </x:c>
      <x:c r="H677" s="17" t="n">
        <x:f>G677*F677</x:f>
        <x:v>14891.625</x:v>
      </x:c>
      <x:c r="I677" s="22" t="str">
        <x:f>HYPERLINK("https://etp-aktiv.ru/catalog/materialy/truby-stalnye-i-polimernye/2000592912-V311/","Открыть позицию")</x:f>
        <x:v>Открыть позицию</x:v>
      </x:c>
    </x:row>
    <x:row r="678" ht="28" customHeight="1">
      <x:c r="A678" s="16" t="str">
        <x:v>Назаровская ГРЭС</x:v>
      </x:c>
      <x:c r="B678" s="16" t="str">
        <x:v>2000217284-V311</x:v>
      </x:c>
      <x:c r="C678" s="16" t="str">
        <x:v>ТРУБА Б/Ш СТ20 Г/Д 245*8 ГОСТ8732-78</x:v>
      </x:c>
      <x:c r="D678" s="16" t="str">
        <x:v>Трубы черные бесшов</x:v>
      </x:c>
      <x:c r="E678" s="16" t="str">
        <x:v>Т</x:v>
      </x:c>
      <x:c r="F678" s="30" t="n">
        <x:v>0.118</x:v>
      </x:c>
      <x:c r="G678" s="17" t="n">
        <x:v>98934.39940000001</x:v>
      </x:c>
      <x:c r="H678" s="17" t="n">
        <x:f>G678*F678</x:f>
        <x:v>11674.2591292</x:v>
      </x:c>
      <x:c r="I678" s="22" t="str">
        <x:f>HYPERLINK("https://etp-aktiv.ru/catalog/materialy/truby-stalnye-i-polimernye/2000217284-V311/","Открыть позицию")</x:f>
        <x:v>Открыть позицию</x:v>
      </x:c>
    </x:row>
    <x:row r="679" ht="28" customHeight="1">
      <x:c r="A679" s="16" t="str">
        <x:v>Назаровская ГРЭС</x:v>
      </x:c>
      <x:c r="B679" s="16" t="str">
        <x:v>2000141673-V311</x:v>
      </x:c>
      <x:c r="C679" s="16" t="str">
        <x:v>ТРУБА Б/Ш СТ20 Г/Д 25*3 ГОСТ8732-78</x:v>
      </x:c>
      <x:c r="D679" s="16" t="str">
        <x:v>Трубы черные бесшов</x:v>
      </x:c>
      <x:c r="E679" s="16" t="str">
        <x:v>Т</x:v>
      </x:c>
      <x:c r="F679" s="30" t="n">
        <x:v>0.012</x:v>
      </x:c>
      <x:c r="G679" s="17" t="n">
        <x:v>176623.5968</x:v>
      </x:c>
      <x:c r="H679" s="17" t="n">
        <x:f>G679*F679</x:f>
        <x:v>2119.4831616</x:v>
      </x:c>
      <x:c r="I679" s="22" t="str">
        <x:f>HYPERLINK("https://etp-aktiv.ru/catalog/materialy/truby-stalnye-i-polimernye/2000141673-V311/","Открыть позицию")</x:f>
        <x:v>Открыть позицию</x:v>
      </x:c>
    </x:row>
    <x:row r="680" ht="28" customHeight="1">
      <x:c r="A680" s="16" t="str">
        <x:v>Назаровская ГРЭС</x:v>
      </x:c>
      <x:c r="B680" s="16" t="str">
        <x:v>2000148484-V311</x:v>
      </x:c>
      <x:c r="C680" s="16" t="str">
        <x:v>ТРУБА Б/Ш СТ20 Г/Д 273*10 ГОСТ8732-78</x:v>
      </x:c>
      <x:c r="D680" s="16" t="str">
        <x:v>Трубы черные бесшов</x:v>
      </x:c>
      <x:c r="E680" s="16" t="str">
        <x:v>Т</x:v>
      </x:c>
      <x:c r="F680" s="30" t="n">
        <x:v>0.281</x:v>
      </x:c>
      <x:c r="G680" s="17" t="n">
        <x:v>98641.453</x:v>
      </x:c>
      <x:c r="H680" s="17" t="n">
        <x:f>G680*F680</x:f>
        <x:v>27718.248293</x:v>
      </x:c>
      <x:c r="I680" s="22" t="str">
        <x:f>HYPERLINK("https://etp-aktiv.ru/catalog/materialy/truby-stalnye-i-polimernye/2000148484-V311/","Открыть позицию")</x:f>
        <x:v>Открыть позицию</x:v>
      </x:c>
    </x:row>
    <x:row r="681" ht="28" customHeight="1">
      <x:c r="A681" s="16" t="str">
        <x:v>Назаровская ГРЭС</x:v>
      </x:c>
      <x:c r="B681" s="16" t="str">
        <x:v>2000179903-V311</x:v>
      </x:c>
      <x:c r="C681" s="16" t="str">
        <x:v>ТРУБА Б/Ш СТ20 Г/Д 57*4,5 ГОСТ8732-78</x:v>
      </x:c>
      <x:c r="D681" s="16" t="str">
        <x:v>Трубы черные бесшов</x:v>
      </x:c>
      <x:c r="E681" s="16" t="str">
        <x:v>Т</x:v>
      </x:c>
      <x:c r="F681" s="30" t="n">
        <x:v>0.05</x:v>
      </x:c>
      <x:c r="G681" s="17" t="n">
        <x:v>115633.125</x:v>
      </x:c>
      <x:c r="H681" s="17" t="n">
        <x:f>G681*F681</x:f>
        <x:v>5781.65625</x:v>
      </x:c>
      <x:c r="I681" s="22" t="str">
        <x:f>HYPERLINK("https://etp-aktiv.ru/catalog/materialy/truby-stalnye-i-polimernye/2000179903-V311/","Открыть позицию")</x:f>
        <x:v>Открыть позицию</x:v>
      </x:c>
    </x:row>
    <x:row r="682" ht="28" customHeight="1">
      <x:c r="A682" s="16" t="str">
        <x:v>Назаровская ГРЭС</x:v>
      </x:c>
      <x:c r="B682" s="16" t="str">
        <x:v>2000739105-V311</x:v>
      </x:c>
      <x:c r="C682" s="16" t="str">
        <x:v>ТРУБА Б/Ш СТ20 Г/Д 76*3 ГОСТ8731-74</x:v>
      </x:c>
      <x:c r="D682" s="16" t="str">
        <x:v>Трубы черные бесшов</x:v>
      </x:c>
      <x:c r="E682" s="16" t="str">
        <x:v>Т</x:v>
      </x:c>
      <x:c r="F682" s="30" t="n">
        <x:v>0.131</x:v>
      </x:c>
      <x:c r="G682" s="17" t="n">
        <x:v>95074.234</x:v>
      </x:c>
      <x:c r="H682" s="17" t="n">
        <x:f>G682*F682</x:f>
        <x:v>12454.724654</x:v>
      </x:c>
      <x:c r="I682" s="22" t="str">
        <x:f>HYPERLINK("https://etp-aktiv.ru/catalog/materialy/truby-stalnye-i-polimernye/2000739105-V311/","Открыть позицию")</x:f>
        <x:v>Открыть позицию</x:v>
      </x:c>
    </x:row>
    <x:row r="683" ht="28" customHeight="1">
      <x:c r="A683" s="16" t="str">
        <x:v>Назаровская ГРЭС</x:v>
      </x:c>
      <x:c r="B683" s="16" t="str">
        <x:v>2000141676-V311</x:v>
      </x:c>
      <x:c r="C683" s="16" t="str">
        <x:v>ТРУБА Б/Ш СТ20 Г/Д 76*3,5 ГОСТ8732-78</x:v>
      </x:c>
      <x:c r="D683" s="16" t="str">
        <x:v>Трубы черные бесшов</x:v>
      </x:c>
      <x:c r="E683" s="16" t="str">
        <x:v>Т</x:v>
      </x:c>
      <x:c r="F683" s="30" t="n">
        <x:v>0.054</x:v>
      </x:c>
      <x:c r="G683" s="17" t="n">
        <x:v>142637.4468</x:v>
      </x:c>
      <x:c r="H683" s="17" t="n">
        <x:f>G683*F683</x:f>
        <x:v>7702.4221272</x:v>
      </x:c>
      <x:c r="I683" s="22" t="str">
        <x:f>HYPERLINK("https://etp-aktiv.ru/catalog/materialy/truby-stalnye-i-polimernye/2000141676-V311/","Открыть позицию")</x:f>
        <x:v>Открыть позицию</x:v>
      </x:c>
    </x:row>
    <x:row r="684" ht="28" customHeight="1">
      <x:c r="A684" s="16" t="str">
        <x:v>Назаровская ГРЭС</x:v>
      </x:c>
      <x:c r="B684" s="16" t="str">
        <x:v>2000140854-V311</x:v>
      </x:c>
      <x:c r="C684" s="16" t="str">
        <x:v>ТРУБА Б/Ш СТ20 Г/Д 76*4 ГОСТ8732-78</x:v>
      </x:c>
      <x:c r="D684" s="16" t="str">
        <x:v>Трубы черные бесшов</x:v>
      </x:c>
      <x:c r="E684" s="16" t="str">
        <x:v>Т</x:v>
      </x:c>
      <x:c r="F684" s="30" t="n">
        <x:v>0.17</x:v>
      </x:c>
      <x:c r="G684" s="17" t="n">
        <x:v>98201.04520000001</x:v>
      </x:c>
      <x:c r="H684" s="17" t="n">
        <x:f>G684*F684</x:f>
        <x:v>16694.177684000002</x:v>
      </x:c>
      <x:c r="I684" s="22" t="str">
        <x:f>HYPERLINK("https://etp-aktiv.ru/catalog/materialy/truby-stalnye-i-polimernye/2000140854-V311/","Открыть позицию")</x:f>
        <x:v>Открыть позицию</x:v>
      </x:c>
    </x:row>
    <x:row r="685" ht="28" customHeight="1">
      <x:c r="A685" s="16" t="str">
        <x:v>Назаровская ГРЭС</x:v>
      </x:c>
      <x:c r="B685" s="16" t="str">
        <x:v>2000712504-V311</x:v>
      </x:c>
      <x:c r="C685" s="16" t="str">
        <x:v>ТРУБА Б/Ш СТ3 Г/Д 159*20 ГОСТ8732-78</x:v>
      </x:c>
      <x:c r="D685" s="16" t="str">
        <x:v>Трубы черные бесшов</x:v>
      </x:c>
      <x:c r="E685" s="16" t="str">
        <x:v>Т</x:v>
      </x:c>
      <x:c r="F685" s="21" t="n">
        <x:v>0</x:v>
      </x:c>
      <x:c r="G685" s="17" t="n">
        <x:v>54900</x:v>
      </x:c>
      <x:c r="H685" s="17" t="n">
        <x:f>G685*F685</x:f>
        <x:v>0</x:v>
      </x:c>
      <x:c r="I685" s="22" t="str">
        <x:f>HYPERLINK("https://etp-aktiv.ru/catalog/materialy/truby-stalnye-i-polimernye/2000712504-V311/","Открыть позицию")</x:f>
        <x:v>Открыть позицию</x:v>
      </x:c>
    </x:row>
    <x:row r="686" ht="28" customHeight="1">
      <x:c r="A686" s="16" t="str">
        <x:v>Назаровская ГРЭС</x:v>
      </x:c>
      <x:c r="B686" s="16" t="str">
        <x:v>2000560226-V311</x:v>
      </x:c>
      <x:c r="C686" s="16" t="str">
        <x:v>ТРУБА В-СТ20 325*40 ГОСТ8731-74</x:v>
      </x:c>
      <x:c r="D686" s="16" t="str">
        <x:v>Трубы черные бесшов</x:v>
      </x:c>
      <x:c r="E686" s="16" t="str">
        <x:v>Т</x:v>
      </x:c>
      <x:c r="F686" s="21" t="n">
        <x:v>0</x:v>
      </x:c>
      <x:c r="G686" s="17" t="n">
        <x:v>78747.1936</x:v>
      </x:c>
      <x:c r="H686" s="17" t="n">
        <x:f>G686*F686</x:f>
        <x:v>0</x:v>
      </x:c>
      <x:c r="I686" s="22" t="str">
        <x:f>HYPERLINK("https://etp-aktiv.ru/catalog/materialy/truby-stalnye-i-polimernye/2000560226-V311/","Открыть позицию")</x:f>
        <x:v>Открыть позицию</x:v>
      </x:c>
    </x:row>
    <x:row r="687" ht="28" customHeight="1">
      <x:c r="A687" s="16" t="str">
        <x:v>Назаровская ГРЭС</x:v>
      </x:c>
      <x:c r="B687" s="16" t="str">
        <x:v>2000632766-V311</x:v>
      </x:c>
      <x:c r="C687" s="16" t="str">
        <x:v>ТРУБА В20 18*2 ГОСТ8734-75</x:v>
      </x:c>
      <x:c r="D687" s="16" t="str">
        <x:v>Трубы черные бесшов</x:v>
      </x:c>
      <x:c r="E687" s="16" t="str">
        <x:v>Т</x:v>
      </x:c>
      <x:c r="F687" s="30" t="n">
        <x:v>0.022</x:v>
      </x:c>
      <x:c r="G687" s="17" t="n">
        <x:v>341981.15239999996</x:v>
      </x:c>
      <x:c r="H687" s="17" t="n">
        <x:f>G687*F687</x:f>
        <x:v>7523.585352799999</x:v>
      </x:c>
      <x:c r="I687" s="22" t="str">
        <x:f>HYPERLINK("https://etp-aktiv.ru/catalog/materialy/truby-stalnye-i-polimernye/2000632766-V311/","Открыть позицию")</x:f>
        <x:v>Открыть позицию</x:v>
      </x:c>
    </x:row>
    <x:row r="688" ht="28" customHeight="1">
      <x:c r="A688" s="16" t="str">
        <x:v>Назаровская ГРЭС</x:v>
      </x:c>
      <x:c r="B688" s="16" t="str">
        <x:v>2000284897-V311</x:v>
      </x:c>
      <x:c r="C688" s="16" t="str">
        <x:v>ТРУБА ВГП ОЦ СТ3 20*2,8 ГОСТ3262-75</x:v>
      </x:c>
      <x:c r="D688" s="16" t="str">
        <x:v>ТрбЧерСварМалСрдДиам</x:v>
      </x:c>
      <x:c r="E688" s="16" t="str">
        <x:v>Т</x:v>
      </x:c>
      <x:c r="F688" s="30" t="n">
        <x:v>0.065</x:v>
      </x:c>
      <x:c r="G688" s="17" t="n">
        <x:v>65451.0358</x:v>
      </x:c>
      <x:c r="H688" s="17" t="n">
        <x:f>G688*F688</x:f>
        <x:v>4254.317327</x:v>
      </x:c>
      <x:c r="I688" s="22" t="str">
        <x:f>HYPERLINK("https://etp-aktiv.ru/catalog/materialy/truby-stalnye-i-polimernye/2000284897-V311/","Открыть позицию")</x:f>
        <x:v>Открыть позицию</x:v>
      </x:c>
    </x:row>
    <x:row r="689" ht="28" customHeight="1">
      <x:c r="A689" s="16" t="str">
        <x:v>Назаровская ГРЭС</x:v>
      </x:c>
      <x:c r="B689" s="16" t="str">
        <x:v>2000188265-V311</x:v>
      </x:c>
      <x:c r="C689" s="16" t="str">
        <x:v>ТРУБА ВГП СТ10 40*3,2*7,9 ГОСТ3262-75</x:v>
      </x:c>
      <x:c r="D689" s="16" t="str">
        <x:v>ТрбЧерСварМалСрдДиам</x:v>
      </x:c>
      <x:c r="E689" s="16" t="str">
        <x:v>Т</x:v>
      </x:c>
      <x:c r="F689" s="30" t="n">
        <x:v>0.047</x:v>
      </x:c>
      <x:c r="G689" s="17" t="n">
        <x:v>39659.5648</x:v>
      </x:c>
      <x:c r="H689" s="17" t="n">
        <x:f>G689*F689</x:f>
        <x:v>1863.9995456</x:v>
      </x:c>
      <x:c r="I689" s="22" t="str">
        <x:f>HYPERLINK("https://etp-aktiv.ru/catalog/materialy/truby-stalnye-i-polimernye/2000188265-V311/","Открыть позицию")</x:f>
        <x:v>Открыть позицию</x:v>
      </x:c>
    </x:row>
    <x:row r="690" ht="28" customHeight="1">
      <x:c r="A690" s="16" t="str">
        <x:v>Назаровская ГРЭС</x:v>
      </x:c>
      <x:c r="B690" s="16" t="str">
        <x:v>2000575136-V311</x:v>
      </x:c>
      <x:c r="C690" s="16" t="str">
        <x:v>ТРУБА ВГП СТ20 Р 32*2,8 ГОСТ3262-75</x:v>
      </x:c>
      <x:c r="D690" s="16" t="str">
        <x:v>ТрбЧерСварМалСрдДиам</x:v>
      </x:c>
      <x:c r="E690" s="16" t="str">
        <x:v>Т</x:v>
      </x:c>
      <x:c r="F690" s="30" t="n">
        <x:v>0.006</x:v>
      </x:c>
      <x:c r="G690" s="17" t="n">
        <x:v>46151.1726</x:v>
      </x:c>
      <x:c r="H690" s="17" t="n">
        <x:f>G690*F690</x:f>
        <x:v>276.9070356</x:v>
      </x:c>
      <x:c r="I690" s="22" t="str">
        <x:f>HYPERLINK("https://etp-aktiv.ru/catalog/materialy/truby-stalnye-i-polimernye/2000575136-V311/","Открыть позицию")</x:f>
        <x:v>Открыть позицию</x:v>
      </x:c>
    </x:row>
    <x:row r="691" ht="28" customHeight="1">
      <x:c r="A691" s="16" t="str">
        <x:v>Назаровская ГРЭС</x:v>
      </x:c>
      <x:c r="B691" s="16" t="str">
        <x:v>2000575138-V311</x:v>
      </x:c>
      <x:c r="C691" s="16" t="str">
        <x:v>ТРУБА ВГП СТ20 Р 50*3 ГОСТ3262-75</x:v>
      </x:c>
      <x:c r="D691" s="16" t="str">
        <x:v>ТрбЧерСварМалСрдДиам</x:v>
      </x:c>
      <x:c r="E691" s="16" t="str">
        <x:v>Т</x:v>
      </x:c>
      <x:c r="F691" s="30" t="n">
        <x:v>0.024</x:v>
      </x:c>
      <x:c r="G691" s="17" t="n">
        <x:v>41219.6032</x:v>
      </x:c>
      <x:c r="H691" s="17" t="n">
        <x:f>G691*F691</x:f>
        <x:v>989.2704768</x:v>
      </x:c>
      <x:c r="I691" s="22" t="str">
        <x:f>HYPERLINK("https://etp-aktiv.ru/catalog/materialy/truby-stalnye-i-polimernye/2000575138-V311/","Открыть позицию")</x:f>
        <x:v>Открыть позицию</x:v>
      </x:c>
    </x:row>
    <x:row r="692" ht="28" customHeight="1">
      <x:c r="A692" s="16" t="str">
        <x:v>Назаровская ГРЭС</x:v>
      </x:c>
      <x:c r="B692" s="16" t="str">
        <x:v>2000318409-V311</x:v>
      </x:c>
      <x:c r="C692" s="16" t="str">
        <x:v>ТРУБА ВГП СТ3 Т 80*4 ГОСТ3262-75</x:v>
      </x:c>
      <x:c r="D692" s="16" t="str">
        <x:v>ТрбЧерСварМалСрдДиам</x:v>
      </x:c>
      <x:c r="E692" s="16" t="str">
        <x:v>Т</x:v>
      </x:c>
      <x:c r="F692" s="30" t="n">
        <x:v>0.008</x:v>
      </x:c>
      <x:c r="G692" s="17" t="n">
        <x:v>49638.1888</x:v>
      </x:c>
      <x:c r="H692" s="17" t="n">
        <x:f>G692*F692</x:f>
        <x:v>397.1055104</x:v>
      </x:c>
      <x:c r="I692" s="22" t="str">
        <x:f>HYPERLINK("https://etp-aktiv.ru/catalog/materialy/truby-stalnye-i-polimernye/2000318409-V311/","Открыть позицию")</x:f>
        <x:v>Открыть позицию</x:v>
      </x:c>
    </x:row>
    <x:row r="693" ht="28" customHeight="1">
      <x:c r="A693" s="16" t="str">
        <x:v>Назаровская ГРЭС</x:v>
      </x:c>
      <x:c r="B693" s="16" t="str">
        <x:v>2000603776-V311</x:v>
      </x:c>
      <x:c r="C693" s="16" t="str">
        <x:v>ТРУБА Г 12Х1МФ 273*50 L290ММ ТУ14-3Р-55</x:v>
      </x:c>
      <x:c r="D693" s="16" t="str">
        <x:v>Трубы котельные в/д</x:v>
      </x:c>
      <x:c r="E693" s="16" t="str">
        <x:v>Т</x:v>
      </x:c>
      <x:c r="F693" s="26" t="n">
        <x:v>1.888</x:v>
      </x:c>
      <x:c r="G693" s="17" t="n">
        <x:v>171371.0698</x:v>
      </x:c>
      <x:c r="H693" s="17" t="n">
        <x:f>G693*F693</x:f>
        <x:v>323548.5797824</x:v>
      </x:c>
      <x:c r="I693" s="22" t="str">
        <x:f>HYPERLINK("https://etp-aktiv.ru/catalog/materialy/truby-stalnye-i-polimernye/2000603776-V311/","Открыть позицию")</x:f>
        <x:v>Открыть позицию</x:v>
      </x:c>
    </x:row>
    <x:row r="694" ht="28" customHeight="1">
      <x:c r="A694" s="16" t="str">
        <x:v>Назаровская ГРЭС</x:v>
      </x:c>
      <x:c r="B694" s="16" t="str">
        <x:v>2000469903-V311</x:v>
      </x:c>
      <x:c r="C694" s="16" t="str">
        <x:v>ТРУБА ГОФРИР ПВХ CTG20-32-K41-025I</x:v>
      </x:c>
      <x:c r="D694" s="16" t="str">
        <x:v>Монтажн изд д/кабел</x:v>
      </x:c>
      <x:c r="E694" s="16" t="str">
        <x:v>М</x:v>
      </x:c>
      <x:c r="F694" s="21" t="n">
        <x:v>10</x:v>
      </x:c>
      <x:c r="G694" s="17" t="n">
        <x:v>25.802999999999997</x:v>
      </x:c>
      <x:c r="H694" s="17" t="n">
        <x:f>G694*F694</x:f>
        <x:v>258.03</x:v>
      </x:c>
      <x:c r="I694" s="22" t="str">
        <x:f>HYPERLINK("https://etp-aktiv.ru/catalog/materialy/ehlektrotekhnicheskie-materialy/2000469903-V311/","Открыть позицию")</x:f>
        <x:v>Открыть позицию</x:v>
      </x:c>
    </x:row>
    <x:row r="695" ht="28" customHeight="1">
      <x:c r="A695" s="16" t="str">
        <x:v>Назаровская ГРЭС</x:v>
      </x:c>
      <x:c r="B695" s="16" t="str">
        <x:v>2000602201-V311</x:v>
      </x:c>
      <x:c r="C695" s="16" t="str">
        <x:v>ТРУБА ГОФРИРОВАННАЯ DN7 DKC PA600710V2</x:v>
      </x:c>
      <x:c r="D695" s="16" t="str">
        <x:v>Монтажн изд д/кабел</x:v>
      </x:c>
      <x:c r="E695" s="16" t="str">
        <x:v>М</x:v>
      </x:c>
      <x:c r="F695" s="21" t="n">
        <x:v>50</x:v>
      </x:c>
      <x:c r="G695" s="17" t="n">
        <x:v>16.5066</x:v>
      </x:c>
      <x:c r="H695" s="17" t="n">
        <x:f>G695*F695</x:f>
        <x:v>825.3299999999999</x:v>
      </x:c>
      <x:c r="I695" s="22" t="str">
        <x:f>HYPERLINK("https://etp-aktiv.ru/catalog/materialy/ehlektrotekhnicheskie-materialy/2000602201-V311/","Открыть позицию")</x:f>
        <x:v>Открыть позицию</x:v>
      </x:c>
    </x:row>
    <x:row r="696" ht="28" customHeight="1">
      <x:c r="A696" s="16" t="str">
        <x:v>Назаровская ГРЭС</x:v>
      </x:c>
      <x:c r="B696" s="16" t="str">
        <x:v>2000546158-V311</x:v>
      </x:c>
      <x:c r="C696" s="16" t="str">
        <x:v>ТРУБА КВД 12Х1МФ 16*2,5 ТУ14-3Р-55-01</x:v>
      </x:c>
      <x:c r="D696" s="16" t="str">
        <x:v>Трубы котельные в/д</x:v>
      </x:c>
      <x:c r="E696" s="16" t="str">
        <x:v>КГ</x:v>
      </x:c>
      <x:c r="F696" s="21" t="n">
        <x:v>1156</x:v>
      </x:c>
      <x:c r="G696" s="17" t="n">
        <x:v>308.8186</x:v>
      </x:c>
      <x:c r="H696" s="17" t="n">
        <x:f>G696*F696</x:f>
        <x:v>356994.3016</x:v>
      </x:c>
      <x:c r="I696" s="22" t="str">
        <x:f>HYPERLINK("https://etp-aktiv.ru/catalog/materialy/truby-stalnye-i-polimernye/2000546158-V311/","Открыть позицию")</x:f>
        <x:v>Открыть позицию</x:v>
      </x:c>
    </x:row>
    <x:row r="697" ht="28" customHeight="1">
      <x:c r="A697" s="16" t="str">
        <x:v>Назаровская ГРЭС</x:v>
      </x:c>
      <x:c r="B697" s="16" t="str">
        <x:v>2000546089-V311</x:v>
      </x:c>
      <x:c r="C697" s="16" t="str">
        <x:v>ТРУБА КВД 12Х1МФ 32*6 ТУ14-3Р-55-01</x:v>
      </x:c>
      <x:c r="D697" s="16" t="str">
        <x:v>Трубы котельные в/д</x:v>
      </x:c>
      <x:c r="E697" s="16" t="str">
        <x:v>Т</x:v>
      </x:c>
      <x:c r="F697" s="30" t="n">
        <x:v>0.201</x:v>
      </x:c>
      <x:c r="G697" s="17" t="n">
        <x:v>178354.56939999998</x:v>
      </x:c>
      <x:c r="H697" s="17" t="n">
        <x:f>G697*F697</x:f>
        <x:v>35849.2684494</x:v>
      </x:c>
      <x:c r="I697" s="22" t="str">
        <x:f>HYPERLINK("https://etp-aktiv.ru/catalog/materialy/truby-stalnye-i-polimernye/2000546089-V311/","Открыть позицию")</x:f>
        <x:v>Открыть позицию</x:v>
      </x:c>
    </x:row>
    <x:row r="698" ht="28" customHeight="1">
      <x:c r="A698" s="16" t="str">
        <x:v>Назаровская ГРЭС</x:v>
      </x:c>
      <x:c r="B698" s="16" t="str">
        <x:v>2000546252-V311</x:v>
      </x:c>
      <x:c r="C698" s="16" t="str">
        <x:v>ТРУБА КВД 12Х1МФ 57*13 ТУ14-3Р-55-01</x:v>
      </x:c>
      <x:c r="D698" s="16" t="str">
        <x:v>Трубы котельные в/д</x:v>
      </x:c>
      <x:c r="E698" s="16" t="str">
        <x:v>Т</x:v>
      </x:c>
      <x:c r="F698" s="26" t="n">
        <x:v>3.073</x:v>
      </x:c>
      <x:c r="G698" s="17" t="n">
        <x:v>143005.4842</x:v>
      </x:c>
      <x:c r="H698" s="17" t="n">
        <x:f>G698*F698</x:f>
        <x:v>439455.8529466</x:v>
      </x:c>
      <x:c r="I698" s="22" t="str">
        <x:f>HYPERLINK("https://etp-aktiv.ru/catalog/materialy/truby-stalnye-i-polimernye/2000546252-V311/","Открыть позицию")</x:f>
        <x:v>Открыть позицию</x:v>
      </x:c>
    </x:row>
    <x:row r="699" ht="28" customHeight="1">
      <x:c r="A699" s="16" t="str">
        <x:v>Назаровская ГРЭС</x:v>
      </x:c>
      <x:c r="B699" s="16" t="str">
        <x:v>2000574659-V311</x:v>
      </x:c>
      <x:c r="C699" s="16" t="str">
        <x:v>ТРУБА КВД СТ15ГС 325*42 ТУ14-3Р-55-2001</x:v>
      </x:c>
      <x:c r="D699" s="16" t="str">
        <x:v>Трубы котельные в/д</x:v>
      </x:c>
      <x:c r="E699" s="16" t="str">
        <x:v>Т</x:v>
      </x:c>
      <x:c r="F699" s="21" t="n">
        <x:v>0</x:v>
      </x:c>
      <x:c r="G699" s="17" t="n">
        <x:v>66480.4718</x:v>
      </x:c>
      <x:c r="H699" s="17" t="n">
        <x:f>G699*F699</x:f>
        <x:v>0</x:v>
      </x:c>
      <x:c r="I699" s="22" t="str">
        <x:f>HYPERLINK("https://etp-aktiv.ru/catalog/materialy/truby-stalnye-i-polimernye/2000574659-V311/","Открыть позицию")</x:f>
        <x:v>Открыть позицию</x:v>
      </x:c>
    </x:row>
    <x:row r="700" ht="28" customHeight="1">
      <x:c r="A700" s="16" t="str">
        <x:v>Назаровская ГРЭС</x:v>
      </x:c>
      <x:c r="B700" s="16" t="str">
        <x:v>2000572146-V311</x:v>
      </x:c>
      <x:c r="C700" s="16" t="str">
        <x:v>ТРУБА КВД СТ20 133*22 ТУ14-3Р-55-01</x:v>
      </x:c>
      <x:c r="D700" s="16" t="str">
        <x:v>Трубы котельные в/д</x:v>
      </x:c>
      <x:c r="E700" s="16" t="str">
        <x:v>Т</x:v>
      </x:c>
      <x:c r="F700" s="26" t="n">
        <x:v>1.192</x:v>
      </x:c>
      <x:c r="G700" s="17" t="n">
        <x:v>202332.86419999998</x:v>
      </x:c>
      <x:c r="H700" s="17" t="n">
        <x:f>G700*F700</x:f>
        <x:v>241180.77412639998</x:v>
      </x:c>
      <x:c r="I700" s="22" t="str">
        <x:f>HYPERLINK("https://etp-aktiv.ru/catalog/materialy/truby-stalnye-i-polimernye/2000572146-V311/","Открыть позицию")</x:f>
        <x:v>Открыть позицию</x:v>
      </x:c>
    </x:row>
    <x:row r="701" ht="28" customHeight="1">
      <x:c r="A701" s="16" t="str">
        <x:v>Назаровская ГРЭС</x:v>
      </x:c>
      <x:c r="B701" s="16" t="str">
        <x:v>2000546162-V311</x:v>
      </x:c>
      <x:c r="C701" s="16" t="str">
        <x:v>ТРУБА КВД СТ20 16*2 ТУ14-3Р-55-01</x:v>
      </x:c>
      <x:c r="D701" s="16" t="str">
        <x:v>Трубы котельные в/д</x:v>
      </x:c>
      <x:c r="E701" s="16" t="str">
        <x:v>КГ</x:v>
      </x:c>
      <x:c r="F701" s="26" t="n">
        <x:v>5.34</x:v>
      </x:c>
      <x:c r="G701" s="17" t="n">
        <x:v>388.875</x:v>
      </x:c>
      <x:c r="H701" s="17" t="n">
        <x:f>G701*F701</x:f>
        <x:v>2076.5924999999997</x:v>
      </x:c>
      <x:c r="I701" s="22" t="str">
        <x:f>HYPERLINK("https://etp-aktiv.ru/catalog/materialy/truby-stalnye-i-polimernye/2000546162-V311/","Открыть позицию")</x:f>
        <x:v>Открыть позицию</x:v>
      </x:c>
    </x:row>
    <x:row r="702" ht="28" customHeight="1">
      <x:c r="A702" s="16" t="str">
        <x:v>Назаровская ГРЭС</x:v>
      </x:c>
      <x:c r="B702" s="16" t="str">
        <x:v>2000546168-V311</x:v>
      </x:c>
      <x:c r="C702" s="16" t="str">
        <x:v>ТРУБА КВД СТ20 16*3 ТУ14-3Р-55-01</x:v>
      </x:c>
      <x:c r="D702" s="16" t="str">
        <x:v>Трубы котельные в/д</x:v>
      </x:c>
      <x:c r="E702" s="16" t="str">
        <x:v>КГ</x:v>
      </x:c>
      <x:c r="F702" s="26" t="n">
        <x:v>11.92</x:v>
      </x:c>
      <x:c r="G702" s="17" t="n">
        <x:v>291.65319999999997</x:v>
      </x:c>
      <x:c r="H702" s="17" t="n">
        <x:f>G702*F702</x:f>
        <x:v>3476.5061439999995</x:v>
      </x:c>
      <x:c r="I702" s="22" t="str">
        <x:f>HYPERLINK("https://etp-aktiv.ru/catalog/materialy/truby-stalnye-i-polimernye/2000546168-V311/","Открыть позицию")</x:f>
        <x:v>Открыть позицию</x:v>
      </x:c>
    </x:row>
    <x:row r="703" ht="28" customHeight="1">
      <x:c r="A703" s="16" t="str">
        <x:v>Назаровская ГРЭС</x:v>
      </x:c>
      <x:c r="B703" s="16" t="str">
        <x:v>2001091409-V311</x:v>
      </x:c>
      <x:c r="C703" s="16" t="str">
        <x:v>ТРУБА КВД СТ20 273*24 ТУ14-3Р-55-01</x:v>
      </x:c>
      <x:c r="D703" s="16" t="str">
        <x:v>Трубы котельные в/д</x:v>
      </x:c>
      <x:c r="E703" s="16" t="str">
        <x:v>Т</x:v>
      </x:c>
      <x:c r="F703" s="30" t="n">
        <x:v>0.505</x:v>
      </x:c>
      <x:c r="G703" s="17" t="n">
        <x:v>200156.25</x:v>
      </x:c>
      <x:c r="H703" s="17" t="n">
        <x:f>G703*F703</x:f>
        <x:v>101078.90625</x:v>
      </x:c>
      <x:c r="I703" s="22" t="str">
        <x:f>HYPERLINK("https://etp-aktiv.ru/catalog/materialy/truby-stalnye-i-polimernye/2001091409-V311/","Открыть позицию")</x:f>
        <x:v>Открыть позицию</x:v>
      </x:c>
    </x:row>
    <x:row r="704" ht="28" customHeight="1">
      <x:c r="A704" s="16" t="str">
        <x:v>Назаровская ГРЭС</x:v>
      </x:c>
      <x:c r="B704" s="16" t="str">
        <x:v>2000546209-V311</x:v>
      </x:c>
      <x:c r="C704" s="16" t="str">
        <x:v>ТРУБА КВД СТ20 377*22 ТУ14-3Р-55-01</x:v>
      </x:c>
      <x:c r="D704" s="16" t="str">
        <x:v>Трубы котельные в/д</x:v>
      </x:c>
      <x:c r="E704" s="16" t="str">
        <x:v>Т</x:v>
      </x:c>
      <x:c r="F704" s="26" t="n">
        <x:v>1.255</x:v>
      </x:c>
      <x:c r="G704" s="17" t="n">
        <x:v>95649.43959999998</x:v>
      </x:c>
      <x:c r="H704" s="17" t="n">
        <x:f>G704*F704</x:f>
        <x:v>120040.04669799996</x:v>
      </x:c>
      <x:c r="I704" s="22" t="str">
        <x:f>HYPERLINK("https://etp-aktiv.ru/catalog/materialy/truby-stalnye-i-polimernye/2000546209-V311/","Открыть позицию")</x:f>
        <x:v>Открыть позицию</x:v>
      </x:c>
    </x:row>
    <x:row r="705" ht="28" customHeight="1">
      <x:c r="A705" s="16" t="str">
        <x:v>Назаровская ГРЭС</x:v>
      </x:c>
      <x:c r="B705" s="16" t="str">
        <x:v>2000546007-V311</x:v>
      </x:c>
      <x:c r="C705" s="16" t="str">
        <x:v>ТРУБА КВД СТ20 42*4 ТУ14-3Р-55-01</x:v>
      </x:c>
      <x:c r="D705" s="16" t="str">
        <x:v>Трубы котельные в/д</x:v>
      </x:c>
      <x:c r="E705" s="16" t="str">
        <x:v>Т</x:v>
      </x:c>
      <x:c r="F705" s="30" t="n">
        <x:v>0.372</x:v>
      </x:c>
      <x:c r="G705" s="17" t="n">
        <x:v>176007.8018</x:v>
      </x:c>
      <x:c r="H705" s="17" t="n">
        <x:f>G705*F705</x:f>
        <x:v>65474.902269599996</x:v>
      </x:c>
      <x:c r="I705" s="22" t="str">
        <x:f>HYPERLINK("https://etp-aktiv.ru/catalog/materialy/truby-stalnye-i-polimernye/2000546007-V311/","Открыть позицию")</x:f>
        <x:v>Открыть позицию</x:v>
      </x:c>
    </x:row>
    <x:row r="706" ht="28" customHeight="1">
      <x:c r="A706" s="16" t="str">
        <x:v>Назаровская ГРЭС</x:v>
      </x:c>
      <x:c r="B706" s="16" t="str">
        <x:v>2000167100-V311</x:v>
      </x:c>
      <x:c r="C706" s="16" t="str">
        <x:v>ТРУБА СТ20 102*6 ГОСТ8732-78</x:v>
      </x:c>
      <x:c r="D706" s="16" t="str">
        <x:v>Трубы черные бесшов</x:v>
      </x:c>
      <x:c r="E706" s="16" t="str">
        <x:v>Т</x:v>
      </x:c>
      <x:c r="F706" s="21" t="n">
        <x:v>0</x:v>
      </x:c>
      <x:c r="G706" s="17" t="n">
        <x:v>50896.9482</x:v>
      </x:c>
      <x:c r="H706" s="17" t="n">
        <x:f>G706*F706</x:f>
        <x:v>0</x:v>
      </x:c>
      <x:c r="I706" s="22" t="str">
        <x:f>HYPERLINK("https://etp-aktiv.ru/catalog/materialy/truby-stalnye-i-polimernye/2000167100-V311/","Открыть позицию")</x:f>
        <x:v>Открыть позицию</x:v>
      </x:c>
    </x:row>
    <x:row r="707" ht="28" customHeight="1">
      <x:c r="A707" s="16" t="str">
        <x:v>Назаровская ГРЭС</x:v>
      </x:c>
      <x:c r="B707" s="16" t="str">
        <x:v>2000545996-V311</x:v>
      </x:c>
      <x:c r="C707" s="16" t="str">
        <x:v>ТРУБА СТ20 108*10 ТУ14-3Р-55-01</x:v>
      </x:c>
      <x:c r="D707" s="16" t="str">
        <x:v>Трубы котельные в/д</x:v>
      </x:c>
      <x:c r="E707" s="16" t="str">
        <x:v>Т</x:v>
      </x:c>
      <x:c r="F707" s="30" t="n">
        <x:v>0.1</x:v>
      </x:c>
      <x:c r="G707" s="17" t="n">
        <x:v>86579.3618</x:v>
      </x:c>
      <x:c r="H707" s="17" t="n">
        <x:f>G707*F707</x:f>
        <x:v>8657.93618</x:v>
      </x:c>
      <x:c r="I707" s="22" t="str">
        <x:f>HYPERLINK("https://etp-aktiv.ru/catalog/materialy/truby-stalnye-i-polimernye/2000545996-V311/","Открыть позицию")</x:f>
        <x:v>Открыть позицию</x:v>
      </x:c>
    </x:row>
    <x:row r="708" ht="28" customHeight="1">
      <x:c r="A708" s="16" t="str">
        <x:v>Назаровская ГРЭС</x:v>
      </x:c>
      <x:c r="B708" s="16" t="str">
        <x:v>2000545959-V311</x:v>
      </x:c>
      <x:c r="C708" s="16" t="str">
        <x:v>ТРУБА СТ20 108*12 ТУ14-3Р-55-01</x:v>
      </x:c>
      <x:c r="D708" s="16" t="str">
        <x:v>Трубы котельные в/д</x:v>
      </x:c>
      <x:c r="E708" s="16" t="str">
        <x:v>Т</x:v>
      </x:c>
      <x:c r="F708" s="30" t="n">
        <x:v>0.192</x:v>
      </x:c>
      <x:c r="G708" s="17" t="n">
        <x:v>182238.56139999998</x:v>
      </x:c>
      <x:c r="H708" s="17" t="n">
        <x:f>G708*F708</x:f>
        <x:v>34989.803788799996</x:v>
      </x:c>
      <x:c r="I708" s="22" t="str">
        <x:f>HYPERLINK("https://etp-aktiv.ru/catalog/materialy/truby-stalnye-i-polimernye/2000545959-V311/","Открыть позицию")</x:f>
        <x:v>Открыть позицию</x:v>
      </x:c>
    </x:row>
    <x:row r="709" ht="28" customHeight="1">
      <x:c r="A709" s="16" t="str">
        <x:v>Назаровская ГРЭС</x:v>
      </x:c>
      <x:c r="B709" s="16" t="str">
        <x:v>2000915967-V311</x:v>
      </x:c>
      <x:c r="C709" s="16" t="str">
        <x:v>ТРУБА СТ20 114*4 ГОСТ3262-75</x:v>
      </x:c>
      <x:c r="D709" s="16" t="str">
        <x:v>ТрбЧерСварМалСрдДиам</x:v>
      </x:c>
      <x:c r="E709" s="16" t="str">
        <x:v>Т</x:v>
      </x:c>
      <x:c r="F709" s="21" t="n">
        <x:v>0</x:v>
      </x:c>
      <x:c r="G709" s="17" t="n">
        <x:v>60199.362799999995</x:v>
      </x:c>
      <x:c r="H709" s="17" t="n">
        <x:f>G709*F709</x:f>
        <x:v>0</x:v>
      </x:c>
      <x:c r="I709" s="22" t="str">
        <x:f>HYPERLINK("https://etp-aktiv.ru/catalog/materialy/truby-stalnye-i-polimernye/2000915967-V311/","Открыть позицию")</x:f>
        <x:v>Открыть позицию</x:v>
      </x:c>
    </x:row>
    <x:row r="710" ht="28" customHeight="1">
      <x:c r="A710" s="16" t="str">
        <x:v>Назаровская ГРЭС</x:v>
      </x:c>
      <x:c r="B710" s="16" t="str">
        <x:v>2000560134-V311</x:v>
      </x:c>
      <x:c r="C710" s="16" t="str">
        <x:v>ТРУБА СТ20 133*10 ГОСТ8731-74</x:v>
      </x:c>
      <x:c r="D710" s="16" t="str">
        <x:v>Трубы черные бесшов</x:v>
      </x:c>
      <x:c r="E710" s="16" t="str">
        <x:v>Т</x:v>
      </x:c>
      <x:c r="F710" s="21" t="n">
        <x:v>0</x:v>
      </x:c>
      <x:c r="G710" s="17" t="n">
        <x:v>63989.41479999999</x:v>
      </x:c>
      <x:c r="H710" s="17" t="n">
        <x:f>G710*F710</x:f>
        <x:v>0</x:v>
      </x:c>
      <x:c r="I710" s="22" t="str">
        <x:f>HYPERLINK("https://etp-aktiv.ru/catalog/materialy/truby-stalnye-i-polimernye/2000560134-V311/","Открыть позицию")</x:f>
        <x:v>Открыть позицию</x:v>
      </x:c>
    </x:row>
    <x:row r="711" ht="28" customHeight="1">
      <x:c r="A711" s="16" t="str">
        <x:v>Назаровская ГРЭС</x:v>
      </x:c>
      <x:c r="B711" s="16" t="str">
        <x:v>2000319192-V311</x:v>
      </x:c>
      <x:c r="C711" s="16" t="str">
        <x:v>ТРУБА СТ20 133*12 ГОСТ8733-74</x:v>
      </x:c>
      <x:c r="D711" s="16" t="str">
        <x:v>Трубы черные бесшов</x:v>
      </x:c>
      <x:c r="E711" s="16" t="str">
        <x:v>Т</x:v>
      </x:c>
      <x:c r="F711" s="30" t="n">
        <x:v>0.511</x:v>
      </x:c>
      <x:c r="G711" s="17" t="n">
        <x:v>108283.3082</x:v>
      </x:c>
      <x:c r="H711" s="17" t="n">
        <x:f>G711*F711</x:f>
        <x:v>55332.770490200004</x:v>
      </x:c>
      <x:c r="I711" s="22" t="str">
        <x:f>HYPERLINK("https://etp-aktiv.ru/catalog/materialy/truby-stalnye-i-polimernye/2000319192-V311/","Открыть позицию")</x:f>
        <x:v>Открыть позицию</x:v>
      </x:c>
    </x:row>
    <x:row r="712" ht="28" customHeight="1">
      <x:c r="A712" s="16" t="str">
        <x:v>Назаровская ГРЭС</x:v>
      </x:c>
      <x:c r="B712" s="16" t="str">
        <x:v>2000545997-V311</x:v>
      </x:c>
      <x:c r="C712" s="16" t="str">
        <x:v>ТРУБА СТ20 133*12 ТУ14-3Р-55-01</x:v>
      </x:c>
      <x:c r="D712" s="16" t="str">
        <x:v>Трубы котельные в/д</x:v>
      </x:c>
      <x:c r="E712" s="16" t="str">
        <x:v>Т</x:v>
      </x:c>
      <x:c r="F712" s="21" t="n">
        <x:v>0</x:v>
      </x:c>
      <x:c r="G712" s="17" t="n">
        <x:v>64544.356199999995</x:v>
      </x:c>
      <x:c r="H712" s="17" t="n">
        <x:f>G712*F712</x:f>
        <x:v>0</x:v>
      </x:c>
      <x:c r="I712" s="22" t="str">
        <x:f>HYPERLINK("https://etp-aktiv.ru/catalog/materialy/truby-stalnye-i-polimernye/2000545997-V311/","Открыть позицию")</x:f>
        <x:v>Открыть позицию</x:v>
      </x:c>
    </x:row>
    <x:row r="713" ht="28" customHeight="1">
      <x:c r="A713" s="16" t="str">
        <x:v>Назаровская ГРЭС</x:v>
      </x:c>
      <x:c r="B713" s="16" t="str">
        <x:v>2000246332-V311</x:v>
      </x:c>
      <x:c r="C713" s="16" t="str">
        <x:v>ТРУБА СТ20 133*17 ТУ14-3Р-55-01</x:v>
      </x:c>
      <x:c r="D713" s="16" t="str">
        <x:v>Трубы котельные в/д</x:v>
      </x:c>
      <x:c r="E713" s="16" t="str">
        <x:v>Т</x:v>
      </x:c>
      <x:c r="F713" s="30" t="n">
        <x:v>0.329</x:v>
      </x:c>
      <x:c r="G713" s="17" t="n">
        <x:v>103344.6262</x:v>
      </x:c>
      <x:c r="H713" s="17" t="n">
        <x:f>G713*F713</x:f>
        <x:v>34000.3820198</x:v>
      </x:c>
      <x:c r="I713" s="22" t="str">
        <x:f>HYPERLINK("https://etp-aktiv.ru/catalog/materialy/truby-stalnye-i-polimernye/2000246332-V311/","Открыть позицию")</x:f>
        <x:v>Открыть позицию</x:v>
      </x:c>
    </x:row>
    <x:row r="714" ht="28" customHeight="1">
      <x:c r="A714" s="16" t="str">
        <x:v>Назаровская ГРЭС</x:v>
      </x:c>
      <x:c r="B714" s="16" t="str">
        <x:v>2000546041-V311</x:v>
      </x:c>
      <x:c r="C714" s="16" t="str">
        <x:v>ТРУБА СТ20 133*20 ТУ14-3Р-55-01</x:v>
      </x:c>
      <x:c r="D714" s="16" t="str">
        <x:v>Трубы котельные в/д</x:v>
      </x:c>
      <x:c r="E714" s="16" t="str">
        <x:v>Т</x:v>
      </x:c>
      <x:c r="F714" s="30" t="n">
        <x:v>0.008</x:v>
      </x:c>
      <x:c r="G714" s="17" t="n">
        <x:v>87496.875</x:v>
      </x:c>
      <x:c r="H714" s="17" t="n">
        <x:f>G714*F714</x:f>
        <x:v>699.975</x:v>
      </x:c>
      <x:c r="I714" s="22" t="str">
        <x:f>HYPERLINK("https://etp-aktiv.ru/catalog/materialy/truby-stalnye-i-polimernye/2000546041-V311/","Открыть позицию")</x:f>
        <x:v>Открыть позицию</x:v>
      </x:c>
    </x:row>
    <x:row r="715" ht="28" customHeight="1">
      <x:c r="A715" s="16" t="str">
        <x:v>Назаровская ГРЭС</x:v>
      </x:c>
      <x:c r="B715" s="16" t="str">
        <x:v>2000560469-V311</x:v>
      </x:c>
      <x:c r="C715" s="16" t="str">
        <x:v>ТРУБА СТ20 133*4 ГОСТ10705-80</x:v>
      </x:c>
      <x:c r="D715" s="16" t="str">
        <x:v>ТрбЧерСварМалСрдДиам</x:v>
      </x:c>
      <x:c r="E715" s="16" t="str">
        <x:v>Т</x:v>
      </x:c>
      <x:c r="F715" s="30" t="n">
        <x:v>0.01</x:v>
      </x:c>
      <x:c r="G715" s="17" t="n">
        <x:v>52612.5366</x:v>
      </x:c>
      <x:c r="H715" s="17" t="n">
        <x:f>G715*F715</x:f>
        <x:v>526.125366</x:v>
      </x:c>
      <x:c r="I715" s="22" t="str">
        <x:f>HYPERLINK("https://etp-aktiv.ru/catalog/materialy/truby-stalnye-i-polimernye/2000560469-V311/","Открыть позицию")</x:f>
        <x:v>Открыть позицию</x:v>
      </x:c>
    </x:row>
    <x:row r="716" ht="28" customHeight="1">
      <x:c r="A716" s="16" t="str">
        <x:v>Назаровская ГРЭС</x:v>
      </x:c>
      <x:c r="B716" s="16" t="str">
        <x:v>2000560143-V311</x:v>
      </x:c>
      <x:c r="C716" s="16" t="str">
        <x:v>ТРУБА СТ20 14*2 ГОСТ8733-74</x:v>
      </x:c>
      <x:c r="D716" s="16" t="str">
        <x:v>Трубы черные бесшов</x:v>
      </x:c>
      <x:c r="E716" s="16" t="str">
        <x:v>Т</x:v>
      </x:c>
      <x:c r="F716" s="30" t="n">
        <x:v>0.065</x:v>
      </x:c>
      <x:c r="G716" s="17" t="n">
        <x:v>217598.468</x:v>
      </x:c>
      <x:c r="H716" s="17" t="n">
        <x:f>G716*F716</x:f>
        <x:v>14143.90042</x:v>
      </x:c>
      <x:c r="I716" s="22" t="str">
        <x:f>HYPERLINK("https://etp-aktiv.ru/catalog/materialy/truby-stalnye-i-polimernye/2000560143-V311/","Открыть позицию")</x:f>
        <x:v>Открыть позицию</x:v>
      </x:c>
    </x:row>
    <x:row r="717" ht="28" customHeight="1">
      <x:c r="A717" s="16" t="str">
        <x:v>Назаровская ГРЭС</x:v>
      </x:c>
      <x:c r="B717" s="16" t="str">
        <x:v>2000560152-V311</x:v>
      </x:c>
      <x:c r="C717" s="16" t="str">
        <x:v>ТРУБА СТ20 159*20 ГОСТ8731-74</x:v>
      </x:c>
      <x:c r="D717" s="16" t="str">
        <x:v>Трубы черные бесшов</x:v>
      </x:c>
      <x:c r="E717" s="16" t="str">
        <x:v>Т</x:v>
      </x:c>
      <x:c r="F717" s="21" t="n">
        <x:v>0</x:v>
      </x:c>
      <x:c r="G717" s="17" t="n">
        <x:v>61705.953</x:v>
      </x:c>
      <x:c r="H717" s="17" t="n">
        <x:f>G717*F717</x:f>
        <x:v>0</x:v>
      </x:c>
      <x:c r="I717" s="22" t="str">
        <x:f>HYPERLINK("https://etp-aktiv.ru/catalog/materialy/truby-stalnye-i-polimernye/2000560152-V311/","Открыть позицию")</x:f>
        <x:v>Открыть позицию</x:v>
      </x:c>
    </x:row>
    <x:row r="718" ht="28" customHeight="1">
      <x:c r="A718" s="16" t="str">
        <x:v>Назаровская ГРЭС</x:v>
      </x:c>
      <x:c r="B718" s="16" t="str">
        <x:v>2000557805-V311</x:v>
      </x:c>
      <x:c r="C718" s="16" t="str">
        <x:v>ТРУБА СТ20 16*2 ГОСТ8733-74</x:v>
      </x:c>
      <x:c r="D718" s="16" t="str">
        <x:v>Трубы черные бесшов</x:v>
      </x:c>
      <x:c r="E718" s="16" t="str">
        <x:v>Т</x:v>
      </x:c>
      <x:c r="F718" s="30" t="n">
        <x:v>0.474</x:v>
      </x:c>
      <x:c r="G718" s="17" t="n">
        <x:v>121290.6676</x:v>
      </x:c>
      <x:c r="H718" s="17" t="n">
        <x:f>G718*F718</x:f>
        <x:v>57491.7764424</x:v>
      </x:c>
      <x:c r="I718" s="22" t="str">
        <x:f>HYPERLINK("https://etp-aktiv.ru/catalog/materialy/truby-stalnye-i-polimernye/2000557805-V311/","Открыть позицию")</x:f>
        <x:v>Открыть позицию</x:v>
      </x:c>
    </x:row>
    <x:row r="719" ht="28" customHeight="1">
      <x:c r="A719" s="16" t="str">
        <x:v>Назаровская ГРЭС</x:v>
      </x:c>
      <x:c r="B719" s="16" t="str">
        <x:v>2000546035-V311</x:v>
      </x:c>
      <x:c r="C719" s="16" t="str">
        <x:v>ТРУБА СТ20 219*10 ТУ14-3-190-04</x:v>
      </x:c>
      <x:c r="D719" s="16" t="str">
        <x:v>Трубы котельные в/д</x:v>
      </x:c>
      <x:c r="E719" s="16" t="str">
        <x:v>Т</x:v>
      </x:c>
      <x:c r="F719" s="30" t="n">
        <x:v>0.12</x:v>
      </x:c>
      <x:c r="G719" s="17" t="n">
        <x:v>185248.2648</x:v>
      </x:c>
      <x:c r="H719" s="17" t="n">
        <x:f>G719*F719</x:f>
        <x:v>22229.791776</x:v>
      </x:c>
      <x:c r="I719" s="22" t="str">
        <x:f>HYPERLINK("https://etp-aktiv.ru/catalog/materialy/truby-stalnye-i-polimernye/2000546035-V311/","Открыть позицию")</x:f>
        <x:v>Открыть позицию</x:v>
      </x:c>
    </x:row>
    <x:row r="720" ht="28" customHeight="1">
      <x:c r="A720" s="16" t="str">
        <x:v>Назаровская ГРЭС</x:v>
      </x:c>
      <x:c r="B720" s="16" t="str">
        <x:v>2000560176-V311</x:v>
      </x:c>
      <x:c r="C720" s="16" t="str">
        <x:v>ТРУБА СТ20 219*20 ГОСТ8731-74</x:v>
      </x:c>
      <x:c r="D720" s="16" t="str">
        <x:v>Трубы черные бесшов</x:v>
      </x:c>
      <x:c r="E720" s="16" t="str">
        <x:v>Т</x:v>
      </x:c>
      <x:c r="F720" s="30" t="n">
        <x:v>0.952</x:v>
      </x:c>
      <x:c r="G720" s="17" t="n">
        <x:v>96529.999</x:v>
      </x:c>
      <x:c r="H720" s="17" t="n">
        <x:f>G720*F720</x:f>
        <x:v>91896.559048</x:v>
      </x:c>
      <x:c r="I720" s="22" t="str">
        <x:f>HYPERLINK("https://etp-aktiv.ru/catalog/materialy/truby-stalnye-i-polimernye/2000560176-V311/","Открыть позицию")</x:f>
        <x:v>Открыть позицию</x:v>
      </x:c>
    </x:row>
    <x:row r="721" ht="28" customHeight="1">
      <x:c r="A721" s="16" t="str">
        <x:v>Назаровская ГРЭС</x:v>
      </x:c>
      <x:c r="B721" s="16" t="str">
        <x:v>2000560180-V311</x:v>
      </x:c>
      <x:c r="C721" s="16" t="str">
        <x:v>ТРУБА СТ20 22*2 ГОСТ8733-74</x:v>
      </x:c>
      <x:c r="D721" s="16" t="str">
        <x:v>Трубы черные бесшов</x:v>
      </x:c>
      <x:c r="E721" s="16" t="str">
        <x:v>Т</x:v>
      </x:c>
      <x:c r="F721" s="30" t="n">
        <x:v>0.17</x:v>
      </x:c>
      <x:c r="G721" s="17" t="n">
        <x:v>122088.9258</x:v>
      </x:c>
      <x:c r="H721" s="17" t="n">
        <x:f>G721*F721</x:f>
        <x:v>20755.117386</x:v>
      </x:c>
      <x:c r="I721" s="22" t="str">
        <x:f>HYPERLINK("https://etp-aktiv.ru/catalog/materialy/truby-stalnye-i-polimernye/2000560180-V311/","Открыть позицию")</x:f>
        <x:v>Открыть позицию</x:v>
      </x:c>
    </x:row>
    <x:row r="722" ht="28" customHeight="1">
      <x:c r="A722" s="16" t="str">
        <x:v>Назаровская ГРЭС</x:v>
      </x:c>
      <x:c r="B722" s="16" t="str">
        <x:v>2000545957-V311</x:v>
      </x:c>
      <x:c r="C722" s="16" t="str">
        <x:v>ТРУБА СТ20 273*10 ТУ14-3-190-04</x:v>
      </x:c>
      <x:c r="D722" s="16" t="str">
        <x:v>Трубы котельные в/д</x:v>
      </x:c>
      <x:c r="E722" s="16" t="str">
        <x:v>Т</x:v>
      </x:c>
      <x:c r="F722" s="30" t="n">
        <x:v>0.321</x:v>
      </x:c>
      <x:c r="G722" s="17" t="n">
        <x:v>64638.3206</x:v>
      </x:c>
      <x:c r="H722" s="17" t="n">
        <x:f>G722*F722</x:f>
        <x:v>20748.900912600002</x:v>
      </x:c>
      <x:c r="I722" s="22" t="str">
        <x:f>HYPERLINK("https://etp-aktiv.ru/catalog/materialy/truby-stalnye-i-polimernye/2000545957-V311/","Открыть позицию")</x:f>
        <x:v>Открыть позицию</x:v>
      </x:c>
    </x:row>
    <x:row r="723" ht="28" customHeight="1">
      <x:c r="A723" s="16" t="str">
        <x:v>Назаровская ГРЭС</x:v>
      </x:c>
      <x:c r="B723" s="16" t="str">
        <x:v>2000560222-V311</x:v>
      </x:c>
      <x:c r="C723" s="16" t="str">
        <x:v>ТРУБА СТ20 32*6 ГОСТ8731-74</x:v>
      </x:c>
      <x:c r="D723" s="16" t="str">
        <x:v>Трубы черные бесшов</x:v>
      </x:c>
      <x:c r="E723" s="16" t="str">
        <x:v>Т</x:v>
      </x:c>
      <x:c r="F723" s="26" t="n">
        <x:v>1.169</x:v>
      </x:c>
      <x:c r="G723" s="17" t="n">
        <x:v>101884.152</x:v>
      </x:c>
      <x:c r="H723" s="17" t="n">
        <x:f>G723*F723</x:f>
        <x:v>119102.573688</x:v>
      </x:c>
      <x:c r="I723" s="22" t="str">
        <x:f>HYPERLINK("https://etp-aktiv.ru/catalog/materialy/truby-stalnye-i-polimernye/2000560222-V311/","Открыть позицию")</x:f>
        <x:v>Открыть позицию</x:v>
      </x:c>
    </x:row>
    <x:row r="724" ht="28" customHeight="1">
      <x:c r="A724" s="16" t="str">
        <x:v>Назаровская ГРЭС</x:v>
      </x:c>
      <x:c r="B724" s="16" t="str">
        <x:v>2000246342-V311</x:v>
      </x:c>
      <x:c r="C724" s="16" t="str">
        <x:v>ТРУБА СТ20 325*40 ТУ14-3Р-55-01</x:v>
      </x:c>
      <x:c r="D724" s="16" t="str">
        <x:v>Трубы котельные в/д</x:v>
      </x:c>
      <x:c r="E724" s="16" t="str">
        <x:v>Т</x:v>
      </x:c>
      <x:c r="F724" s="26" t="n">
        <x:v>2.96</x:v>
      </x:c>
      <x:c r="G724" s="17" t="n">
        <x:v>169343.0882</x:v>
      </x:c>
      <x:c r="H724" s="17" t="n">
        <x:f>G724*F724</x:f>
        <x:v>501255.541072</x:v>
      </x:c>
      <x:c r="I724" s="22" t="str">
        <x:f>HYPERLINK("https://etp-aktiv.ru/catalog/materialy/truby-stalnye-i-polimernye/2000246342-V311/","Открыть позицию")</x:f>
        <x:v>Открыть позицию</x:v>
      </x:c>
    </x:row>
    <x:row r="725" ht="28" customHeight="1">
      <x:c r="A725" s="16" t="str">
        <x:v>Назаровская ГРЭС</x:v>
      </x:c>
      <x:c r="B725" s="16" t="str">
        <x:v>2000560516-V311</x:v>
      </x:c>
      <x:c r="C725" s="16" t="str">
        <x:v>ТРУБА СТ20 377*8 ГОСТ10705-80</x:v>
      </x:c>
      <x:c r="D725" s="16" t="str">
        <x:v>ТрбЧерСварМалСрдДиам</x:v>
      </x:c>
      <x:c r="E725" s="16" t="str">
        <x:v>Т</x:v>
      </x:c>
      <x:c r="F725" s="30" t="n">
        <x:v>0.248</x:v>
      </x:c>
      <x:c r="G725" s="17" t="n">
        <x:v>56615.625</x:v>
      </x:c>
      <x:c r="H725" s="17" t="n">
        <x:f>G725*F725</x:f>
        <x:v>14040.675</x:v>
      </x:c>
      <x:c r="I725" s="22" t="str">
        <x:f>HYPERLINK("https://etp-aktiv.ru/catalog/materialy/truby-stalnye-i-polimernye/2000560516-V311/","Открыть позицию")</x:f>
        <x:v>Открыть позицию</x:v>
      </x:c>
    </x:row>
    <x:row r="726" ht="28" customHeight="1">
      <x:c r="A726" s="16" t="str">
        <x:v>Назаровская ГРЭС</x:v>
      </x:c>
      <x:c r="B726" s="16" t="str">
        <x:v>2000560584-V311</x:v>
      </x:c>
      <x:c r="C726" s="16" t="str">
        <x:v>ТРУБА СТ20 426*6 ГОСТ10705-80</x:v>
      </x:c>
      <x:c r="D726" s="16" t="str">
        <x:v>ТрбЧерСварМалСрдДиам</x:v>
      </x:c>
      <x:c r="E726" s="16" t="str">
        <x:v>Т</x:v>
      </x:c>
      <x:c r="F726" s="30" t="n">
        <x:v>0.18</x:v>
      </x:c>
      <x:c r="G726" s="17" t="n">
        <x:v>55986.5686</x:v>
      </x:c>
      <x:c r="H726" s="17" t="n">
        <x:f>G726*F726</x:f>
        <x:v>10077.582348</x:v>
      </x:c>
      <x:c r="I726" s="22" t="str">
        <x:f>HYPERLINK("https://etp-aktiv.ru/catalog/materialy/truby-stalnye-i-polimernye/2000560584-V311/","Открыть позицию")</x:f>
        <x:v>Открыть позицию</x:v>
      </x:c>
    </x:row>
    <x:row r="727" ht="28" customHeight="1">
      <x:c r="A727" s="16" t="str">
        <x:v>Назаровская ГРЭС</x:v>
      </x:c>
      <x:c r="B727" s="16" t="str">
        <x:v>2000560273-V311</x:v>
      </x:c>
      <x:c r="C727" s="16" t="str">
        <x:v>ТРУБА СТ20 57*3 ГОСТ8731-74</x:v>
      </x:c>
      <x:c r="D727" s="16" t="str">
        <x:v>Трубы черные бесшов</x:v>
      </x:c>
      <x:c r="E727" s="16" t="str">
        <x:v>Т</x:v>
      </x:c>
      <x:c r="F727" s="30" t="n">
        <x:v>0.522</x:v>
      </x:c>
      <x:c r="G727" s="17" t="n">
        <x:v>102117.8552</x:v>
      </x:c>
      <x:c r="H727" s="17" t="n">
        <x:f>G727*F727</x:f>
        <x:v>53305.5204144</x:v>
      </x:c>
      <x:c r="I727" s="22" t="str">
        <x:f>HYPERLINK("https://etp-aktiv.ru/catalog/materialy/truby-stalnye-i-polimernye/2000560273-V311/","Открыть позицию")</x:f>
        <x:v>Открыть позицию</x:v>
      </x:c>
    </x:row>
    <x:row r="728" ht="28" customHeight="1">
      <x:c r="A728" s="16" t="str">
        <x:v>Назаровская ГРЭС</x:v>
      </x:c>
      <x:c r="B728" s="16" t="str">
        <x:v>2000560280-V311</x:v>
      </x:c>
      <x:c r="C728" s="16" t="str">
        <x:v>ТРУБА СТ20 57*8 ГОСТ8731-74</x:v>
      </x:c>
      <x:c r="D728" s="16" t="str">
        <x:v>Трубы черные бесшов</x:v>
      </x:c>
      <x:c r="E728" s="16" t="str">
        <x:v>Т</x:v>
      </x:c>
      <x:c r="F728" s="21" t="n">
        <x:v>0</x:v>
      </x:c>
      <x:c r="G728" s="17" t="n">
        <x:v>61062.4518</x:v>
      </x:c>
      <x:c r="H728" s="17" t="n">
        <x:f>G728*F728</x:f>
        <x:v>0</x:v>
      </x:c>
      <x:c r="I728" s="22" t="str">
        <x:f>HYPERLINK("https://etp-aktiv.ru/catalog/materialy/truby-stalnye-i-polimernye/2000560280-V311/","Открыть позицию")</x:f>
        <x:v>Открыть позицию</x:v>
      </x:c>
    </x:row>
    <x:row r="729" ht="28" customHeight="1">
      <x:c r="A729" s="16" t="str">
        <x:v>Назаровская ГРЭС</x:v>
      </x:c>
      <x:c r="B729" s="16" t="str">
        <x:v>2000560595-V311</x:v>
      </x:c>
      <x:c r="C729" s="16" t="str">
        <x:v>ТРУБА СТ20 630*10 ГОСТ20295-85</x:v>
      </x:c>
      <x:c r="D729" s="16" t="str">
        <x:v>ТрубЧерСварБольшДиам</x:v>
      </x:c>
      <x:c r="E729" s="16" t="str">
        <x:v>Т</x:v>
      </x:c>
      <x:c r="F729" s="30" t="n">
        <x:v>0.88</x:v>
      </x:c>
      <x:c r="G729" s="17" t="n">
        <x:v>43182.1562</x:v>
      </x:c>
      <x:c r="H729" s="17" t="n">
        <x:f>G729*F729</x:f>
        <x:v>38000.297456</x:v>
      </x:c>
      <x:c r="I729" s="22" t="str">
        <x:f>HYPERLINK("https://etp-aktiv.ru/catalog/materialy/truby-stalnye-i-polimernye/2000560595-V311/","Открыть позицию")</x:f>
        <x:v>Открыть позицию</x:v>
      </x:c>
    </x:row>
    <x:row r="730" ht="28" customHeight="1">
      <x:c r="A730" s="16" t="str">
        <x:v>Назаровская ГРЭС</x:v>
      </x:c>
      <x:c r="B730" s="16" t="str">
        <x:v>2000560603-V311</x:v>
      </x:c>
      <x:c r="C730" s="16" t="str">
        <x:v>ТРУБА СТ20 720*10 ГОСТ10706-76</x:v>
      </x:c>
      <x:c r="D730" s="16" t="str">
        <x:v>ТрубЧерСварБольшДиам</x:v>
      </x:c>
      <x:c r="E730" s="16" t="str">
        <x:v>Т</x:v>
      </x:c>
      <x:c r="F730" s="30" t="n">
        <x:v>0.512</x:v>
      </x:c>
      <x:c r="G730" s="17" t="n">
        <x:v>82350</x:v>
      </x:c>
      <x:c r="H730" s="17" t="n">
        <x:f>G730*F730</x:f>
        <x:v>42163.200000000004</x:v>
      </x:c>
      <x:c r="I730" s="22" t="str">
        <x:f>HYPERLINK("https://etp-aktiv.ru/catalog/materialy/truby-stalnye-i-polimernye/2000560603-V311/","Открыть позицию")</x:f>
        <x:v>Открыть позицию</x:v>
      </x:c>
    </x:row>
    <x:row r="731" ht="28" customHeight="1">
      <x:c r="A731" s="16" t="str">
        <x:v>Назаровская ГРЭС</x:v>
      </x:c>
      <x:c r="B731" s="16" t="str">
        <x:v>2000560298-V311</x:v>
      </x:c>
      <x:c r="C731" s="16" t="str">
        <x:v>ТРУБА СТ20 76*6 ГОСТ8731-74</x:v>
      </x:c>
      <x:c r="D731" s="16" t="str">
        <x:v>Трубы черные бесшов</x:v>
      </x:c>
      <x:c r="E731" s="16" t="str">
        <x:v>Т</x:v>
      </x:c>
      <x:c r="F731" s="30" t="n">
        <x:v>0.077</x:v>
      </x:c>
      <x:c r="G731" s="17" t="n">
        <x:v>62393.85</x:v>
      </x:c>
      <x:c r="H731" s="17" t="n">
        <x:f>G731*F731</x:f>
        <x:v>4804.32645</x:v>
      </x:c>
      <x:c r="I731" s="22" t="str">
        <x:f>HYPERLINK("https://etp-aktiv.ru/catalog/materialy/truby-stalnye-i-polimernye/2000560298-V311/","Открыть позицию")</x:f>
        <x:v>Открыть позицию</x:v>
      </x:c>
    </x:row>
    <x:row r="732" ht="28" customHeight="1">
      <x:c r="A732" s="16" t="str">
        <x:v>Назаровская ГРЭС</x:v>
      </x:c>
      <x:c r="B732" s="16" t="str">
        <x:v>2000560306-V311</x:v>
      </x:c>
      <x:c r="C732" s="16" t="str">
        <x:v>ТРУБА СТ20 89*4 ГОСТ8731-74</x:v>
      </x:c>
      <x:c r="D732" s="16" t="str">
        <x:v>Трубы черные бесшов</x:v>
      </x:c>
      <x:c r="E732" s="16" t="str">
        <x:v>Т</x:v>
      </x:c>
      <x:c r="F732" s="30" t="n">
        <x:v>0.475</x:v>
      </x:c>
      <x:c r="G732" s="17" t="n">
        <x:v>91499.9878</x:v>
      </x:c>
      <x:c r="H732" s="17" t="n">
        <x:f>G732*F732</x:f>
        <x:v>43462.494205</x:v>
      </x:c>
      <x:c r="I732" s="22" t="str">
        <x:f>HYPERLINK("https://etp-aktiv.ru/catalog/materialy/truby-stalnye-i-polimernye/2000560306-V311/","Открыть позицию")</x:f>
        <x:v>Открыть позицию</x:v>
      </x:c>
    </x:row>
    <x:row r="733" ht="28" customHeight="1">
      <x:c r="A733" s="16" t="str">
        <x:v>Назаровская ГРЭС</x:v>
      </x:c>
      <x:c r="B733" s="16" t="str">
        <x:v>2000898354-V311</x:v>
      </x:c>
      <x:c r="C733" s="16" t="str">
        <x:v>ТРУБА СТ20 Г 219*7 ТУ14-3Р-55-01</x:v>
      </x:c>
      <x:c r="D733" s="16" t="str">
        <x:v>Трубы котельные в/д</x:v>
      </x:c>
      <x:c r="E733" s="16" t="str">
        <x:v>Т</x:v>
      </x:c>
      <x:c r="F733" s="30" t="n">
        <x:v>0.293</x:v>
      </x:c>
      <x:c r="G733" s="17" t="n">
        <x:v>192493.125</x:v>
      </x:c>
      <x:c r="H733" s="17" t="n">
        <x:f>G733*F733</x:f>
        <x:v>56400.485624999994</x:v>
      </x:c>
      <x:c r="I733" s="22" t="str">
        <x:f>HYPERLINK("https://etp-aktiv.ru/catalog/materialy/truby-stalnye-i-polimernye/2000898354-V311/","Открыть позицию")</x:f>
        <x:v>Открыть позицию</x:v>
      </x:c>
    </x:row>
    <x:row r="734" ht="28" customHeight="1">
      <x:c r="A734" s="16" t="str">
        <x:v>Назаровская ГРЭС</x:v>
      </x:c>
      <x:c r="B734" s="16" t="str">
        <x:v>2000546119-V311</x:v>
      </x:c>
      <x:c r="C734" s="16" t="str">
        <x:v>ТРУБА СТ20 Г 426*18 ТУ14-3Р-55-01</x:v>
      </x:c>
      <x:c r="D734" s="16" t="str">
        <x:v>Трубы котельные в/д</x:v>
      </x:c>
      <x:c r="E734" s="16" t="str">
        <x:v>Т</x:v>
      </x:c>
      <x:c r="F734" s="30" t="n">
        <x:v>0.85</x:v>
      </x:c>
      <x:c r="G734" s="17" t="n">
        <x:v>166442.3796</x:v>
      </x:c>
      <x:c r="H734" s="17" t="n">
        <x:f>G734*F734</x:f>
        <x:v>141476.02266</x:v>
      </x:c>
      <x:c r="I734" s="22" t="str">
        <x:f>HYPERLINK("https://etp-aktiv.ru/catalog/materialy/truby-stalnye-i-polimernye/2000546119-V311/","Открыть позицию")</x:f>
        <x:v>Открыть позицию</x:v>
      </x:c>
    </x:row>
    <x:row r="735" ht="28" customHeight="1">
      <x:c r="A735" s="16" t="str">
        <x:v>Назаровская ГРЭС</x:v>
      </x:c>
      <x:c r="B735" s="16" t="str">
        <x:v>2000142984-V311</x:v>
      </x:c>
      <x:c r="C735" s="16" t="str">
        <x:v>ТРУБА СТ3 100*4 ГОСТ3262-75</x:v>
      </x:c>
      <x:c r="D735" s="16" t="str">
        <x:v>ТрбЧерСварМалСрдДиам</x:v>
      </x:c>
      <x:c r="E735" s="16" t="str">
        <x:v>Т</x:v>
      </x:c>
      <x:c r="F735" s="30" t="n">
        <x:v>0.029</x:v>
      </x:c>
      <x:c r="G735" s="17" t="n">
        <x:v>47379.8834</x:v>
      </x:c>
      <x:c r="H735" s="17" t="n">
        <x:f>G735*F735</x:f>
        <x:v>1374.0166186000001</x:v>
      </x:c>
      <x:c r="I735" s="22" t="str">
        <x:f>HYPERLINK("https://etp-aktiv.ru/catalog/materialy/truby-stalnye-i-polimernye/2000142984-V311/","Открыть позицию")</x:f>
        <x:v>Открыть позицию</x:v>
      </x:c>
    </x:row>
    <x:row r="736" ht="28" customHeight="1">
      <x:c r="A736" s="16" t="str">
        <x:v>Назаровская ГРЭС</x:v>
      </x:c>
      <x:c r="B736" s="16" t="str">
        <x:v>2000183978-V311</x:v>
      </x:c>
      <x:c r="C736" s="16" t="str">
        <x:v>ТРУБА СТ3 219*4 ГОСТ10705-80</x:v>
      </x:c>
      <x:c r="D736" s="16" t="str">
        <x:v>ТрбЧерСварМалСрдДиам</x:v>
      </x:c>
      <x:c r="E736" s="16" t="str">
        <x:v>Т</x:v>
      </x:c>
      <x:c r="F736" s="30" t="n">
        <x:v>0.057</x:v>
      </x:c>
      <x:c r="G736" s="17" t="n">
        <x:v>50239.1608</x:v>
      </x:c>
      <x:c r="H736" s="17" t="n">
        <x:f>G736*F736</x:f>
        <x:v>2863.6321656</x:v>
      </x:c>
      <x:c r="I736" s="22" t="str">
        <x:f>HYPERLINK("https://etp-aktiv.ru/catalog/materialy/truby-stalnye-i-polimernye/2000183978-V311/","Открыть позицию")</x:f>
        <x:v>Открыть позицию</x:v>
      </x:c>
    </x:row>
    <x:row r="737" ht="28" customHeight="1">
      <x:c r="A737" s="16" t="str">
        <x:v>Назаровская ГРЭС</x:v>
      </x:c>
      <x:c r="B737" s="16" t="str">
        <x:v>2000560527-V311</x:v>
      </x:c>
      <x:c r="C737" s="16" t="str">
        <x:v>ТРУБА СТ3 42*3 ГОСТ10705-80</x:v>
      </x:c>
      <x:c r="D737" s="16" t="str">
        <x:v>ТрбЧерСварМалСрдДиам</x:v>
      </x:c>
      <x:c r="E737" s="16" t="str">
        <x:v>Т</x:v>
      </x:c>
      <x:c r="F737" s="30" t="n">
        <x:v>0.004</x:v>
      </x:c>
      <x:c r="G737" s="17" t="n">
        <x:v>142969.0306</x:v>
      </x:c>
      <x:c r="H737" s="17" t="n">
        <x:f>G737*F737</x:f>
        <x:v>571.8761224</x:v>
      </x:c>
      <x:c r="I737" s="22" t="str">
        <x:f>HYPERLINK("https://etp-aktiv.ru/catalog/materialy/truby-stalnye-i-polimernye/2000560527-V311/","Открыть позицию")</x:f>
        <x:v>Открыть позицию</x:v>
      </x:c>
    </x:row>
    <x:row r="738" ht="28" customHeight="1">
      <x:c r="A738" s="16" t="str">
        <x:v>Назаровская ГРЭС</x:v>
      </x:c>
      <x:c r="B738" s="16" t="str">
        <x:v>2000550209-V311</x:v>
      </x:c>
      <x:c r="C738" s="16" t="str">
        <x:v>ТРУБА СТ3 76*4 ГОСТ10705-80</x:v>
      </x:c>
      <x:c r="D738" s="16" t="str">
        <x:v>ТрбЧерСварМалСрдДиам</x:v>
      </x:c>
      <x:c r="E738" s="16" t="str">
        <x:v>Т</x:v>
      </x:c>
      <x:c r="F738" s="30" t="n">
        <x:v>0.065</x:v>
      </x:c>
      <x:c r="G738" s="17" t="n">
        <x:v>52612.5732</x:v>
      </x:c>
      <x:c r="H738" s="17" t="n">
        <x:f>G738*F738</x:f>
        <x:v>3419.817258</x:v>
      </x:c>
      <x:c r="I738" s="22" t="str">
        <x:f>HYPERLINK("https://etp-aktiv.ru/catalog/materialy/truby-stalnye-i-polimernye/2000550209-V311/","Открыть позицию")</x:f>
        <x:v>Открыть позицию</x:v>
      </x:c>
    </x:row>
    <x:row r="739" ht="28" customHeight="1">
      <x:c r="A739" s="16" t="str">
        <x:v>Назаровская ГРЭС</x:v>
      </x:c>
      <x:c r="B739" s="16" t="str">
        <x:v>2000560548-V311</x:v>
      </x:c>
      <x:c r="C739" s="16" t="str">
        <x:v>ТРУБА СТ3СП 89*4 ГОСТ10705-80</x:v>
      </x:c>
      <x:c r="D739" s="16" t="str">
        <x:v>ТрбЧерСварМалСрдДиам</x:v>
      </x:c>
      <x:c r="E739" s="16" t="str">
        <x:v>Т</x:v>
      </x:c>
      <x:c r="F739" s="30" t="n">
        <x:v>0.031</x:v>
      </x:c>
      <x:c r="G739" s="17" t="n">
        <x:v>46865.116599999994</x:v>
      </x:c>
      <x:c r="H739" s="17" t="n">
        <x:f>G739*F739</x:f>
        <x:v>1452.8186145999998</x:v>
      </x:c>
      <x:c r="I739" s="22" t="str">
        <x:f>HYPERLINK("https://etp-aktiv.ru/catalog/materialy/truby-stalnye-i-polimernye/2000560548-V311/","Открыть позицию")</x:f>
        <x:v>Открыть позицию</x:v>
      </x:c>
    </x:row>
    <x:row r="740" ht="28" customHeight="1">
      <x:c r="A740" s="16" t="str">
        <x:v>Назаровская ГРЭС</x:v>
      </x:c>
      <x:c r="B740" s="16" t="str">
        <x:v>2000255976-V311</x:v>
      </x:c>
      <x:c r="C740" s="16" t="str">
        <x:v>ТРУБА СТ3СП5 1620*10 ГОСТ10705-80</x:v>
      </x:c>
      <x:c r="D740" s="16" t="str">
        <x:v>ТрубЧерСварБольшДиам</x:v>
      </x:c>
      <x:c r="E740" s="16" t="str">
        <x:v>Т</x:v>
      </x:c>
      <x:c r="F740" s="21" t="n">
        <x:v>0</x:v>
      </x:c>
      <x:c r="G740" s="17" t="n">
        <x:v>36762.186799999996</x:v>
      </x:c>
      <x:c r="H740" s="17" t="n">
        <x:f>G740*F740</x:f>
        <x:v>0</x:v>
      </x:c>
      <x:c r="I740" s="22" t="str">
        <x:f>HYPERLINK("https://etp-aktiv.ru/catalog/materialy/truby-stalnye-i-polimernye/2000255976-V311/","Открыть позицию")</x:f>
        <x:v>Открыть позицию</x:v>
      </x:c>
    </x:row>
    <x:row r="741" ht="28" customHeight="1">
      <x:c r="A741" s="16" t="str">
        <x:v>Назаровская ГРЭС</x:v>
      </x:c>
      <x:c r="B741" s="16" t="str">
        <x:v>2000970907-V311</x:v>
      </x:c>
      <x:c r="C741" s="16" t="str">
        <x:v>ТРУБА Э/С СТ20 32*3,5 ГОСТ10705-80</x:v>
      </x:c>
      <x:c r="D741" s="16" t="str">
        <x:v>ТрбЧерСварМалСрдДиам</x:v>
      </x:c>
      <x:c r="E741" s="16" t="str">
        <x:v>Т</x:v>
      </x:c>
      <x:c r="F741" s="30" t="n">
        <x:v>0.012</x:v>
      </x:c>
      <x:c r="G741" s="17" t="n">
        <x:v>45635.625</x:v>
      </x:c>
      <x:c r="H741" s="17" t="n">
        <x:f>G741*F741</x:f>
        <x:v>547.6275</x:v>
      </x:c>
      <x:c r="I741" s="22" t="str">
        <x:f>HYPERLINK("https://etp-aktiv.ru/catalog/materialy/truby-stalnye-i-polimernye/2000970907-V311/","Открыть позицию")</x:f>
        <x:v>Открыть позицию</x:v>
      </x:c>
    </x:row>
    <x:row r="742" ht="28" customHeight="1">
      <x:c r="A742" s="16" t="str">
        <x:v>Назаровская ГРЭС</x:v>
      </x:c>
      <x:c r="B742" s="16" t="str">
        <x:v>2000374956-V311</x:v>
      </x:c>
      <x:c r="C742" s="16" t="str">
        <x:v>ТРУБА Э/С СТ20 377*6 ГОСТ10705-80</x:v>
      </x:c>
      <x:c r="D742" s="16" t="str">
        <x:v>ТрбЧерСварМалСрдДиам</x:v>
      </x:c>
      <x:c r="E742" s="16" t="str">
        <x:v>Т</x:v>
      </x:c>
      <x:c r="F742" s="30" t="n">
        <x:v>0.659</x:v>
      </x:c>
      <x:c r="G742" s="17" t="n">
        <x:v>28880.023</x:v>
      </x:c>
      <x:c r="H742" s="17" t="n">
        <x:f>G742*F742</x:f>
        <x:v>19031.935157</x:v>
      </x:c>
      <x:c r="I742" s="22" t="str">
        <x:f>HYPERLINK("https://etp-aktiv.ru/catalog/materialy/truby-stalnye-i-polimernye/2000374956-V311/","Открыть позицию")</x:f>
        <x:v>Открыть позицию</x:v>
      </x:c>
    </x:row>
    <x:row r="743" ht="28" customHeight="1">
      <x:c r="A743" s="16" t="str">
        <x:v>Назаровская ГРЭС</x:v>
      </x:c>
      <x:c r="B743" s="16" t="str">
        <x:v>2000706459-V311</x:v>
      </x:c>
      <x:c r="C743" s="16" t="str">
        <x:v>ТРУБА Э/С СТ20 57*3,5 ГОСТ10705-80</x:v>
      </x:c>
      <x:c r="D743" s="16" t="str">
        <x:v>ТрбЧерСварМалСрдДиам</x:v>
      </x:c>
      <x:c r="E743" s="16" t="str">
        <x:v>Т</x:v>
      </x:c>
      <x:c r="F743" s="30" t="n">
        <x:v>0.028</x:v>
      </x:c>
      <x:c r="G743" s="17" t="n">
        <x:v>48723.75</x:v>
      </x:c>
      <x:c r="H743" s="17" t="n">
        <x:f>G743*F743</x:f>
        <x:v>1364.265</x:v>
      </x:c>
      <x:c r="I743" s="22" t="str">
        <x:f>HYPERLINK("https://etp-aktiv.ru/catalog/materialy/truby-stalnye-i-polimernye/2000706459-V311/","Открыть позицию")</x:f>
        <x:v>Открыть позицию</x:v>
      </x:c>
    </x:row>
    <x:row r="744" ht="28" customHeight="1">
      <x:c r="A744" s="16" t="str">
        <x:v>Назаровская ГРЭС</x:v>
      </x:c>
      <x:c r="B744" s="16" t="str">
        <x:v>2000182973-V311</x:v>
      </x:c>
      <x:c r="C744" s="16" t="str">
        <x:v>ТРУБА Э/С СТ20 89*3 ГОСТ10705-80</x:v>
      </x:c>
      <x:c r="D744" s="16" t="str">
        <x:v>ТрбЧерСварМалСрдДиам</x:v>
      </x:c>
      <x:c r="E744" s="16" t="str">
        <x:v>Т</x:v>
      </x:c>
      <x:c r="F744" s="30" t="n">
        <x:v>0.044</x:v>
      </x:c>
      <x:c r="G744" s="17" t="n">
        <x:v>49266.9794</x:v>
      </x:c>
      <x:c r="H744" s="17" t="n">
        <x:f>G744*F744</x:f>
        <x:v>2167.7470935999995</x:v>
      </x:c>
      <x:c r="I744" s="22" t="str">
        <x:f>HYPERLINK("https://etp-aktiv.ru/catalog/materialy/truby-stalnye-i-polimernye/2000182973-V311/","Открыть позицию")</x:f>
        <x:v>Открыть позицию</x:v>
      </x:c>
    </x:row>
    <x:row r="745" ht="28" customHeight="1">
      <x:c r="A745" s="16" t="str">
        <x:v>Назаровская ГРЭС</x:v>
      </x:c>
      <x:c r="B745" s="16" t="str">
        <x:v>2000015438-V311</x:v>
      </x:c>
      <x:c r="C745" s="16" t="str">
        <x:v>ТРУБА Э/С СТ3 57*3 ГОСТ10705-80</x:v>
      </x:c>
      <x:c r="D745" s="16" t="str">
        <x:v>ТрбЧерСварМалСрдДиам</x:v>
      </x:c>
      <x:c r="E745" s="16" t="str">
        <x:v>Т</x:v>
      </x:c>
      <x:c r="F745" s="30" t="n">
        <x:v>0.037</x:v>
      </x:c>
      <x:c r="G745" s="17" t="n">
        <x:v>46779.436</x:v>
      </x:c>
      <x:c r="H745" s="17" t="n">
        <x:f>G745*F745</x:f>
        <x:v>1730.839132</x:v>
      </x:c>
      <x:c r="I745" s="22" t="str">
        <x:f>HYPERLINK("https://etp-aktiv.ru/catalog/materialy/truby-stalnye-i-polimernye/2000015438-V311/","Открыть позицию")</x:f>
        <x:v>Открыть позицию</x:v>
      </x:c>
    </x:row>
    <x:row r="746" ht="28" customHeight="1">
      <x:c r="A746" s="16" t="str">
        <x:v>Назаровская ГРЭС</x:v>
      </x:c>
      <x:c r="B746" s="16" t="str">
        <x:v>2000546907-V311</x:v>
      </x:c>
      <x:c r="C746" s="16" t="str">
        <x:v>ТРУБКА 10*10ММ ТУ38.105881-85</x:v>
      </x:c>
      <x:c r="D746" s="16" t="str">
        <x:v>Проч резино-тех изд</x:v>
      </x:c>
      <x:c r="E746" s="16" t="str">
        <x:v>КГ</x:v>
      </x:c>
      <x:c r="F746" s="26" t="n">
        <x:v>15.8</x:v>
      </x:c>
      <x:c r="G746" s="17" t="n">
        <x:v>323.6538</x:v>
      </x:c>
      <x:c r="H746" s="17" t="n">
        <x:f>G746*F746</x:f>
        <x:v>5113.73004</x:v>
      </x:c>
      <x:c r="I746" s="22" t="str">
        <x:f>HYPERLINK("https://etp-aktiv.ru/catalog/materialy/rezino-tekhnicheskie-izdeliya/2000546907-V311/","Открыть позицию")</x:f>
        <x:v>Открыть позицию</x:v>
      </x:c>
    </x:row>
    <x:row r="747" ht="28" customHeight="1">
      <x:c r="A747" s="16" t="str">
        <x:v>Назаровская ГРЭС</x:v>
      </x:c>
      <x:c r="B747" s="16" t="str">
        <x:v>2000556306-V311</x:v>
      </x:c>
      <x:c r="C747" s="16" t="str">
        <x:v>ТРУБКА Л68 22*2*1650 ГОСТ21646-2003</x:v>
      </x:c>
      <x:c r="D747" s="16" t="str">
        <x:v>М/прокат цветной</x:v>
      </x:c>
      <x:c r="E747" s="16" t="str">
        <x:v>КГ</x:v>
      </x:c>
      <x:c r="F747" s="21" t="n">
        <x:v>587</x:v>
      </x:c>
      <x:c r="G747" s="17" t="n">
        <x:v>695.4</x:v>
      </x:c>
      <x:c r="H747" s="17" t="n">
        <x:f>G747*F747</x:f>
        <x:v>408199.8</x:v>
      </x:c>
      <x:c r="I747" s="22" t="str">
        <x:f>HYPERLINK("https://etp-aktiv.ru/catalog/materialy/metalloprodukciya/2000556306-V311/","Открыть позицию")</x:f>
        <x:v>Открыть позицию</x:v>
      </x:c>
    </x:row>
    <x:row r="748" ht="28" customHeight="1">
      <x:c r="A748" s="16" t="str">
        <x:v>Назаровская ГРЭС</x:v>
      </x:c>
      <x:c r="B748" s="16" t="str">
        <x:v>2000756627-V311</x:v>
      </x:c>
      <x:c r="C748" s="16" t="str">
        <x:v>ТРУБКА МЕДИЦИНСКАЯ СИЛИКОНОВАЯ 12ММ</x:v>
      </x:c>
      <x:c r="D748" s="16" t="str">
        <x:v>Медикаменты</x:v>
      </x:c>
      <x:c r="E748" s="16" t="str">
        <x:v>М</x:v>
      </x:c>
      <x:c r="F748" s="21" t="n">
        <x:v>2</x:v>
      </x:c>
      <x:c r="G748" s="17" t="n">
        <x:v>370.575</x:v>
      </x:c>
      <x:c r="H748" s="17" t="n">
        <x:f>G748*F748</x:f>
        <x:v>741.15</x:v>
      </x:c>
      <x:c r="I748" s="22" t="str">
        <x:f>HYPERLINK("https://etp-aktiv.ru/catalog/materialy/medikamenty-i-produkciya-medicinskogo-naznacheniya/2000756627-V311/","Открыть позицию")</x:f>
        <x:v>Открыть позицию</x:v>
      </x:c>
    </x:row>
    <x:row r="749" ht="28" customHeight="1">
      <x:c r="A749" s="16" t="str">
        <x:v>Назаровская ГРЭС</x:v>
      </x:c>
      <x:c r="B749" s="16" t="str">
        <x:v>2000548675-V311</x:v>
      </x:c>
      <x:c r="C749" s="16" t="str">
        <x:v>ТРУБКА ПВХ 305 ТВ-40 3ММ БЕЛ ГОСТ19034</x:v>
      </x:c>
      <x:c r="D749" s="16" t="str">
        <x:v>Э/изоляцион мат-лы</x:v>
      </x:c>
      <x:c r="E749" s="16" t="str">
        <x:v>КГ</x:v>
      </x:c>
      <x:c r="F749" s="26" t="n">
        <x:v>2.62</x:v>
      </x:c>
      <x:c r="G749" s="17" t="n">
        <x:v>296.0574</x:v>
      </x:c>
      <x:c r="H749" s="17" t="n">
        <x:f>G749*F749</x:f>
        <x:v>775.670388</x:v>
      </x:c>
      <x:c r="I749" s="22" t="str">
        <x:f>HYPERLINK("https://etp-aktiv.ru/catalog/materialy/ehlektroizolyacionnye-materialy/2000548675-V311/","Открыть позицию")</x:f>
        <x:v>Открыть позицию</x:v>
      </x:c>
    </x:row>
    <x:row r="750" ht="28" customHeight="1">
      <x:c r="A750" s="16" t="str">
        <x:v>Назаровская ГРЭС</x:v>
      </x:c>
      <x:c r="B750" s="16" t="str">
        <x:v>2000548676-V311</x:v>
      </x:c>
      <x:c r="C750" s="16" t="str">
        <x:v>ТРУБКА ПВХ 305 ТВ-40 6ММ БЕЛЫЙ ГОСТ19034</x:v>
      </x:c>
      <x:c r="D750" s="16" t="str">
        <x:v>Э/изоляцион мат-лы</x:v>
      </x:c>
      <x:c r="E750" s="16" t="str">
        <x:v>КГ</x:v>
      </x:c>
      <x:c r="F750" s="30" t="n">
        <x:v>0.05</x:v>
      </x:c>
      <x:c r="G750" s="17" t="n">
        <x:v>377.16299999999995</x:v>
      </x:c>
      <x:c r="H750" s="17" t="n">
        <x:f>G750*F750</x:f>
        <x:v>18.85815</x:v>
      </x:c>
      <x:c r="I750" s="22" t="str">
        <x:f>HYPERLINK("https://etp-aktiv.ru/catalog/materialy/ehlektroizolyacionnye-materialy/2000548676-V311/","Открыть позицию")</x:f>
        <x:v>Открыть позицию</x:v>
      </x:c>
    </x:row>
    <x:row r="751" ht="28" customHeight="1">
      <x:c r="A751" s="16" t="str">
        <x:v>Назаровская ГРЭС</x:v>
      </x:c>
      <x:c r="B751" s="16" t="str">
        <x:v>2000548686-V311</x:v>
      </x:c>
      <x:c r="C751" s="16" t="str">
        <x:v>ТРУБКА ПВХ 305 ТВ-40 8ММ БЕЛЫЙ ГОСТ19034</x:v>
      </x:c>
      <x:c r="D751" s="16" t="str">
        <x:v>Э/изоляцион мат-лы</x:v>
      </x:c>
      <x:c r="E751" s="16" t="str">
        <x:v>КГ</x:v>
      </x:c>
      <x:c r="F751" s="26" t="n">
        <x:v>4.91</x:v>
      </x:c>
      <x:c r="G751" s="17" t="n">
        <x:v>132.9922</x:v>
      </x:c>
      <x:c r="H751" s="17" t="n">
        <x:f>G751*F751</x:f>
        <x:v>652.991702</x:v>
      </x:c>
      <x:c r="I751" s="22" t="str">
        <x:f>HYPERLINK("https://etp-aktiv.ru/catalog/materialy/ehlektroizolyacionnye-materialy/2000548686-V311/","Открыть позицию")</x:f>
        <x:v>Открыть позицию</x:v>
      </x:c>
    </x:row>
    <x:row r="752" ht="28" customHeight="1">
      <x:c r="A752" s="16" t="str">
        <x:v>Назаровская ГРЭС</x:v>
      </x:c>
      <x:c r="B752" s="16" t="str">
        <x:v>2000043297-V311</x:v>
      </x:c>
      <x:c r="C752" s="16" t="str">
        <x:v>ТРУБКА ПВХ ТВ-40 D4ММ</x:v>
      </x:c>
      <x:c r="D752" s="16" t="str">
        <x:v>Э/изоляцион мат-лы</x:v>
      </x:c>
      <x:c r="E752" s="16" t="str">
        <x:v>КГ</x:v>
      </x:c>
      <x:c r="F752" s="26" t="n">
        <x:v>4.21</x:v>
      </x:c>
      <x:c r="G752" s="17" t="n">
        <x:v>203.74</x:v>
      </x:c>
      <x:c r="H752" s="17" t="n">
        <x:f>G752*F752</x:f>
        <x:v>857.7454</x:v>
      </x:c>
      <x:c r="I752" s="22" t="str">
        <x:f>HYPERLINK("https://etp-aktiv.ru/catalog/materialy/ehlektroizolyacionnye-materialy/2000043297-V311/","Открыть позицию")</x:f>
        <x:v>Открыть позицию</x:v>
      </x:c>
    </x:row>
    <x:row r="753" ht="28" customHeight="1">
      <x:c r="A753" s="16" t="str">
        <x:v>Назаровская ГРЭС</x:v>
      </x:c>
      <x:c r="B753" s="16" t="str">
        <x:v>2000043237-V311</x:v>
      </x:c>
      <x:c r="C753" s="16" t="str">
        <x:v>ТРУБКА ПВХ ТВ-40 D5ММ (КГ)</x:v>
      </x:c>
      <x:c r="D753" s="16" t="str">
        <x:v>Э/изоляцион мат-лы</x:v>
      </x:c>
      <x:c r="E753" s="16" t="str">
        <x:v>КГ</x:v>
      </x:c>
      <x:c r="F753" s="26" t="n">
        <x:v>5.494</x:v>
      </x:c>
      <x:c r="G753" s="17" t="n">
        <x:v>209.99859999999998</x:v>
      </x:c>
      <x:c r="H753" s="17" t="n">
        <x:f>G753*F753</x:f>
        <x:v>1153.7323084</x:v>
      </x:c>
      <x:c r="I753" s="22" t="str">
        <x:f>HYPERLINK("https://etp-aktiv.ru/catalog/materialy/ehlektroizolyacionnye-materialy/2000043237-V311/","Открыть позицию")</x:f>
        <x:v>Открыть позицию</x:v>
      </x:c>
    </x:row>
    <x:row r="754" ht="28" customHeight="1">
      <x:c r="A754" s="16" t="str">
        <x:v>Назаровская ГРЭС</x:v>
      </x:c>
      <x:c r="B754" s="16" t="str">
        <x:v>2000314422-V311</x:v>
      </x:c>
      <x:c r="C754" s="16" t="str">
        <x:v>ТРУБКА РЕЗ.МЕД.6*1,5 ДРЕНАЖНАЯ</x:v>
      </x:c>
      <x:c r="D754" s="16" t="str">
        <x:v>Медикаменты</x:v>
      </x:c>
      <x:c r="E754" s="16" t="str">
        <x:v>КГ</x:v>
      </x:c>
      <x:c r="F754" s="26" t="n">
        <x:v>4.62</x:v>
      </x:c>
      <x:c r="G754" s="17" t="n">
        <x:v>686.25</x:v>
      </x:c>
      <x:c r="H754" s="17" t="n">
        <x:f>G754*F754</x:f>
        <x:v>3170.475</x:v>
      </x:c>
      <x:c r="I754" s="22" t="str">
        <x:f>HYPERLINK("https://etp-aktiv.ru/catalog/materialy/medikamenty-i-produkciya-medicinskogo-naznacheniya/2000314422-V311/","Открыть позицию")</x:f>
        <x:v>Открыть позицию</x:v>
      </x:c>
    </x:row>
    <x:row r="755" ht="28" customHeight="1">
      <x:c r="A755" s="16" t="str">
        <x:v>Назаровская ГРЭС</x:v>
      </x:c>
      <x:c r="B755" s="16" t="str">
        <x:v>2000695211-V311</x:v>
      </x:c>
      <x:c r="C755" s="16" t="str">
        <x:v>ТРУБКА СИЛИК 10*2 ТУ9398-064-00152164-14</x:v>
      </x:c>
      <x:c r="D755" s="16" t="str">
        <x:v>Химическая посуда</x:v>
      </x:c>
      <x:c r="E755" s="16" t="str">
        <x:v>КГ</x:v>
      </x:c>
      <x:c r="F755" s="26" t="n">
        <x:v>1.5</x:v>
      </x:c>
      <x:c r="G755" s="17" t="n">
        <x:v>1378.7830000000001</x:v>
      </x:c>
      <x:c r="H755" s="17" t="n">
        <x:f>G755*F755</x:f>
        <x:v>2068.1745</x:v>
      </x:c>
      <x:c r="I755" s="22" t="str">
        <x:f>HYPERLINK("https://etp-aktiv.ru/catalog/materialy/mebel-i-bytovaya-tekhnika/2000695211-V311/","Открыть позицию")</x:f>
        <x:v>Открыть позицию</x:v>
      </x:c>
    </x:row>
    <x:row r="756" ht="28" customHeight="1">
      <x:c r="A756" s="16" t="str">
        <x:v>Назаровская ГРЭС</x:v>
      </x:c>
      <x:c r="B756" s="16" t="str">
        <x:v>2000154666-V311</x:v>
      </x:c>
      <x:c r="C756" s="16" t="str">
        <x:v>ТРУБКА СИЛИКОНОВАЯ 10*2ММ ГОСТ25336-82</x:v>
      </x:c>
      <x:c r="D756" s="16" t="str">
        <x:v>Химическая посуда</x:v>
      </x:c>
      <x:c r="E756" s="16" t="str">
        <x:v>КГ</x:v>
      </x:c>
      <x:c r="F756" s="26" t="n">
        <x:v>12.26</x:v>
      </x:c>
      <x:c r="G756" s="17" t="n">
        <x:v>855.5737999999999</x:v>
      </x:c>
      <x:c r="H756" s="17" t="n">
        <x:f>G756*F756</x:f>
        <x:v>10489.334787999998</x:v>
      </x:c>
      <x:c r="I756" s="22" t="str">
        <x:f>HYPERLINK("https://etp-aktiv.ru/catalog/materialy/mebel-i-bytovaya-tekhnika/2000154666-V311/","Открыть позицию")</x:f>
        <x:v>Открыть позицию</x:v>
      </x:c>
    </x:row>
    <x:row r="757" ht="28" customHeight="1">
      <x:c r="A757" s="16" t="str">
        <x:v>Назаровская ГРЭС</x:v>
      </x:c>
      <x:c r="B757" s="16" t="str">
        <x:v>2000244395-V311</x:v>
      </x:c>
      <x:c r="C757" s="16" t="str">
        <x:v>ТРУБКА СИЛИКОНОВАЯ 9*1,5</x:v>
      </x:c>
      <x:c r="D757" s="16" t="str">
        <x:v>Проч резино-тех изд</x:v>
      </x:c>
      <x:c r="E757" s="16" t="str">
        <x:v>М</x:v>
      </x:c>
      <x:c r="F757" s="21" t="n">
        <x:v>2</x:v>
      </x:c>
      <x:c r="G757" s="17" t="n">
        <x:v>446.0686</x:v>
      </x:c>
      <x:c r="H757" s="17" t="n">
        <x:f>G757*F757</x:f>
        <x:v>892.1372</x:v>
      </x:c>
      <x:c r="I757" s="22" t="str">
        <x:f>HYPERLINK("https://etp-aktiv.ru/catalog/materialy/rezino-tekhnicheskie-izdeliya/2000244395-V311/","Открыть позицию")</x:f>
        <x:v>Открыть позицию</x:v>
      </x:c>
    </x:row>
    <x:row r="758" ht="28" customHeight="1">
      <x:c r="A758" s="16" t="str">
        <x:v>Назаровская ГРЭС</x:v>
      </x:c>
      <x:c r="B758" s="16" t="str">
        <x:v>2000043377-V311</x:v>
      </x:c>
      <x:c r="C758" s="16" t="str">
        <x:v>ТРУБКА ТКР ТИП 203 5ММ</x:v>
      </x:c>
      <x:c r="D758" s="16" t="str">
        <x:v>Э/изоляцион мат-лы</x:v>
      </x:c>
      <x:c r="E758" s="16" t="str">
        <x:v>М</x:v>
      </x:c>
      <x:c r="F758" s="21" t="n">
        <x:v>7</x:v>
      </x:c>
      <x:c r="G758" s="17" t="n">
        <x:v>14.4082</x:v>
      </x:c>
      <x:c r="H758" s="17" t="n">
        <x:f>G758*F758</x:f>
        <x:v>100.85740000000001</x:v>
      </x:c>
      <x:c r="I758" s="22" t="str">
        <x:f>HYPERLINK("https://etp-aktiv.ru/catalog/materialy/ehlektroizolyacionnye-materialy/2000043377-V311/","Открыть позицию")</x:f>
        <x:v>Открыть позицию</x:v>
      </x:c>
    </x:row>
    <x:row r="759" ht="28" customHeight="1">
      <x:c r="A759" s="16" t="str">
        <x:v>Назаровская ГРЭС</x:v>
      </x:c>
      <x:c r="B759" s="16" t="str">
        <x:v>2000043396-V311</x:v>
      </x:c>
      <x:c r="C759" s="16" t="str">
        <x:v>ТРУБКА ТЛВ 8ММ</x:v>
      </x:c>
      <x:c r="D759" s="16" t="str">
        <x:v>Э/изоляцион мат-лы</x:v>
      </x:c>
      <x:c r="E759" s="16" t="str">
        <x:v>М</x:v>
      </x:c>
      <x:c r="F759" s="26" t="n">
        <x:v>25.72</x:v>
      </x:c>
      <x:c r="G759" s="17" t="n">
        <x:v>8.918199999999999</x:v>
      </x:c>
      <x:c r="H759" s="17" t="n">
        <x:f>G759*F759</x:f>
        <x:v>229.37610399999997</x:v>
      </x:c>
      <x:c r="I759" s="22" t="str">
        <x:f>HYPERLINK("https://etp-aktiv.ru/catalog/materialy/ehlektroizolyacionnye-materialy/2000043396-V311/","Открыть позицию")</x:f>
        <x:v>Открыть позицию</x:v>
      </x:c>
    </x:row>
    <x:row r="760" ht="28" customHeight="1">
      <x:c r="A760" s="16" t="str">
        <x:v>Назаровская ГРЭС</x:v>
      </x:c>
      <x:c r="B760" s="16" t="str">
        <x:v>2000553370-V311</x:v>
      </x:c>
      <x:c r="C760" s="16" t="str">
        <x:v>ТЯГА 05 ОСТ108.632.01-80</x:v>
      </x:c>
      <x:c r="D760" s="16" t="str">
        <x:v>Система опорн-подвес</x:v>
      </x:c>
      <x:c r="E760" s="16" t="str">
        <x:v>ШТ</x:v>
      </x:c>
      <x:c r="F760" s="21" t="n">
        <x:v>2</x:v>
      </x:c>
      <x:c r="G760" s="17" t="n">
        <x:v>296.1794</x:v>
      </x:c>
      <x:c r="H760" s="17" t="n">
        <x:f>G760*F760</x:f>
        <x:v>592.3588</x:v>
      </x:c>
      <x:c r="I760" s="22" t="str">
        <x:f>HYPERLINK("https://etp-aktiv.ru/catalog/materialy/truboprovody/2000553370-V311/","Открыть позицию")</x:f>
        <x:v>Открыть позицию</x:v>
      </x:c>
    </x:row>
    <x:row r="761" ht="28" customHeight="1">
      <x:c r="A761" s="16" t="str">
        <x:v>Назаровская ГРЭС</x:v>
      </x:c>
      <x:c r="B761" s="16" t="str">
        <x:v>2000553372-V311</x:v>
      </x:c>
      <x:c r="C761" s="16" t="str">
        <x:v>ТЯГА 2-03 ОСТ34-10-729-93</x:v>
      </x:c>
      <x:c r="D761" s="16" t="str">
        <x:v>Система опорн-подвес</x:v>
      </x:c>
      <x:c r="E761" s="16" t="str">
        <x:v>ШТ</x:v>
      </x:c>
      <x:c r="F761" s="21" t="n">
        <x:v>1</x:v>
      </x:c>
      <x:c r="G761" s="17" t="n">
        <x:v>102.66300000000001</x:v>
      </x:c>
      <x:c r="H761" s="17" t="n">
        <x:f>G761*F761</x:f>
        <x:v>102.66300000000001</x:v>
      </x:c>
      <x:c r="I761" s="22" t="str">
        <x:f>HYPERLINK("https://etp-aktiv.ru/catalog/materialy/truboprovody/2000553372-V311/","Открыть позицию")</x:f>
        <x:v>Открыть позицию</x:v>
      </x:c>
    </x:row>
    <x:row r="762" ht="28" customHeight="1">
      <x:c r="A762" s="16" t="str">
        <x:v>Назаровская ГРЭС</x:v>
      </x:c>
      <x:c r="B762" s="16" t="str">
        <x:v>2000306216-V311</x:v>
      </x:c>
      <x:c r="C762" s="16" t="str">
        <x:v>УГОЛЬНИК 90° ЧУГУН DN15 ГОСТ8946-75</x:v>
      </x:c>
      <x:c r="D762" s="16" t="str">
        <x:v>Детали фасонные</x:v>
      </x:c>
      <x:c r="E762" s="16" t="str">
        <x:v>ШТ</x:v>
      </x:c>
      <x:c r="F762" s="21" t="n">
        <x:v>10</x:v>
      </x:c>
      <x:c r="G762" s="17" t="n">
        <x:v>9.6136</x:v>
      </x:c>
      <x:c r="H762" s="17" t="n">
        <x:f>G762*F762</x:f>
        <x:v>96.136</x:v>
      </x:c>
      <x:c r="I762" s="22" t="str">
        <x:f>HYPERLINK("https://etp-aktiv.ru/catalog/materialy/truboprovody/2000306216-V311/","Открыть позицию")</x:f>
        <x:v>Открыть позицию</x:v>
      </x:c>
    </x:row>
    <x:row r="763" ht="28" customHeight="1">
      <x:c r="A763" s="16" t="str">
        <x:v>Назаровская ГРЭС</x:v>
      </x:c>
      <x:c r="B763" s="16" t="str">
        <x:v>2000553428-V311</x:v>
      </x:c>
      <x:c r="C763" s="16" t="str">
        <x:v>УШКО 05 ОСТ108.643.01-80</x:v>
      </x:c>
      <x:c r="D763" s="16" t="str">
        <x:v>Система опорн-подвес</x:v>
      </x:c>
      <x:c r="E763" s="16" t="str">
        <x:v>ШТ</x:v>
      </x:c>
      <x:c r="F763" s="21" t="n">
        <x:v>4</x:v>
      </x:c>
      <x:c r="G763" s="17" t="n">
        <x:v>128.9906</x:v>
      </x:c>
      <x:c r="H763" s="17" t="n">
        <x:f>G763*F763</x:f>
        <x:v>515.9624</x:v>
      </x:c>
      <x:c r="I763" s="22" t="str">
        <x:f>HYPERLINK("https://etp-aktiv.ru/catalog/materialy/truboprovody/2000553428-V311/","Открыть позицию")</x:f>
        <x:v>Открыть позицию</x:v>
      </x:c>
    </x:row>
    <x:row r="764" ht="28" customHeight="1">
      <x:c r="A764" s="16" t="str">
        <x:v>Назаровская ГРЭС</x:v>
      </x:c>
      <x:c r="B764" s="16" t="str">
        <x:v>2000553432-V311</x:v>
      </x:c>
      <x:c r="C764" s="16" t="str">
        <x:v>УШКО 1-01 ОСТ34.10.729-93</x:v>
      </x:c>
      <x:c r="D764" s="16" t="str">
        <x:v>Система опорн-подвес</x:v>
      </x:c>
      <x:c r="E764" s="16" t="str">
        <x:v>ШТ</x:v>
      </x:c>
      <x:c r="F764" s="21" t="n">
        <x:v>4</x:v>
      </x:c>
      <x:c r="G764" s="17" t="n">
        <x:v>34.318599999999996</x:v>
      </x:c>
      <x:c r="H764" s="17" t="n">
        <x:f>G764*F764</x:f>
        <x:v>137.27439999999999</x:v>
      </x:c>
      <x:c r="I764" s="22" t="str">
        <x:f>HYPERLINK("https://etp-aktiv.ru/catalog/materialy/truboprovody/2000553432-V311/","Открыть позицию")</x:f>
        <x:v>Открыть позицию</x:v>
      </x:c>
    </x:row>
    <x:row r="765" ht="28" customHeight="1">
      <x:c r="A765" s="16" t="str">
        <x:v>Назаровская ГРЭС</x:v>
      </x:c>
      <x:c r="B765" s="16" t="str">
        <x:v>2000553433-V311</x:v>
      </x:c>
      <x:c r="C765" s="16" t="str">
        <x:v>УШКО 1-02 ОСТ34.10.729-93</x:v>
      </x:c>
      <x:c r="D765" s="16" t="str">
        <x:v>Система опорн-подвес</x:v>
      </x:c>
      <x:c r="E765" s="16" t="str">
        <x:v>ШТ</x:v>
      </x:c>
      <x:c r="F765" s="21" t="n">
        <x:v>6</x:v>
      </x:c>
      <x:c r="G765" s="17" t="n">
        <x:v>68.625</x:v>
      </x:c>
      <x:c r="H765" s="17" t="n">
        <x:f>G765*F765</x:f>
        <x:v>411.75</x:v>
      </x:c>
      <x:c r="I765" s="22" t="str">
        <x:f>HYPERLINK("https://etp-aktiv.ru/catalog/materialy/truboprovody/2000553433-V311/","Открыть позицию")</x:f>
        <x:v>Открыть позицию</x:v>
      </x:c>
    </x:row>
    <x:row r="766" ht="28" customHeight="1">
      <x:c r="A766" s="16" t="str">
        <x:v>Назаровская ГРЭС</x:v>
      </x:c>
      <x:c r="B766" s="16" t="str">
        <x:v>2000553434-V311</x:v>
      </x:c>
      <x:c r="C766" s="16" t="str">
        <x:v>УШКО 1-03 ОСТ34.10.729-93</x:v>
      </x:c>
      <x:c r="D766" s="16" t="str">
        <x:v>Система опорн-подвес</x:v>
      </x:c>
      <x:c r="E766" s="16" t="str">
        <x:v>ШТ</x:v>
      </x:c>
      <x:c r="F766" s="21" t="n">
        <x:v>4</x:v>
      </x:c>
      <x:c r="G766" s="17" t="n">
        <x:v>151.3288</x:v>
      </x:c>
      <x:c r="H766" s="17" t="n">
        <x:f>G766*F766</x:f>
        <x:v>605.3152</x:v>
      </x:c>
      <x:c r="I766" s="22" t="str">
        <x:f>HYPERLINK("https://etp-aktiv.ru/catalog/materialy/truboprovody/2000553434-V311/","Открыть позицию")</x:f>
        <x:v>Открыть позицию</x:v>
      </x:c>
    </x:row>
    <x:row r="767" ht="28" customHeight="1">
      <x:c r="A767" s="16" t="str">
        <x:v>Назаровская ГРЭС</x:v>
      </x:c>
      <x:c r="B767" s="16" t="str">
        <x:v>2000553435-V311</x:v>
      </x:c>
      <x:c r="C767" s="16" t="str">
        <x:v>УШКО 1-04 ОСТ34.10.729-93</x:v>
      </x:c>
      <x:c r="D767" s="16" t="str">
        <x:v>Система опорн-подвес</x:v>
      </x:c>
      <x:c r="E767" s="16" t="str">
        <x:v>ШТ</x:v>
      </x:c>
      <x:c r="F767" s="21" t="n">
        <x:v>10</x:v>
      </x:c>
      <x:c r="G767" s="17" t="n">
        <x:v>341.356</x:v>
      </x:c>
      <x:c r="H767" s="17" t="n">
        <x:f>G767*F767</x:f>
        <x:v>3413.56</x:v>
      </x:c>
      <x:c r="I767" s="22" t="str">
        <x:f>HYPERLINK("https://etp-aktiv.ru/catalog/materialy/truboprovody/2000553435-V311/","Открыть позицию")</x:f>
        <x:v>Открыть позицию</x:v>
      </x:c>
    </x:row>
    <x:row r="768" ht="28" customHeight="1">
      <x:c r="A768" s="16" t="str">
        <x:v>Назаровская ГРЭС</x:v>
      </x:c>
      <x:c r="B768" s="16" t="str">
        <x:v>2000259772-V311</x:v>
      </x:c>
      <x:c r="C768" s="16" t="str">
        <x:v>ФЛАНЕЦ 09Г2С DN200 PN16 ИСП1 ГОСТ12821</x:v>
      </x:c>
      <x:c r="D768" s="16" t="str">
        <x:v>Детали фасонные</x:v>
      </x:c>
      <x:c r="E768" s="16" t="str">
        <x:v>ШТ</x:v>
      </x:c>
      <x:c r="F768" s="21" t="n">
        <x:v>17</x:v>
      </x:c>
      <x:c r="G768" s="17" t="n">
        <x:v>607.0354</x:v>
      </x:c>
      <x:c r="H768" s="17" t="n">
        <x:f>G768*F768</x:f>
        <x:v>10319.6018</x:v>
      </x:c>
      <x:c r="I768" s="22" t="str">
        <x:f>HYPERLINK("https://etp-aktiv.ru/catalog/materialy/truboprovody/2000259772-V311/","Открыть позицию")</x:f>
        <x:v>Открыть позицию</x:v>
      </x:c>
    </x:row>
    <x:row r="769" ht="28" customHeight="1">
      <x:c r="A769" s="16" t="str">
        <x:v>Назаровская ГРЭС</x:v>
      </x:c>
      <x:c r="B769" s="16" t="str">
        <x:v>2000554719-V311</x:v>
      </x:c>
      <x:c r="C769" s="16" t="str">
        <x:v>ФЛАНЕЦ 09Г2С DN250 PN16 И.1 ГОСТ12821</x:v>
      </x:c>
      <x:c r="D769" s="16" t="str">
        <x:v>Детали фасонные</x:v>
      </x:c>
      <x:c r="E769" s="16" t="str">
        <x:v>ШТ</x:v>
      </x:c>
      <x:c r="F769" s="21" t="n">
        <x:v>8</x:v>
      </x:c>
      <x:c r="G769" s="17" t="n">
        <x:v>1141.676</x:v>
      </x:c>
      <x:c r="H769" s="17" t="n">
        <x:f>G769*F769</x:f>
        <x:v>9133.408</x:v>
      </x:c>
      <x:c r="I769" s="22" t="str">
        <x:f>HYPERLINK("https://etp-aktiv.ru/catalog/materialy/truboprovody/2000554719-V311/","Открыть позицию")</x:f>
        <x:v>Открыть позицию</x:v>
      </x:c>
    </x:row>
    <x:row r="770" ht="28" customHeight="1">
      <x:c r="A770" s="16" t="str">
        <x:v>Назаровская ГРЭС</x:v>
      </x:c>
      <x:c r="B770" s="16" t="str">
        <x:v>2000172085-V311</x:v>
      </x:c>
      <x:c r="C770" s="16" t="str">
        <x:v>ФЛАНЕЦ СТ20 DN100 PN10 ИСП1 ГОСТ12820-80</x:v>
      </x:c>
      <x:c r="D770" s="16" t="str">
        <x:v>Детали фасонные</x:v>
      </x:c>
      <x:c r="E770" s="16" t="str">
        <x:v>ШТ</x:v>
      </x:c>
      <x:c r="F770" s="21" t="n">
        <x:v>4</x:v>
      </x:c>
      <x:c r="G770" s="17" t="n">
        <x:v>209.901</x:v>
      </x:c>
      <x:c r="H770" s="17" t="n">
        <x:f>G770*F770</x:f>
        <x:v>839.604</x:v>
      </x:c>
      <x:c r="I770" s="22" t="str">
        <x:f>HYPERLINK("https://etp-aktiv.ru/catalog/materialy/truboprovody/2000172085-V311/","Открыть позицию")</x:f>
        <x:v>Открыть позицию</x:v>
      </x:c>
    </x:row>
    <x:row r="771" ht="28" customHeight="1">
      <x:c r="A771" s="16" t="str">
        <x:v>Назаровская ГРЭС</x:v>
      </x:c>
      <x:c r="B771" s="16" t="str">
        <x:v>2000554802-V311</x:v>
      </x:c>
      <x:c r="C771" s="16" t="str">
        <x:v>ФЛАНЕЦ СТ20 DN20 PN16 ИСП.2 ГОСТ12820-80</x:v>
      </x:c>
      <x:c r="D771" s="16" t="str">
        <x:v>Детали фасонные</x:v>
      </x:c>
      <x:c r="E771" s="16" t="str">
        <x:v>ШТ</x:v>
      </x:c>
      <x:c r="F771" s="21" t="n">
        <x:v>4</x:v>
      </x:c>
      <x:c r="G771" s="17" t="n">
        <x:v>89.5358</x:v>
      </x:c>
      <x:c r="H771" s="17" t="n">
        <x:f>G771*F771</x:f>
        <x:v>358.1432</x:v>
      </x:c>
      <x:c r="I771" s="22" t="str">
        <x:f>HYPERLINK("https://etp-aktiv.ru/catalog/materialy/truboprovody/2000554802-V311/","Открыть позицию")</x:f>
        <x:v>Открыть позицию</x:v>
      </x:c>
    </x:row>
    <x:row r="772" ht="28" customHeight="1">
      <x:c r="A772" s="16" t="str">
        <x:v>Назаровская ГРЭС</x:v>
      </x:c>
      <x:c r="B772" s="16" t="str">
        <x:v>2000554706-V311</x:v>
      </x:c>
      <x:c r="C772" s="16" t="str">
        <x:v>ФЛАНЕЦ СТ20 DN200 PN10 ИСП.1 ГОСТ12820</x:v>
      </x:c>
      <x:c r="D772" s="16" t="str">
        <x:v>Детали фасонные</x:v>
      </x:c>
      <x:c r="E772" s="16" t="str">
        <x:v>ШТ</x:v>
      </x:c>
      <x:c r="F772" s="21" t="n">
        <x:v>12</x:v>
      </x:c>
      <x:c r="G772" s="17" t="n">
        <x:v>461.6724</x:v>
      </x:c>
      <x:c r="H772" s="17" t="n">
        <x:f>G772*F772</x:f>
        <x:v>5540.0688</x:v>
      </x:c>
      <x:c r="I772" s="22" t="str">
        <x:f>HYPERLINK("https://etp-aktiv.ru/catalog/materialy/truboprovody/2000554706-V311/","Открыть позицию")</x:f>
        <x:v>Открыть позицию</x:v>
      </x:c>
    </x:row>
    <x:row r="773" ht="28" customHeight="1">
      <x:c r="A773" s="16" t="str">
        <x:v>Назаровская ГРЭС</x:v>
      </x:c>
      <x:c r="B773" s="16" t="str">
        <x:v>2000554718-V311</x:v>
      </x:c>
      <x:c r="C773" s="16" t="str">
        <x:v>ФЛАНЕЦ СТ20 DN250 PN1,0 ИСП.1 ГОСТ12820</x:v>
      </x:c>
      <x:c r="D773" s="16" t="str">
        <x:v>Детали фасонные</x:v>
      </x:c>
      <x:c r="E773" s="16" t="str">
        <x:v>ШТ</x:v>
      </x:c>
      <x:c r="F773" s="21" t="n">
        <x:v>2</x:v>
      </x:c>
      <x:c r="G773" s="17" t="n">
        <x:v>3356.3907999999997</x:v>
      </x:c>
      <x:c r="H773" s="17" t="n">
        <x:f>G773*F773</x:f>
        <x:v>6712.781599999999</x:v>
      </x:c>
      <x:c r="I773" s="22" t="str">
        <x:f>HYPERLINK("https://etp-aktiv.ru/catalog/materialy/truboprovody/2000554718-V311/","Открыть позицию")</x:f>
        <x:v>Открыть позицию</x:v>
      </x:c>
    </x:row>
    <x:row r="774" ht="28" customHeight="1">
      <x:c r="A774" s="16" t="str">
        <x:v>Назаровская ГРЭС</x:v>
      </x:c>
      <x:c r="B774" s="16" t="str">
        <x:v>2000373946-V311</x:v>
      </x:c>
      <x:c r="C774" s="16" t="str">
        <x:v>ФЛАНЕЦ СТ20 DN40 PN16 ГОСТ12820-80</x:v>
      </x:c>
      <x:c r="D774" s="16" t="str">
        <x:v>Детали фасонные</x:v>
      </x:c>
      <x:c r="E774" s="16" t="str">
        <x:v>ШТ</x:v>
      </x:c>
      <x:c r="F774" s="21" t="n">
        <x:v>7</x:v>
      </x:c>
      <x:c r="G774" s="17" t="n">
        <x:v>124.2082</x:v>
      </x:c>
      <x:c r="H774" s="17" t="n">
        <x:f>G774*F774</x:f>
        <x:v>869.4574</x:v>
      </x:c>
      <x:c r="I774" s="22" t="str">
        <x:f>HYPERLINK("https://etp-aktiv.ru/catalog/materialy/truboprovody/2000373946-V311/","Открыть позицию")</x:f>
        <x:v>Открыть позицию</x:v>
      </x:c>
    </x:row>
    <x:row r="775" ht="28" customHeight="1">
      <x:c r="A775" s="16" t="str">
        <x:v>Назаровская ГРЭС</x:v>
      </x:c>
      <x:c r="B775" s="16" t="str">
        <x:v>2000248687-V311</x:v>
      </x:c>
      <x:c r="C775" s="16" t="str">
        <x:v>ФЛАНЕЦ СТ20 DN500 PN16 ИСП1 ГОСТ12820-80</x:v>
      </x:c>
      <x:c r="D775" s="16" t="str">
        <x:v>Детали фасонные</x:v>
      </x:c>
      <x:c r="E775" s="16" t="str">
        <x:v>ШТ</x:v>
      </x:c>
      <x:c r="F775" s="21" t="n">
        <x:v>2</x:v>
      </x:c>
      <x:c r="G775" s="17" t="n">
        <x:v>3406.24</x:v>
      </x:c>
      <x:c r="H775" s="17" t="n">
        <x:f>G775*F775</x:f>
        <x:v>6812.48</x:v>
      </x:c>
      <x:c r="I775" s="22" t="str">
        <x:f>HYPERLINK("https://etp-aktiv.ru/catalog/materialy/truboprovody/2000248687-V311/","Открыть позицию")</x:f>
        <x:v>Открыть позицию</x:v>
      </x:c>
    </x:row>
    <x:row r="776" ht="28" customHeight="1">
      <x:c r="A776" s="16" t="str">
        <x:v>Назаровская ГРЭС</x:v>
      </x:c>
      <x:c r="B776" s="16" t="str">
        <x:v>2000554774-V311</x:v>
      </x:c>
      <x:c r="C776" s="16" t="str">
        <x:v>ФЛАНЕЦ СТ20 DN600 PN25 ИСП.1 ГОСТ12820</x:v>
      </x:c>
      <x:c r="D776" s="16" t="str">
        <x:v>Детали фасонные</x:v>
      </x:c>
      <x:c r="E776" s="16" t="str">
        <x:v>ШТ</x:v>
      </x:c>
      <x:c r="F776" s="21" t="n">
        <x:v>4</x:v>
      </x:c>
      <x:c r="G776" s="17" t="n">
        <x:v>6926.5988</x:v>
      </x:c>
      <x:c r="H776" s="17" t="n">
        <x:f>G776*F776</x:f>
        <x:v>27706.3952</x:v>
      </x:c>
      <x:c r="I776" s="22" t="str">
        <x:f>HYPERLINK("https://etp-aktiv.ru/catalog/materialy/truboprovody/2000554774-V311/","Открыть позицию")</x:f>
        <x:v>Открыть позицию</x:v>
      </x:c>
    </x:row>
    <x:row r="777" ht="28" customHeight="1">
      <x:c r="A777" s="16" t="str">
        <x:v>Назаровская ГРЭС</x:v>
      </x:c>
      <x:c r="B777" s="16" t="str">
        <x:v>2000554787-V311</x:v>
      </x:c>
      <x:c r="C777" s="16" t="str">
        <x:v>ФЛАНЕЦ СТ20 DN80 PN2,5 ИСП.1 ГОСТ12820</x:v>
      </x:c>
      <x:c r="D777" s="16" t="str">
        <x:v>Детали фасонные</x:v>
      </x:c>
      <x:c r="E777" s="16" t="str">
        <x:v>ШТ</x:v>
      </x:c>
      <x:c r="F777" s="21" t="n">
        <x:v>8</x:v>
      </x:c>
      <x:c r="G777" s="17" t="n">
        <x:v>91.378</x:v>
      </x:c>
      <x:c r="H777" s="17" t="n">
        <x:f>G777*F777</x:f>
        <x:v>731.024</x:v>
      </x:c>
      <x:c r="I777" s="22" t="str">
        <x:f>HYPERLINK("https://etp-aktiv.ru/catalog/materialy/truboprovody/2000554787-V311/","Открыть позицию")</x:f>
        <x:v>Открыть позицию</x:v>
      </x:c>
    </x:row>
    <x:row r="778" ht="28" customHeight="1">
      <x:c r="A778" s="16" t="str">
        <x:v>Назаровская ГРЭС</x:v>
      </x:c>
      <x:c r="B778" s="16" t="str">
        <x:v>2000309515-V311</x:v>
      </x:c>
      <x:c r="C778" s="16" t="str">
        <x:v>ХОМУТ ТРУБНЫЙ 1 1/2 47*51ММ М8</x:v>
      </x:c>
      <x:c r="D778" s="16" t="str">
        <x:v>Проч строит матер-ы</x:v>
      </x:c>
      <x:c r="E778" s="16" t="str">
        <x:v>ШТ</x:v>
      </x:c>
      <x:c r="F778" s="21" t="n">
        <x:v>2215</x:v>
      </x:c>
      <x:c r="G778" s="17" t="n">
        <x:v>9.6014</x:v>
      </x:c>
      <x:c r="H778" s="17" t="n">
        <x:f>G778*F778</x:f>
        <x:v>21267.101</x:v>
      </x:c>
      <x:c r="I778" s="22" t="str">
        <x:f>HYPERLINK("https://etp-aktiv.ru/catalog/materialy/stroitelnye-materialy/2000309515-V311/","Открыть позицию")</x:f>
        <x:v>Открыть позицию</x:v>
      </x:c>
    </x:row>
    <x:row r="779" ht="28" customHeight="1">
      <x:c r="A779" s="16" t="str">
        <x:v>Назаровская ГРЭС</x:v>
      </x:c>
      <x:c r="B779" s="16" t="str">
        <x:v>2000551677-V311</x:v>
      </x:c>
      <x:c r="C779" s="16" t="str">
        <x:v>ХОМУТ ТРУБНЫЙ PPL 42065 (SORMAT) 74-80ММ</x:v>
      </x:c>
      <x:c r="D779" s="16" t="str">
        <x:v>Лин-подвесн арматура</x:v>
      </x:c>
      <x:c r="E779" s="16" t="str">
        <x:v>ШТ</x:v>
      </x:c>
      <x:c r="F779" s="21" t="n">
        <x:v>20</x:v>
      </x:c>
      <x:c r="G779" s="17" t="n">
        <x:v>35.5264</x:v>
      </x:c>
      <x:c r="H779" s="17" t="n">
        <x:f>G779*F779</x:f>
        <x:v>710.528</x:v>
      </x:c>
      <x:c r="I779" s="22" t="str">
        <x:f>HYPERLINK("https://etp-aktiv.ru/catalog/materialy/ehlektrotekhnicheskie-materialy/2000551677-V311/","Открыть позицию")</x:f>
        <x:v>Открыть позицию</x:v>
      </x:c>
    </x:row>
    <x:row r="780" ht="28" customHeight="1">
      <x:c r="A780" s="16" t="str">
        <x:v>Назаровская ГРЭС</x:v>
      </x:c>
      <x:c r="B780" s="16" t="str">
        <x:v>2000559240-V311</x:v>
      </x:c>
      <x:c r="C780" s="16" t="str">
        <x:v>ШТУЦЕР 10 12Х1МФ 05 СТО ЦКТИ 462.05-09</x:v>
      </x:c>
      <x:c r="D780" s="16" t="str">
        <x:v>Труб/элем ВД</x:v>
      </x:c>
      <x:c r="E780" s="16" t="str">
        <x:v>ШТ</x:v>
      </x:c>
      <x:c r="F780" s="21" t="n">
        <x:v>4</x:v>
      </x:c>
      <x:c r="G780" s="17" t="n">
        <x:v>423.1082</x:v>
      </x:c>
      <x:c r="H780" s="17" t="n">
        <x:f>G780*F780</x:f>
        <x:v>1692.4328</x:v>
      </x:c>
      <x:c r="I780" s="22" t="str">
        <x:f>HYPERLINK("https://etp-aktiv.ru/catalog/materialy/truboprovody/2000559240-V311/","Открыть позицию")</x:f>
        <x:v>Открыть позицию</x:v>
      </x:c>
    </x:row>
    <x:row r="781" ht="28" customHeight="1">
      <x:c r="A781" s="16" t="str">
        <x:v>Назаровская ГРЭС</x:v>
      </x:c>
      <x:c r="B781" s="16" t="str">
        <x:v>2000571013-V311</x:v>
      </x:c>
      <x:c r="C781" s="16" t="str">
        <x:v>ШТУЦЕР 18*2-80 СТ20 014 ОСТ34.10.761</x:v>
      </x:c>
      <x:c r="D781" s="16" t="str">
        <x:v>Детали фасонные</x:v>
      </x:c>
      <x:c r="E781" s="16" t="str">
        <x:v>ШТ</x:v>
      </x:c>
      <x:c r="F781" s="21" t="n">
        <x:v>13</x:v>
      </x:c>
      <x:c r="G781" s="17" t="n">
        <x:v>682.8218</x:v>
      </x:c>
      <x:c r="H781" s="17" t="n">
        <x:f>G781*F781</x:f>
        <x:v>8876.6834</x:v>
      </x:c>
      <x:c r="I781" s="22" t="str">
        <x:f>HYPERLINK("https://etp-aktiv.ru/catalog/materialy/truboprovody/2000571013-V311/","Открыть позицию")</x:f>
        <x:v>Открыть позицию</x:v>
      </x:c>
    </x:row>
    <x:row r="782" ht="28" customHeight="1">
      <x:c r="A782" s="16" t="str">
        <x:v>Назаровская ГРЭС</x:v>
      </x:c>
      <x:c r="B782" s="16" t="str">
        <x:v>2000559244-V311</x:v>
      </x:c>
      <x:c r="C782" s="16" t="str">
        <x:v>ШТУЦЕР 50 12Х1МФ 05 ОСТ108.462.09-82</x:v>
      </x:c>
      <x:c r="D782" s="16" t="str">
        <x:v>Труб/элем ВД</x:v>
      </x:c>
      <x:c r="E782" s="16" t="str">
        <x:v>ШТ</x:v>
      </x:c>
      <x:c r="F782" s="21" t="n">
        <x:v>8</x:v>
      </x:c>
      <x:c r="G782" s="17" t="n">
        <x:v>3745.9856</x:v>
      </x:c>
      <x:c r="H782" s="17" t="n">
        <x:f>G782*F782</x:f>
        <x:v>29967.8848</x:v>
      </x:c>
      <x:c r="I782" s="22" t="str">
        <x:f>HYPERLINK("https://etp-aktiv.ru/catalog/materialy/truboprovody/2000559244-V311/","Открыть позицию")</x:f>
        <x:v>Открыть позицию</x:v>
      </x:c>
    </x:row>
    <x:row r="783" ht="28" customHeight="1">
      <x:c r="A783" s="16" t="str">
        <x:v>Назаровская ГРЭС</x:v>
      </x:c>
      <x:c r="B783" s="16" t="str">
        <x:v>2000773568-V311</x:v>
      </x:c>
      <x:c r="C783" s="16" t="str">
        <x:v>ШТУЦЕР СТ20 108*4-200 120 ОСТ34-10-761</x:v>
      </x:c>
      <x:c r="D783" s="16" t="str">
        <x:v>Детали фасонные</x:v>
      </x:c>
      <x:c r="E783" s="16" t="str">
        <x:v>ШТ</x:v>
      </x:c>
      <x:c r="F783" s="21" t="n">
        <x:v>1</x:v>
      </x:c>
      <x:c r="G783" s="17" t="n">
        <x:v>1369.0718</x:v>
      </x:c>
      <x:c r="H783" s="17" t="n">
        <x:f>G783*F783</x:f>
        <x:v>1369.0718</x:v>
      </x:c>
      <x:c r="I783" s="22" t="str">
        <x:f>HYPERLINK("https://etp-aktiv.ru/catalog/materialy/truboprovody/2000773568-V311/","Открыть позицию")</x:f>
        <x:v>Открыть позицию</x:v>
      </x:c>
    </x:row>
    <x:row r="784" ht="28" customHeight="1">
      <x:c r="A784" s="16" t="str">
        <x:v>Назаровская ГРЭС</x:v>
      </x:c>
      <x:c r="B784" s="16" t="str">
        <x:v>2000791654-V311</x:v>
      </x:c>
      <x:c r="C784" s="16" t="str">
        <x:v>ШТУЦЕР СТ20 14*2-300 04 ОСТ34-10-761-97</x:v>
      </x:c>
      <x:c r="D784" s="16" t="str">
        <x:v>Детали фасонные</x:v>
      </x:c>
      <x:c r="E784" s="16" t="str">
        <x:v>ШТ</x:v>
      </x:c>
      <x:c r="F784" s="21" t="n">
        <x:v>2</x:v>
      </x:c>
      <x:c r="G784" s="17" t="n">
        <x:v>682.8218</x:v>
      </x:c>
      <x:c r="H784" s="17" t="n">
        <x:f>G784*F784</x:f>
        <x:v>1365.6436</x:v>
      </x:c>
      <x:c r="I784" s="22" t="str">
        <x:f>HYPERLINK("https://etp-aktiv.ru/catalog/materialy/truboprovody/2000791654-V311/","Открыть позицию")</x:f>
        <x:v>Открыть позицию</x:v>
      </x:c>
    </x:row>
    <x:row r="785" ht="28" customHeight="1">
      <x:c r="A785" s="16" t="str">
        <x:v>Назаровская ГРЭС</x:v>
      </x:c>
      <x:c r="B785" s="16" t="str">
        <x:v>2000791655-V311</x:v>
      </x:c>
      <x:c r="C785" s="16" t="str">
        <x:v>ШТУЦЕР СТ20 14*2-400 04 ОСТ34-10-761-97</x:v>
      </x:c>
      <x:c r="D785" s="16" t="str">
        <x:v>Детали фасонные</x:v>
      </x:c>
      <x:c r="E785" s="16" t="str">
        <x:v>ШТ</x:v>
      </x:c>
      <x:c r="F785" s="21" t="n">
        <x:v>2</x:v>
      </x:c>
      <x:c r="G785" s="17" t="n">
        <x:v>682.8218</x:v>
      </x:c>
      <x:c r="H785" s="17" t="n">
        <x:f>G785*F785</x:f>
        <x:v>1365.6436</x:v>
      </x:c>
      <x:c r="I785" s="22" t="str">
        <x:f>HYPERLINK("https://etp-aktiv.ru/catalog/materialy/truboprovody/2000791655-V311/","Открыть позицию")</x:f>
        <x:v>Открыть позицию</x:v>
      </x:c>
    </x:row>
    <x:row r="786" ht="28" customHeight="1">
      <x:c r="A786" s="16" t="str">
        <x:v>Назаровская ГРЭС</x:v>
      </x:c>
      <x:c r="B786" s="16" t="str">
        <x:v>2000994363-V311</x:v>
      </x:c>
      <x:c r="C786" s="16" t="str">
        <x:v>ШТУЦЕР СТ20 18*2-50 011 ОСТ34 10.761.97</x:v>
      </x:c>
      <x:c r="D786" s="16" t="str">
        <x:v>Детали фасонные</x:v>
      </x:c>
      <x:c r="E786" s="16" t="str">
        <x:v>ШТ</x:v>
      </x:c>
      <x:c r="F786" s="21" t="n">
        <x:v>1</x:v>
      </x:c>
      <x:c r="G786" s="17" t="n">
        <x:v>265.411</x:v>
      </x:c>
      <x:c r="H786" s="17" t="n">
        <x:f>G786*F786</x:f>
        <x:v>265.411</x:v>
      </x:c>
      <x:c r="I786" s="22" t="str">
        <x:f>HYPERLINK("https://etp-aktiv.ru/catalog/materialy/truboprovody/2000994363-V311/","Открыть позицию")</x:f>
        <x:v>Открыть позицию</x:v>
      </x:c>
    </x:row>
    <x:row r="787" ht="28" customHeight="1">
      <x:c r="A787" s="16" t="str">
        <x:v>Назаровская ГРЭС</x:v>
      </x:c>
      <x:c r="B787" s="16" t="str">
        <x:v>2000555361-V311</x:v>
      </x:c>
      <x:c r="C787" s="16" t="str">
        <x:v>ШТУЦЕР СТ20 20*3-28 04 ОСТ108.462.01-82</x:v>
      </x:c>
      <x:c r="D787" s="16" t="str">
        <x:v>Детали фасонные</x:v>
      </x:c>
      <x:c r="E787" s="16" t="str">
        <x:v>ШТ</x:v>
      </x:c>
      <x:c r="F787" s="21" t="n">
        <x:v>1</x:v>
      </x:c>
      <x:c r="G787" s="17" t="n">
        <x:v>1369.0718</x:v>
      </x:c>
      <x:c r="H787" s="17" t="n">
        <x:f>G787*F787</x:f>
        <x:v>1369.0718</x:v>
      </x:c>
      <x:c r="I787" s="22" t="str">
        <x:f>HYPERLINK("https://etp-aktiv.ru/catalog/materialy/truboprovody/2000555361-V311/","Открыть позицию")</x:f>
        <x:v>Открыть позицию</x:v>
      </x:c>
    </x:row>
    <x:row r="788" ht="28" customHeight="1">
      <x:c r="A788" s="16" t="str">
        <x:v>Назаровская ГРЭС</x:v>
      </x:c>
      <x:c r="B788" s="16" t="str">
        <x:v>2000582283-V311</x:v>
      </x:c>
      <x:c r="C788" s="16" t="str">
        <x:v>ШТУЦЕР СТ20 25*2-200 026 ОСТ34.10.761-97</x:v>
      </x:c>
      <x:c r="D788" s="16" t="str">
        <x:v>Детали фасонные</x:v>
      </x:c>
      <x:c r="E788" s="16" t="str">
        <x:v>ШТ</x:v>
      </x:c>
      <x:c r="F788" s="21" t="n">
        <x:v>5</x:v>
      </x:c>
      <x:c r="G788" s="17" t="n">
        <x:v>682.8218</x:v>
      </x:c>
      <x:c r="H788" s="17" t="n">
        <x:f>G788*F788</x:f>
        <x:v>3414.1090000000004</x:v>
      </x:c>
      <x:c r="I788" s="22" t="str">
        <x:f>HYPERLINK("https://etp-aktiv.ru/catalog/materialy/truboprovody/2000582283-V311/","Открыть позицию")</x:f>
        <x:v>Открыть позицию</x:v>
      </x:c>
    </x:row>
    <x:row r="789" ht="28" customHeight="1">
      <x:c r="A789" s="16" t="str">
        <x:v>Назаровская ГРЭС</x:v>
      </x:c>
      <x:c r="B789" s="16" t="str">
        <x:v>2000994791-V311</x:v>
      </x:c>
      <x:c r="C789" s="16" t="str">
        <x:v>ШТУЦЕР СТ20 25*2-25 017 ОСТ34 10.761.97</x:v>
      </x:c>
      <x:c r="D789" s="16" t="str">
        <x:v>Детали фасонные</x:v>
      </x:c>
      <x:c r="E789" s="16" t="str">
        <x:v>ШТ</x:v>
      </x:c>
      <x:c r="F789" s="21" t="n">
        <x:v>3</x:v>
      </x:c>
      <x:c r="G789" s="17" t="n">
        <x:v>316.529</x:v>
      </x:c>
      <x:c r="H789" s="17" t="n">
        <x:f>G789*F789</x:f>
        <x:v>949.587</x:v>
      </x:c>
      <x:c r="I789" s="22" t="str">
        <x:f>HYPERLINK("https://etp-aktiv.ru/catalog/materialy/truboprovody/2000994791-V311/","Открыть позицию")</x:f>
        <x:v>Открыть позицию</x:v>
      </x:c>
    </x:row>
    <x:row r="790" ht="28" customHeight="1">
      <x:c r="A790" s="16" t="str">
        <x:v>Назаровская ГРЭС</x:v>
      </x:c>
      <x:c r="B790" s="16" t="str">
        <x:v>2000994365-V311</x:v>
      </x:c>
      <x:c r="C790" s="16" t="str">
        <x:v>ШТУЦЕР СТ20 25*2-50 023 ОСТ34 10.761-97</x:v>
      </x:c>
      <x:c r="D790" s="16" t="str">
        <x:v>Детали фасонные</x:v>
      </x:c>
      <x:c r="E790" s="16" t="str">
        <x:v>ШТ</x:v>
      </x:c>
      <x:c r="F790" s="21" t="n">
        <x:v>5</x:v>
      </x:c>
      <x:c r="G790" s="17" t="n">
        <x:v>316.529</x:v>
      </x:c>
      <x:c r="H790" s="17" t="n">
        <x:f>G790*F790</x:f>
        <x:v>1582.645</x:v>
      </x:c>
      <x:c r="I790" s="22" t="str">
        <x:f>HYPERLINK("https://etp-aktiv.ru/catalog/materialy/truboprovody/2000994365-V311/","Открыть позицию")</x:f>
        <x:v>Открыть позицию</x:v>
      </x:c>
    </x:row>
    <x:row r="791" ht="28" customHeight="1">
      <x:c r="A791" s="16" t="str">
        <x:v>Назаровская ГРЭС</x:v>
      </x:c>
      <x:c r="B791" s="16" t="str">
        <x:v>2000582264-V311</x:v>
      </x:c>
      <x:c r="C791" s="16" t="str">
        <x:v>ШТУЦЕР СТ20 57*2,5-50 079 ОСТ34.10.761</x:v>
      </x:c>
      <x:c r="D791" s="16" t="str">
        <x:v>Детали фасонные</x:v>
      </x:c>
      <x:c r="E791" s="16" t="str">
        <x:v>ШТ</x:v>
      </x:c>
      <x:c r="F791" s="21" t="n">
        <x:v>1</x:v>
      </x:c>
      <x:c r="G791" s="17" t="n">
        <x:v>630.4594</x:v>
      </x:c>
      <x:c r="H791" s="17" t="n">
        <x:f>G791*F791</x:f>
        <x:v>630.4594</x:v>
      </x:c>
      <x:c r="I791" s="22" t="str">
        <x:f>HYPERLINK("https://etp-aktiv.ru/catalog/materialy/truboprovody/2000582264-V311/","Открыть позицию")</x:f>
        <x:v>Открыть позицию</x:v>
      </x:c>
    </x:row>
    <x:row r="792" ht="28" customHeight="1">
      <x:c r="A792" s="16" t="str">
        <x:v>Назаровская ГРЭС</x:v>
      </x:c>
      <x:c r="B792" s="16" t="str">
        <x:v>2000552788-V311</x:v>
      </x:c>
      <x:c r="C792" s="16" t="str">
        <x:v>ЭЛЕКТРОПРИВОД БФ-2500-Г-20-О-А-У2</x:v>
      </x:c>
      <x:c r="D792" s="16" t="str">
        <x:v>Приводы арматуры</x:v>
      </x:c>
      <x:c r="E792" s="16" t="str">
        <x:v>ШТ</x:v>
      </x:c>
      <x:c r="F792" s="21" t="n">
        <x:v>1</x:v>
      </x:c>
      <x:c r="G792" s="17" t="n">
        <x:v>38354.2014</x:v>
      </x:c>
      <x:c r="H792" s="17" t="n">
        <x:f>G792*F792</x:f>
        <x:v>38354.2014</x:v>
      </x:c>
      <x:c r="I792" s="22" t="str">
        <x:f>HYPERLINK("https://etp-aktiv.ru/catalog/materialy/truboprovodnaya-armatura-i-komplektuyushchie/2000552788-V311/","Открыть позицию")</x:f>
        <x:v>Открыть позицию</x:v>
      </x:c>
    </x:row>
    <x:row r="793" ht="28" customHeight="1">
      <x:c r="A793" s="16" t="str">
        <x:v>Назаровские тепловые сети</x:v>
      </x:c>
      <x:c r="B793" s="16" t="str">
        <x:v>2000560509-V321</x:v>
      </x:c>
      <x:c r="C793" s="16" t="str">
        <x:v>ТРУБА СТ20 325*5 ГОСТ10705-80</x:v>
      </x:c>
      <x:c r="D793" s="16" t="str">
        <x:v>ТрбЧерСварМалСрдДиам</x:v>
      </x:c>
      <x:c r="E793" s="16" t="str">
        <x:v>Т</x:v>
      </x:c>
      <x:c r="F793" s="30" t="n">
        <x:v>0.38</x:v>
      </x:c>
      <x:c r="G793" s="17" t="n">
        <x:v>42044.5916</x:v>
      </x:c>
      <x:c r="H793" s="17" t="n">
        <x:f>G793*F793</x:f>
        <x:v>15976.944808</x:v>
      </x:c>
      <x:c r="I793" s="22" t="str">
        <x:f>HYPERLINK("https://etp-aktiv.ru/catalog/materialy/truby-stalnye-i-polimernye/2000560509-V321/","Открыть позицию")</x:f>
        <x:v>Открыть позицию</x:v>
      </x:c>
    </x:row>
    <x:row r="794" ht="28" customHeight="1">
      <x:c r="A794" s="16" t="str">
        <x:v>Назаровские тепловые сети</x:v>
      </x:c>
      <x:c r="B794" s="16" t="str">
        <x:v>2000560227-V321</x:v>
      </x:c>
      <x:c r="C794" s="16" t="str">
        <x:v>ТРУБА СТ20 325*8 ГОСТ8731-74</x:v>
      </x:c>
      <x:c r="D794" s="16" t="str">
        <x:v>Трубы черные бесшов</x:v>
      </x:c>
      <x:c r="E794" s="16" t="str">
        <x:v>Т</x:v>
      </x:c>
      <x:c r="F794" s="30" t="n">
        <x:v>0.209</x:v>
      </x:c>
      <x:c r="G794" s="17" t="n">
        <x:v>94359.375</x:v>
      </x:c>
      <x:c r="H794" s="17" t="n">
        <x:f>G794*F794</x:f>
        <x:v>19721.109375</x:v>
      </x:c>
      <x:c r="I794" s="22" t="str">
        <x:f>HYPERLINK("https://etp-aktiv.ru/catalog/materialy/truby-stalnye-i-polimernye/2000560227-V321/","Открыть позицию")</x:f>
        <x:v>Открыть позицию</x:v>
      </x:c>
    </x:row>
    <x:row r="795" ht="28" customHeight="1">
      <x:c r="A795" s="16" t="str">
        <x:v>Назаровские тепловые сети</x:v>
      </x:c>
      <x:c r="B795" s="16" t="str">
        <x:v>2000165221-V321</x:v>
      </x:c>
      <x:c r="C795" s="16" t="str">
        <x:v>ФЛАНЕЦ СТ20 DN300 PN25 ИСП1 ГОСТ12820-80</x:v>
      </x:c>
      <x:c r="D795" s="16" t="str">
        <x:v>Детали фасонные</x:v>
      </x:c>
      <x:c r="E795" s="16" t="str">
        <x:v>ШТ</x:v>
      </x:c>
      <x:c r="F795" s="21" t="n">
        <x:v>1</x:v>
      </x:c>
      <x:c r="G795" s="17" t="n">
        <x:v>5211.1568</x:v>
      </x:c>
      <x:c r="H795" s="17" t="n">
        <x:f>G795*F795</x:f>
        <x:v>5211.1568</x:v>
      </x:c>
      <x:c r="I795" s="22" t="str">
        <x:f>HYPERLINK("https://etp-aktiv.ru/catalog/materialy/truboprovody/2000165221-V321/","Открыть позицию")</x:f>
        <x:v>Открыть позицию</x:v>
      </x:c>
    </x:row>
    <x:row r="796" ht="28" customHeight="1">
      <x:c r="A796" s="16" t="str">
        <x:v>РТК-Генерация</x:v>
      </x:c>
      <x:c r="B796" s="16" t="str">
        <x:v>2000909564-VF11</x:v>
      </x:c>
      <x:c r="C796" s="16" t="str">
        <x:v>КЛАПАН 25Ч945П DN25 PN16 ЭП ФЛ ВОДА</x:v>
      </x:c>
      <x:c r="D796" s="16" t="str">
        <x:v>РегулирующАрматура</x:v>
      </x:c>
      <x:c r="E796" s="16" t="str">
        <x:v>ШТ</x:v>
      </x:c>
      <x:c r="F796" s="21" t="n">
        <x:v>15</x:v>
      </x:c>
      <x:c r="G796" s="17" t="n">
        <x:v>8105.9728</x:v>
      </x:c>
      <x:c r="H796" s="17" t="n">
        <x:f>G796*F796</x:f>
        <x:v>121589.59199999999</x:v>
      </x:c>
      <x:c r="I796" s="22" t="str">
        <x:f>HYPERLINK("https://etp-aktiv.ru/catalog/materialy/truboprovodnaya-armatura-i-komplektuyushchie/2000909564-VF11/","Открыть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56df699d9f7a4672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Металлопрокат, металлоконструкции и сварка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Канская ТЭЦ</x:v>
      </x:c>
      <x:c r="B5" s="16" t="str">
        <x:v>2000557729-V141</x:v>
      </x:c>
      <x:c r="C5" s="16" t="str">
        <x:v>ЛИСТ AISI 321 2B 0,8*1250*2500</x:v>
      </x:c>
      <x:c r="D5" s="16" t="str">
        <x:v>М/прокат нерж сталь</x:v>
      </x:c>
      <x:c r="E5" s="16" t="str">
        <x:v>Т</x:v>
      </x:c>
      <x:c r="F5" s="30" t="n">
        <x:v>0.004</x:v>
      </x:c>
      <x:c r="G5" s="17" t="n">
        <x:v>310528.125</x:v>
      </x:c>
      <x:c r="H5" s="17" t="n">
        <x:f>G5*F5</x:f>
        <x:v>1242.1125</x:v>
      </x:c>
      <x:c r="I5" s="22" t="str">
        <x:f>HYPERLINK("https://etp-aktiv.ru/catalog/materialy/metalloprodukciya/2000557729-V141/","Открыть позицию")</x:f>
        <x:v>Открыть позицию</x:v>
      </x:c>
    </x:row>
    <x:row r="6" ht="28" customHeight="1">
      <x:c r="A6" s="16" t="str">
        <x:v>Канская ТЭЦ</x:v>
      </x:c>
      <x:c r="B6" s="16" t="str">
        <x:v>2000137933-V141</x:v>
      </x:c>
      <x:c r="C6" s="16" t="str">
        <x:v>ЛИСТ Г/К СТ20 30ММ ГОСТ1577-93</x:v>
      </x:c>
      <x:c r="D6" s="16" t="str">
        <x:v>М/прокат черный</x:v>
      </x:c>
      <x:c r="E6" s="16" t="str">
        <x:v>Т</x:v>
      </x:c>
      <x:c r="F6" s="30" t="n">
        <x:v>0.005</x:v>
      </x:c>
      <x:c r="G6" s="17" t="n">
        <x:v>127399.2686</x:v>
      </x:c>
      <x:c r="H6" s="17" t="n">
        <x:f>G6*F6</x:f>
        <x:v>636.996343</x:v>
      </x:c>
      <x:c r="I6" s="22" t="str">
        <x:f>HYPERLINK("https://etp-aktiv.ru/catalog/materialy/metalloprodukciya/2000137933-V141/","Открыть позицию")</x:f>
        <x:v>Открыть позицию</x:v>
      </x:c>
    </x:row>
    <x:row r="7" ht="28" customHeight="1">
      <x:c r="A7" s="16" t="str">
        <x:v>Канская ТЭЦ</x:v>
      </x:c>
      <x:c r="B7" s="16" t="str">
        <x:v>2000206917-V141</x:v>
      </x:c>
      <x:c r="C7" s="16" t="str">
        <x:v>ЛИСТ Г/К СТ3ПС 4 РИФЛЕНЫЙ ГОСТ19903-74</x:v>
      </x:c>
      <x:c r="D7" s="16" t="str">
        <x:v>М/прокат черный</x:v>
      </x:c>
      <x:c r="E7" s="16" t="str">
        <x:v>КГ</x:v>
      </x:c>
      <x:c r="F7" s="21" t="n">
        <x:v>28</x:v>
      </x:c>
      <x:c r="G7" s="17" t="n">
        <x:v>52.6186</x:v>
      </x:c>
      <x:c r="H7" s="17" t="n">
        <x:f>G7*F7</x:f>
        <x:v>1473.3208</x:v>
      </x:c>
      <x:c r="I7" s="22" t="str">
        <x:f>HYPERLINK("https://etp-aktiv.ru/catalog/materialy/metalloprodukciya/2000206917-V141/","Открыть позицию")</x:f>
        <x:v>Открыть позицию</x:v>
      </x:c>
    </x:row>
    <x:row r="8" ht="28" customHeight="1">
      <x:c r="A8" s="16" t="str">
        <x:v>Канская ТЭЦ</x:v>
      </x:c>
      <x:c r="B8" s="16" t="str">
        <x:v>2000164886-V141</x:v>
      </x:c>
      <x:c r="C8" s="16" t="str">
        <x:v>ЛИСТ Г/К СТ3СП5 40ММ ГОСТ14637-89</x:v>
      </x:c>
      <x:c r="D8" s="16" t="str">
        <x:v>М/прокат черный</x:v>
      </x:c>
      <x:c r="E8" s="16" t="str">
        <x:v>Т</x:v>
      </x:c>
      <x:c r="F8" s="30" t="n">
        <x:v>0.05</x:v>
      </x:c>
      <x:c r="G8" s="17" t="n">
        <x:v>30389.407</x:v>
      </x:c>
      <x:c r="H8" s="17" t="n">
        <x:f>G8*F8</x:f>
        <x:v>1519.47035</x:v>
      </x:c>
      <x:c r="I8" s="22" t="str">
        <x:f>HYPERLINK("https://etp-aktiv.ru/catalog/materialy/metalloprodukciya/2000164886-V141/","Открыть позицию")</x:f>
        <x:v>Открыть позицию</x:v>
      </x:c>
    </x:row>
    <x:row r="9" ht="28" customHeight="1">
      <x:c r="A9" s="16" t="str">
        <x:v>КрасТЭК</x:v>
      </x:c>
      <x:c r="B9" s="16" t="str">
        <x:v>2000067655-VG11</x:v>
      </x:c>
      <x:c r="C9" s="16" t="str">
        <x:v>БАЛКА СТ3 24М ГОСТ19425-74</x:v>
      </x:c>
      <x:c r="D9" s="16" t="str">
        <x:v>М/прокат черный</x:v>
      </x:c>
      <x:c r="E9" s="16" t="str">
        <x:v>Т</x:v>
      </x:c>
      <x:c r="F9" s="21" t="n">
        <x:v>0</x:v>
      </x:c>
      <x:c r="G9" s="17" t="n">
        <x:v>18300</x:v>
      </x:c>
      <x:c r="H9" s="17" t="n">
        <x:f>G9*F9</x:f>
        <x:v>0</x:v>
      </x:c>
      <x:c r="I9" s="22" t="str">
        <x:f>HYPERLINK("https://etp-aktiv.ru/catalog/materialy/metalloprodukciya/2000067655-VG11/","Открыть позицию")</x:f>
        <x:v>Открыть позицию</x:v>
      </x:c>
    </x:row>
    <x:row r="10" ht="28" customHeight="1">
      <x:c r="A10" s="16" t="str">
        <x:v>КрасТЭК</x:v>
      </x:c>
      <x:c r="B10" s="16" t="str">
        <x:v>2000764156-VG11</x:v>
      </x:c>
      <x:c r="C10" s="16" t="str">
        <x:v>БОЛТ М12*120 8.8 ОЦИНК DIN933</x:v>
      </x:c>
      <x:c r="D10" s="16" t="str">
        <x:v>Метизы</x:v>
      </x:c>
      <x:c r="E10" s="16" t="str">
        <x:v>КГ</x:v>
      </x:c>
      <x:c r="F10" s="21" t="n">
        <x:v>5</x:v>
      </x:c>
      <x:c r="G10" s="17" t="n">
        <x:v>66.8926</x:v>
      </x:c>
      <x:c r="H10" s="17" t="n">
        <x:f>G10*F10</x:f>
        <x:v>334.463</x:v>
      </x:c>
      <x:c r="I10" s="22" t="str">
        <x:f>HYPERLINK("https://etp-aktiv.ru/catalog/materialy/metizy/2000764156-VG11/","Открыть позицию")</x:f>
        <x:v>Открыть позицию</x:v>
      </x:c>
    </x:row>
    <x:row r="11" ht="28" customHeight="1">
      <x:c r="A11" s="16" t="str">
        <x:v>КрасТЭК</x:v>
      </x:c>
      <x:c r="B11" s="16" t="str">
        <x:v>2000555782-VG11</x:v>
      </x:c>
      <x:c r="C11" s="16" t="str">
        <x:v>КРУГ СТ35 D200ММ ГОСТ2590-2006</x:v>
      </x:c>
      <x:c r="D11" s="16" t="str">
        <x:v>М/прокат черный</x:v>
      </x:c>
      <x:c r="E11" s="16" t="str">
        <x:v>Т</x:v>
      </x:c>
      <x:c r="F11" s="21" t="n">
        <x:v>0</x:v>
      </x:c>
      <x:c r="G11" s="17" t="n">
        <x:v>21960</x:v>
      </x:c>
      <x:c r="H11" s="17" t="n">
        <x:f>G11*F11</x:f>
        <x:v>0</x:v>
      </x:c>
      <x:c r="I11" s="22" t="str">
        <x:f>HYPERLINK("https://etp-aktiv.ru/catalog/materialy/metalloprodukciya/2000555782-VG11/","Открыть позицию")</x:f>
        <x:v>Открыть позицию</x:v>
      </x:c>
    </x:row>
    <x:row r="12" ht="28" customHeight="1">
      <x:c r="A12" s="16" t="str">
        <x:v>КрасТЭК</x:v>
      </x:c>
      <x:c r="B12" s="16" t="str">
        <x:v>2001028432-VG11</x:v>
      </x:c>
      <x:c r="C12" s="16" t="str">
        <x:v>ОПОРА ОСВЕЩЕНИЯ НФГ-9,0-05-Ц</x:v>
      </x:c>
      <x:c r="D12" s="16" t="str">
        <x:v>Металлоконструкции</x:v>
      </x:c>
      <x:c r="E12" s="16" t="str">
        <x:v>ШТ</x:v>
      </x:c>
      <x:c r="F12" s="21" t="n">
        <x:v>12</x:v>
      </x:c>
      <x:c r="G12" s="17" t="n">
        <x:v>23064.527</x:v>
      </x:c>
      <x:c r="H12" s="17" t="n">
        <x:f>G12*F12</x:f>
        <x:v>276774.32399999996</x:v>
      </x:c>
      <x:c r="I12" s="22" t="str">
        <x:f>HYPERLINK("https://etp-aktiv.ru/catalog/materialy/metallokonstrukcii/2001028432-VG11/","Открыть позицию")</x:f>
        <x:v>Открыть позицию</x:v>
      </x:c>
    </x:row>
    <x:row r="13" ht="28" customHeight="1">
      <x:c r="A13" s="16" t="str">
        <x:v>Красноярская ГРЭС-2</x:v>
      </x:c>
      <x:c r="B13" s="16" t="str">
        <x:v>2000552331-V116</x:v>
      </x:c>
      <x:c r="C13" s="16" t="str">
        <x:v>БАЛЛОН АРГОНОВЫЙ 40Л ГОСТ949-73</x:v>
      </x:c>
      <x:c r="D13" s="16" t="str">
        <x:v>Тара, тарные матер</x:v>
      </x:c>
      <x:c r="E13" s="16" t="str">
        <x:v>ШТ</x:v>
      </x:c>
      <x:c r="F13" s="21" t="n">
        <x:v>47</x:v>
      </x:c>
      <x:c r="G13" s="17" t="n">
        <x:v>4866.6898</x:v>
      </x:c>
      <x:c r="H13" s="17" t="n">
        <x:f>G13*F13</x:f>
        <x:v>228734.4206</x:v>
      </x:c>
      <x:c r="I13" s="22" t="str">
        <x:f>HYPERLINK("https://etp-aktiv.ru/catalog/materialy/tara/2000552331-V116/","Открыть позицию")</x:f>
        <x:v>Открыть позицию</x:v>
      </x:c>
    </x:row>
    <x:row r="14" ht="28" customHeight="1">
      <x:c r="A14" s="16" t="str">
        <x:v>Красноярская ГРЭС-2</x:v>
      </x:c>
      <x:c r="B14" s="16" t="str">
        <x:v>2000574946-V116</x:v>
      </x:c>
      <x:c r="C14" s="16" t="str">
        <x:v>БАЛЛОН ПРОПАНОВ 3-50-2,5-К ГОСТ15860-84</x:v>
      </x:c>
      <x:c r="D14" s="16" t="str">
        <x:v>Тара, тарные матер</x:v>
      </x:c>
      <x:c r="E14" s="16" t="str">
        <x:v>ШТ</x:v>
      </x:c>
      <x:c r="F14" s="21" t="n">
        <x:v>25</x:v>
      </x:c>
      <x:c r="G14" s="17" t="n">
        <x:v>1465.2322</x:v>
      </x:c>
      <x:c r="H14" s="17" t="n">
        <x:f>G14*F14</x:f>
        <x:v>36630.805</x:v>
      </x:c>
      <x:c r="I14" s="22" t="str">
        <x:f>HYPERLINK("https://etp-aktiv.ru/catalog/materialy/tara/2000574946-V116/","Открыть позицию")</x:f>
        <x:v>Открыть позицию</x:v>
      </x:c>
    </x:row>
    <x:row r="15" ht="28" customHeight="1">
      <x:c r="A15" s="16" t="str">
        <x:v>Красноярская ГРЭС-2</x:v>
      </x:c>
      <x:c r="B15" s="16" t="str">
        <x:v>2000641919-V116</x:v>
      </x:c>
      <x:c r="C15" s="16" t="str">
        <x:v>БОЛТ M6-6G*20.58 ГОСТ7805-70</x:v>
      </x:c>
      <x:c r="D15" s="16" t="str">
        <x:v>Метизы</x:v>
      </x:c>
      <x:c r="E15" s="16" t="str">
        <x:v>КГ</x:v>
      </x:c>
      <x:c r="F15" s="21" t="n">
        <x:v>50</x:v>
      </x:c>
      <x:c r="G15" s="17" t="n">
        <x:v>159.4784</x:v>
      </x:c>
      <x:c r="H15" s="17" t="n">
        <x:f>G15*F15</x:f>
        <x:v>7973.92</x:v>
      </x:c>
      <x:c r="I15" s="22" t="str">
        <x:f>HYPERLINK("https://etp-aktiv.ru/catalog/materialy/metizy/2000641919-V116/","Открыть позицию")</x:f>
        <x:v>Открыть позицию</x:v>
      </x:c>
    </x:row>
    <x:row r="16" ht="28" customHeight="1">
      <x:c r="A16" s="16" t="str">
        <x:v>Красноярская ГРЭС-2</x:v>
      </x:c>
      <x:c r="B16" s="16" t="str">
        <x:v>2000523222-V116</x:v>
      </x:c>
      <x:c r="C16" s="16" t="str">
        <x:v>БОЛТ М12-6G*55 S19 5.8 ГОСТ7798-70</x:v>
      </x:c>
      <x:c r="D16" s="16" t="str">
        <x:v>Метизы Спец</x:v>
      </x:c>
      <x:c r="E16" s="16" t="str">
        <x:v>КГ</x:v>
      </x:c>
      <x:c r="F16" s="21" t="n">
        <x:v>3</x:v>
      </x:c>
      <x:c r="G16" s="17" t="n">
        <x:v>67.6246</x:v>
      </x:c>
      <x:c r="H16" s="17" t="n">
        <x:f>G16*F16</x:f>
        <x:v>202.87380000000002</x:v>
      </x:c>
      <x:c r="I16" s="22" t="str">
        <x:f>HYPERLINK("https://etp-aktiv.ru/catalog/materialy/metizy/2000523222-V116/","Открыть позицию")</x:f>
        <x:v>Открыть позицию</x:v>
      </x:c>
    </x:row>
    <x:row r="17" ht="28" customHeight="1">
      <x:c r="A17" s="16" t="str">
        <x:v>Красноярская ГРЭС-2</x:v>
      </x:c>
      <x:c r="B17" s="16" t="str">
        <x:v>2000068298-V116</x:v>
      </x:c>
      <x:c r="C17" s="16" t="str">
        <x:v>БОЛТ М14*100 ГОСТ7805-70</x:v>
      </x:c>
      <x:c r="D17" s="16" t="str">
        <x:v>Метизы</x:v>
      </x:c>
      <x:c r="E17" s="16" t="str">
        <x:v>КГ</x:v>
      </x:c>
      <x:c r="F17" s="26" t="n">
        <x:v>10.72</x:v>
      </x:c>
      <x:c r="G17" s="17" t="n">
        <x:v>83.03320000000001</x:v>
      </x:c>
      <x:c r="H17" s="17" t="n">
        <x:f>G17*F17</x:f>
        <x:v>890.1159040000001</x:v>
      </x:c>
      <x:c r="I17" s="22" t="str">
        <x:f>HYPERLINK("https://etp-aktiv.ru/catalog/materialy/metizy/2000068298-V116/","Открыть позицию")</x:f>
        <x:v>Открыть позицию</x:v>
      </x:c>
    </x:row>
    <x:row r="18" ht="28" customHeight="1">
      <x:c r="A18" s="16" t="str">
        <x:v>Красноярская ГРЭС-2</x:v>
      </x:c>
      <x:c r="B18" s="16" t="str">
        <x:v>2000068430-V116</x:v>
      </x:c>
      <x:c r="C18" s="16" t="str">
        <x:v>БОЛТ М18*100 ГОСТ7805-70</x:v>
      </x:c>
      <x:c r="D18" s="16" t="str">
        <x:v>Метизы</x:v>
      </x:c>
      <x:c r="E18" s="16" t="str">
        <x:v>КГ</x:v>
      </x:c>
      <x:c r="F18" s="21" t="n">
        <x:v>5</x:v>
      </x:c>
      <x:c r="G18" s="17" t="n">
        <x:v>94.70859999999999</x:v>
      </x:c>
      <x:c r="H18" s="17" t="n">
        <x:f>G18*F18</x:f>
        <x:v>473.54299999999995</x:v>
      </x:c>
      <x:c r="I18" s="22" t="str">
        <x:f>HYPERLINK("https://etp-aktiv.ru/catalog/materialy/metizy/2000068430-V116/","Открыть позицию")</x:f>
        <x:v>Открыть позицию</x:v>
      </x:c>
    </x:row>
    <x:row r="19" ht="28" customHeight="1">
      <x:c r="A19" s="16" t="str">
        <x:v>Красноярская ГРЭС-2</x:v>
      </x:c>
      <x:c r="B19" s="16" t="str">
        <x:v>2000167187-V116</x:v>
      </x:c>
      <x:c r="C19" s="16" t="str">
        <x:v>БОЛТ М27*110 ГОСТ7798-70</x:v>
      </x:c>
      <x:c r="D19" s="16" t="str">
        <x:v>Метизы</x:v>
      </x:c>
      <x:c r="E19" s="16" t="str">
        <x:v>КГ</x:v>
      </x:c>
      <x:c r="F19" s="26" t="n">
        <x:v>11.14</x:v>
      </x:c>
      <x:c r="G19" s="17" t="n">
        <x:v>125.416</x:v>
      </x:c>
      <x:c r="H19" s="17" t="n">
        <x:f>G19*F19</x:f>
        <x:v>1397.13424</x:v>
      </x:c>
      <x:c r="I19" s="22" t="str">
        <x:f>HYPERLINK("https://etp-aktiv.ru/catalog/materialy/metizy/2000167187-V116/","Открыть позицию")</x:f>
        <x:v>Открыть позицию</x:v>
      </x:c>
    </x:row>
    <x:row r="20" ht="28" customHeight="1">
      <x:c r="A20" s="16" t="str">
        <x:v>Красноярская ГРЭС-2</x:v>
      </x:c>
      <x:c r="B20" s="16" t="str">
        <x:v>2000641985-V116</x:v>
      </x:c>
      <x:c r="C20" s="16" t="str">
        <x:v>БОЛТ М27-6GX160.58 Г 7805-70</x:v>
      </x:c>
      <x:c r="D20" s="16" t="str">
        <x:v>Метизы</x:v>
      </x:c>
      <x:c r="E20" s="16" t="str">
        <x:v>Т</x:v>
      </x:c>
      <x:c r="F20" s="30" t="n">
        <x:v>0.3</x:v>
      </x:c>
      <x:c r="G20" s="17" t="n">
        <x:v>47044.4566</x:v>
      </x:c>
      <x:c r="H20" s="17" t="n">
        <x:f>G20*F20</x:f>
        <x:v>14113.336979999998</x:v>
      </x:c>
      <x:c r="I20" s="22" t="str">
        <x:f>HYPERLINK("https://etp-aktiv.ru/catalog/materialy/metizy/2000641985-V116/","Открыть позицию")</x:f>
        <x:v>Открыть позицию</x:v>
      </x:c>
    </x:row>
    <x:row r="21" ht="28" customHeight="1">
      <x:c r="A21" s="16" t="str">
        <x:v>Красноярская ГРЭС-2</x:v>
      </x:c>
      <x:c r="B21" s="16" t="str">
        <x:v>2000595535-V116</x:v>
      </x:c>
      <x:c r="C21" s="16" t="str">
        <x:v>БОЛТ М30*80 ГОСТ7805-70</x:v>
      </x:c>
      <x:c r="D21" s="16" t="str">
        <x:v>Метизы Спец</x:v>
      </x:c>
      <x:c r="E21" s="16" t="str">
        <x:v>КГ</x:v>
      </x:c>
      <x:c r="F21" s="21" t="n">
        <x:v>15</x:v>
      </x:c>
      <x:c r="G21" s="17" t="n">
        <x:v>108.5068</x:v>
      </x:c>
      <x:c r="H21" s="17" t="n">
        <x:f>G21*F21</x:f>
        <x:v>1627.6019999999999</x:v>
      </x:c>
      <x:c r="I21" s="22" t="str">
        <x:f>HYPERLINK("https://etp-aktiv.ru/catalog/materialy/metizy/2000595535-V116/","Открыть позицию")</x:f>
        <x:v>Открыть позицию</x:v>
      </x:c>
    </x:row>
    <x:row r="22" ht="28" customHeight="1">
      <x:c r="A22" s="16" t="str">
        <x:v>Красноярская ГРЭС-2</x:v>
      </x:c>
      <x:c r="B22" s="16" t="str">
        <x:v>2000475795-V116</x:v>
      </x:c>
      <x:c r="C22" s="16" t="str">
        <x:v>ВИНТ 5*16 8.8 ОЦИНК DIN965</x:v>
      </x:c>
      <x:c r="D22" s="16" t="str">
        <x:v>Метизы</x:v>
      </x:c>
      <x:c r="E22" s="16" t="str">
        <x:v>КГ</x:v>
      </x:c>
      <x:c r="F22" s="26" t="n">
        <x:v>15.25</x:v>
      </x:c>
      <x:c r="G22" s="17" t="n">
        <x:v>124.1106</x:v>
      </x:c>
      <x:c r="H22" s="17" t="n">
        <x:f>G22*F22</x:f>
        <x:v>1892.68665</x:v>
      </x:c>
      <x:c r="I22" s="22" t="str">
        <x:f>HYPERLINK("https://etp-aktiv.ru/catalog/materialy/metizy/2000475795-V116/","Открыть позицию")</x:f>
        <x:v>Открыть позицию</x:v>
      </x:c>
    </x:row>
    <x:row r="23" ht="28" customHeight="1">
      <x:c r="A23" s="16" t="str">
        <x:v>Красноярская ГРЭС-2</x:v>
      </x:c>
      <x:c r="B23" s="16" t="str">
        <x:v>2000642275-V116</x:v>
      </x:c>
      <x:c r="C23" s="16" t="str">
        <x:v>ВИНТ М12-6G*30.88.019 ГОСТ11738-84</x:v>
      </x:c>
      <x:c r="D23" s="16" t="str">
        <x:v>Метизы</x:v>
      </x:c>
      <x:c r="E23" s="16" t="str">
        <x:v>КГ</x:v>
      </x:c>
      <x:c r="F23" s="26" t="n">
        <x:v>7.795</x:v>
      </x:c>
      <x:c r="G23" s="17" t="n">
        <x:v>93.48859999999999</x:v>
      </x:c>
      <x:c r="H23" s="17" t="n">
        <x:f>G23*F23</x:f>
        <x:v>728.7436369999999</x:v>
      </x:c>
      <x:c r="I23" s="22" t="str">
        <x:f>HYPERLINK("https://etp-aktiv.ru/catalog/materialy/metizy/2000642275-V116/","Открыть позицию")</x:f>
        <x:v>Открыть позицию</x:v>
      </x:c>
    </x:row>
    <x:row r="24" ht="28" customHeight="1">
      <x:c r="A24" s="16" t="str">
        <x:v>Красноярская ГРЭС-2</x:v>
      </x:c>
      <x:c r="B24" s="16" t="str">
        <x:v>2000654871-V116</x:v>
      </x:c>
      <x:c r="C24" s="16" t="str">
        <x:v>ВИНТ М3*10 8 А2 ISO7380-2</x:v>
      </x:c>
      <x:c r="D24" s="16" t="str">
        <x:v>Метизы</x:v>
      </x:c>
      <x:c r="E24" s="16" t="str">
        <x:v>КГ</x:v>
      </x:c>
      <x:c r="F24" s="26" t="n">
        <x:v>7.5</x:v>
      </x:c>
      <x:c r="G24" s="17" t="n">
        <x:v>149.53539999999998</x:v>
      </x:c>
      <x:c r="H24" s="17" t="n">
        <x:f>G24*F24</x:f>
        <x:v>1121.5155</x:v>
      </x:c>
      <x:c r="I24" s="22" t="str">
        <x:f>HYPERLINK("https://etp-aktiv.ru/catalog/materialy/metizy/2000654871-V116/","Открыть позицию")</x:f>
        <x:v>Открыть позицию</x:v>
      </x:c>
    </x:row>
    <x:row r="25" ht="28" customHeight="1">
      <x:c r="A25" s="16" t="str">
        <x:v>Красноярская ГРЭС-2</x:v>
      </x:c>
      <x:c r="B25" s="16" t="str">
        <x:v>2000642277-V116</x:v>
      </x:c>
      <x:c r="C25" s="16" t="str">
        <x:v>ВИНТ М3Х30.58 Г 1490-62</x:v>
      </x:c>
      <x:c r="D25" s="16" t="str">
        <x:v>Метизы</x:v>
      </x:c>
      <x:c r="E25" s="16" t="str">
        <x:v>КГ</x:v>
      </x:c>
      <x:c r="F25" s="26" t="n">
        <x:v>4.5</x:v>
      </x:c>
      <x:c r="G25" s="17" t="n">
        <x:v>154.5496</x:v>
      </x:c>
      <x:c r="H25" s="17" t="n">
        <x:f>G25*F25</x:f>
        <x:v>695.4732</x:v>
      </x:c>
      <x:c r="I25" s="22" t="str">
        <x:f>HYPERLINK("https://etp-aktiv.ru/catalog/materialy/metizy/2000642277-V116/","Открыть позицию")</x:f>
        <x:v>Открыть позицию</x:v>
      </x:c>
    </x:row>
    <x:row r="26" ht="28" customHeight="1">
      <x:c r="A26" s="16" t="str">
        <x:v>Красноярская ГРЭС-2</x:v>
      </x:c>
      <x:c r="B26" s="16" t="str">
        <x:v>2000739082-V116</x:v>
      </x:c>
      <x:c r="C26" s="16" t="str">
        <x:v>ВИНТ М4*12 10.9 A2 DIN912</x:v>
      </x:c>
      <x:c r="D26" s="16" t="str">
        <x:v>Метизы</x:v>
      </x:c>
      <x:c r="E26" s="16" t="str">
        <x:v>КГ</x:v>
      </x:c>
      <x:c r="F26" s="26" t="n">
        <x:v>43.8</x:v>
      </x:c>
      <x:c r="G26" s="17" t="n">
        <x:v>78.50699999999999</x:v>
      </x:c>
      <x:c r="H26" s="17" t="n">
        <x:f>G26*F26</x:f>
        <x:v>3438.606599999999</x:v>
      </x:c>
      <x:c r="I26" s="22" t="str">
        <x:f>HYPERLINK("https://etp-aktiv.ru/catalog/materialy/metizy/2000739082-V116/","Открыть позицию")</x:f>
        <x:v>Открыть позицию</x:v>
      </x:c>
    </x:row>
    <x:row r="27" ht="28" customHeight="1">
      <x:c r="A27" s="16" t="str">
        <x:v>Красноярская ГРЭС-2</x:v>
      </x:c>
      <x:c r="B27" s="16" t="str">
        <x:v>2000468256-V116</x:v>
      </x:c>
      <x:c r="C27" s="16" t="str">
        <x:v>ВИНТ М4*30 8.8 DIN7985</x:v>
      </x:c>
      <x:c r="D27" s="16" t="str">
        <x:v>Метизы</x:v>
      </x:c>
      <x:c r="E27" s="16" t="str">
        <x:v>КГ</x:v>
      </x:c>
      <x:c r="F27" s="26" t="n">
        <x:v>4.5</x:v>
      </x:c>
      <x:c r="G27" s="17" t="n">
        <x:v>197.50579999999997</x:v>
      </x:c>
      <x:c r="H27" s="17" t="n">
        <x:f>G27*F27</x:f>
        <x:v>888.7760999999998</x:v>
      </x:c>
      <x:c r="I27" s="22" t="str">
        <x:f>HYPERLINK("https://etp-aktiv.ru/catalog/materialy/metizy/2000468256-V116/","Открыть позицию")</x:f>
        <x:v>Открыть позицию</x:v>
      </x:c>
    </x:row>
    <x:row r="28" ht="28" customHeight="1">
      <x:c r="A28" s="16" t="str">
        <x:v>Красноярская ГРЭС-2</x:v>
      </x:c>
      <x:c r="B28" s="16" t="str">
        <x:v>2000298818-V116</x:v>
      </x:c>
      <x:c r="C28" s="16" t="str">
        <x:v>ВИНТ М5*20 ГОСТ1491-80</x:v>
      </x:c>
      <x:c r="D28" s="16" t="str">
        <x:v>Метизы</x:v>
      </x:c>
      <x:c r="E28" s="16" t="str">
        <x:v>КГ</x:v>
      </x:c>
      <x:c r="F28" s="26" t="n">
        <x:v>12.2</x:v>
      </x:c>
      <x:c r="G28" s="17" t="n">
        <x:v>238.754</x:v>
      </x:c>
      <x:c r="H28" s="17" t="n">
        <x:f>G28*F28</x:f>
        <x:v>2912.7987999999996</x:v>
      </x:c>
      <x:c r="I28" s="22" t="str">
        <x:f>HYPERLINK("https://etp-aktiv.ru/catalog/materialy/metizy/2000298818-V116/","Открыть позицию")</x:f>
        <x:v>Открыть позицию</x:v>
      </x:c>
    </x:row>
    <x:row r="29" ht="28" customHeight="1">
      <x:c r="A29" s="16" t="str">
        <x:v>Красноярская ГРЭС-2</x:v>
      </x:c>
      <x:c r="B29" s="16" t="str">
        <x:v>2000642472-V116</x:v>
      </x:c>
      <x:c r="C29" s="16" t="str">
        <x:v>ГАЙКА ЛАТУННАЯ 2М3-6Н.5 Г 5915-70</x:v>
      </x:c>
      <x:c r="D29" s="16" t="str">
        <x:v>Метизы</x:v>
      </x:c>
      <x:c r="E29" s="16" t="str">
        <x:v>КГ</x:v>
      </x:c>
      <x:c r="F29" s="26" t="n">
        <x:v>1.3</x:v>
      </x:c>
      <x:c r="G29" s="17" t="n">
        <x:v>1090.0822</x:v>
      </x:c>
      <x:c r="H29" s="17" t="n">
        <x:f>G29*F29</x:f>
        <x:v>1417.10686</x:v>
      </x:c>
      <x:c r="I29" s="22" t="str">
        <x:f>HYPERLINK("https://etp-aktiv.ru/catalog/materialy/metizy/2000642472-V116/","Открыть позицию")</x:f>
        <x:v>Открыть позицию</x:v>
      </x:c>
    </x:row>
    <x:row r="30" ht="28" customHeight="1">
      <x:c r="A30" s="16" t="str">
        <x:v>Красноярская ГРЭС-2</x:v>
      </x:c>
      <x:c r="B30" s="16" t="str">
        <x:v>2000641137-V116</x:v>
      </x:c>
      <x:c r="C30" s="16" t="str">
        <x:v>ГАЙКА М42Х4,5 СТ35 Ч.Т-135-130-1</x:v>
      </x:c>
      <x:c r="D30" s="16" t="str">
        <x:v>Метизы</x:v>
      </x:c>
      <x:c r="E30" s="16" t="str">
        <x:v>ШТ</x:v>
      </x:c>
      <x:c r="F30" s="21" t="n">
        <x:v>490</x:v>
      </x:c>
      <x:c r="G30" s="17" t="n">
        <x:v>189.405</x:v>
      </x:c>
      <x:c r="H30" s="17" t="n">
        <x:f>G30*F30</x:f>
        <x:v>92808.45</x:v>
      </x:c>
      <x:c r="I30" s="22" t="str">
        <x:f>HYPERLINK("https://etp-aktiv.ru/catalog/materialy/metizy/2000641137-V116/","Открыть позицию")</x:f>
        <x:v>Открыть позицию</x:v>
      </x:c>
    </x:row>
    <x:row r="31" ht="28" customHeight="1">
      <x:c r="A31" s="16" t="str">
        <x:v>Красноярская ГРЭС-2</x:v>
      </x:c>
      <x:c r="B31" s="16" t="str">
        <x:v>2000641138-V116</x:v>
      </x:c>
      <x:c r="C31" s="16" t="str">
        <x:v>ГАЙКА М5-6Н.5 (S8) Г 5915-70</x:v>
      </x:c>
      <x:c r="D31" s="16" t="str">
        <x:v>Метизы</x:v>
      </x:c>
      <x:c r="E31" s="16" t="str">
        <x:v>КГ</x:v>
      </x:c>
      <x:c r="F31" s="21" t="n">
        <x:v>39</x:v>
      </x:c>
      <x:c r="G31" s="17" t="n">
        <x:v>68.2834</x:v>
      </x:c>
      <x:c r="H31" s="17" t="n">
        <x:f>G31*F31</x:f>
        <x:v>2663.0526</x:v>
      </x:c>
      <x:c r="I31" s="22" t="str">
        <x:f>HYPERLINK("https://etp-aktiv.ru/catalog/materialy/metizy/2000641138-V116/","Открыть позицию")</x:f>
        <x:v>Открыть позицию</x:v>
      </x:c>
    </x:row>
    <x:row r="32" ht="28" customHeight="1">
      <x:c r="A32" s="16" t="str">
        <x:v>Красноярская ГРЭС-2</x:v>
      </x:c>
      <x:c r="B32" s="16" t="str">
        <x:v>2000149961-V116</x:v>
      </x:c>
      <x:c r="C32" s="16" t="str">
        <x:v>ГВОЗДЬ 2,5*60 ГОСТ4028-63</x:v>
      </x:c>
      <x:c r="D32" s="16" t="str">
        <x:v>Метизы</x:v>
      </x:c>
      <x:c r="E32" s="16" t="str">
        <x:v>КГ</x:v>
      </x:c>
      <x:c r="F32" s="26" t="n">
        <x:v>562.5</x:v>
      </x:c>
      <x:c r="G32" s="17" t="n">
        <x:v>28.1332</x:v>
      </x:c>
      <x:c r="H32" s="17" t="n">
        <x:f>G32*F32</x:f>
        <x:v>15824.925</x:v>
      </x:c>
      <x:c r="I32" s="22" t="str">
        <x:f>HYPERLINK("https://etp-aktiv.ru/catalog/materialy/metizy/2000149961-V116/","Открыть позицию")</x:f>
        <x:v>Открыть позицию</x:v>
      </x:c>
    </x:row>
    <x:row r="33" ht="28" customHeight="1">
      <x:c r="A33" s="16" t="str">
        <x:v>Красноярская ГРЭС-2</x:v>
      </x:c>
      <x:c r="B33" s="16" t="str">
        <x:v>2000641140-V116</x:v>
      </x:c>
      <x:c r="C33" s="16" t="str">
        <x:v>ГВОЗДЬ 2,5Х10</x:v>
      </x:c>
      <x:c r="D33" s="16" t="str">
        <x:v>Метизы</x:v>
      </x:c>
      <x:c r="E33" s="16" t="str">
        <x:v>КГ</x:v>
      </x:c>
      <x:c r="F33" s="21" t="n">
        <x:v>6</x:v>
      </x:c>
      <x:c r="G33" s="17" t="n">
        <x:v>40.504000000000005</x:v>
      </x:c>
      <x:c r="H33" s="17" t="n">
        <x:f>G33*F33</x:f>
        <x:v>243.02400000000003</x:v>
      </x:c>
      <x:c r="I33" s="22" t="str">
        <x:f>HYPERLINK("https://etp-aktiv.ru/catalog/materialy/metizy/2000641140-V116/","Открыть позицию")</x:f>
        <x:v>Открыть позицию</x:v>
      </x:c>
    </x:row>
    <x:row r="34" ht="28" customHeight="1">
      <x:c r="A34" s="16" t="str">
        <x:v>Красноярская ГРЭС-2</x:v>
      </x:c>
      <x:c r="B34" s="16" t="str">
        <x:v>2000068543-V116</x:v>
      </x:c>
      <x:c r="C34" s="16" t="str">
        <x:v>ГВОЗДЬ 3*80 ГОСТ4028-63</x:v>
      </x:c>
      <x:c r="D34" s="16" t="str">
        <x:v>Метизы</x:v>
      </x:c>
      <x:c r="E34" s="16" t="str">
        <x:v>КГ</x:v>
      </x:c>
      <x:c r="F34" s="21" t="n">
        <x:v>249</x:v>
      </x:c>
      <x:c r="G34" s="17" t="n">
        <x:v>13.5176</x:v>
      </x:c>
      <x:c r="H34" s="17" t="n">
        <x:f>G34*F34</x:f>
        <x:v>3365.8824</x:v>
      </x:c>
      <x:c r="I34" s="22" t="str">
        <x:f>HYPERLINK("https://etp-aktiv.ru/catalog/materialy/metizy/2000068543-V116/","Открыть позицию")</x:f>
        <x:v>Открыть позицию</x:v>
      </x:c>
    </x:row>
    <x:row r="35" ht="28" customHeight="1">
      <x:c r="A35" s="16" t="str">
        <x:v>Красноярская ГРЭС-2</x:v>
      </x:c>
      <x:c r="B35" s="16" t="str">
        <x:v>2000444532-V116</x:v>
      </x:c>
      <x:c r="C35" s="16" t="str">
        <x:v>ГВОЗДЬ 4*120 ГОСТ9870-61</x:v>
      </x:c>
      <x:c r="D35" s="16" t="str">
        <x:v>Метизы</x:v>
      </x:c>
      <x:c r="E35" s="16" t="str">
        <x:v>КГ</x:v>
      </x:c>
      <x:c r="F35" s="21" t="n">
        <x:v>15</x:v>
      </x:c>
      <x:c r="G35" s="17" t="n">
        <x:v>57.388799999999996</x:v>
      </x:c>
      <x:c r="H35" s="17" t="n">
        <x:f>G35*F35</x:f>
        <x:v>860.832</x:v>
      </x:c>
      <x:c r="I35" s="22" t="str">
        <x:f>HYPERLINK("https://etp-aktiv.ru/catalog/materialy/metizy/2000444532-V116/","Открыть позицию")</x:f>
        <x:v>Открыть позицию</x:v>
      </x:c>
    </x:row>
    <x:row r="36" ht="28" customHeight="1">
      <x:c r="A36" s="16" t="str">
        <x:v>Красноярская ГРЭС-2</x:v>
      </x:c>
      <x:c r="B36" s="16" t="str">
        <x:v>2000068546-V116</x:v>
      </x:c>
      <x:c r="C36" s="16" t="str">
        <x:v>ГВОЗДЬ 5*120 ГОСТ4028-63</x:v>
      </x:c>
      <x:c r="D36" s="16" t="str">
        <x:v>Метизы</x:v>
      </x:c>
      <x:c r="E36" s="16" t="str">
        <x:v>КГ</x:v>
      </x:c>
      <x:c r="F36" s="21" t="n">
        <x:v>150</x:v>
      </x:c>
      <x:c r="G36" s="17" t="n">
        <x:v>84.91199999999999</x:v>
      </x:c>
      <x:c r="H36" s="17" t="n">
        <x:f>G36*F36</x:f>
        <x:v>12736.8</x:v>
      </x:c>
      <x:c r="I36" s="22" t="str">
        <x:f>HYPERLINK("https://etp-aktiv.ru/catalog/materialy/metizy/2000068546-V116/","Открыть позицию")</x:f>
        <x:v>Открыть позицию</x:v>
      </x:c>
    </x:row>
    <x:row r="37" ht="28" customHeight="1">
      <x:c r="A37" s="16" t="str">
        <x:v>Красноярская ГРЭС-2</x:v>
      </x:c>
      <x:c r="B37" s="16" t="str">
        <x:v>2000068547-V116</x:v>
      </x:c>
      <x:c r="C37" s="16" t="str">
        <x:v>ГВОЗДЬ 5*150 ГОСТ4028-63</x:v>
      </x:c>
      <x:c r="D37" s="16" t="str">
        <x:v>Метизы</x:v>
      </x:c>
      <x:c r="E37" s="16" t="str">
        <x:v>КГ</x:v>
      </x:c>
      <x:c r="F37" s="26" t="n">
        <x:v>143.7</x:v>
      </x:c>
      <x:c r="G37" s="17" t="n">
        <x:v>43.797999999999995</x:v>
      </x:c>
      <x:c r="H37" s="17" t="n">
        <x:f>G37*F37</x:f>
        <x:v>6293.772599999998</x:v>
      </x:c>
      <x:c r="I37" s="22" t="str">
        <x:f>HYPERLINK("https://etp-aktiv.ru/catalog/materialy/metizy/2000068547-V116/","Открыть позицию")</x:f>
        <x:v>Открыть позицию</x:v>
      </x:c>
    </x:row>
    <x:row r="38" ht="28" customHeight="1">
      <x:c r="A38" s="16" t="str">
        <x:v>Красноярская ГРЭС-2</x:v>
      </x:c>
      <x:c r="B38" s="16" t="str">
        <x:v>2000283287-V116</x:v>
      </x:c>
      <x:c r="C38" s="16" t="str">
        <x:v>ГВОЗДЬ ФИНИШНЫЙ 1,4*40 ГОСТ7811-7035</x:v>
      </x:c>
      <x:c r="D38" s="16" t="str">
        <x:v>Метизы</x:v>
      </x:c>
      <x:c r="E38" s="16" t="str">
        <x:v>КГ</x:v>
      </x:c>
      <x:c r="F38" s="21" t="n">
        <x:v>6</x:v>
      </x:c>
      <x:c r="G38" s="17" t="n">
        <x:v>148.4008</x:v>
      </x:c>
      <x:c r="H38" s="17" t="n">
        <x:f>G38*F38</x:f>
        <x:v>890.4048</x:v>
      </x:c>
      <x:c r="I38" s="22" t="str">
        <x:f>HYPERLINK("https://etp-aktiv.ru/catalog/materialy/metizy/2000283287-V116/","Открыть позицию")</x:f>
        <x:v>Открыть позицию</x:v>
      </x:c>
    </x:row>
    <x:row r="39" ht="28" customHeight="1">
      <x:c r="A39" s="16" t="str">
        <x:v>Красноярская ГРЭС-2</x:v>
      </x:c>
      <x:c r="B39" s="16" t="str">
        <x:v>2000723495-V116</x:v>
      </x:c>
      <x:c r="C39" s="16" t="str">
        <x:v>ДВУОКИСЬ УГЛЕРОДА ЖИДК В/С 40Л ГОСТ8050</x:v>
      </x:c>
      <x:c r="D39" s="16" t="str">
        <x:v>Промышленные газы</x:v>
      </x:c>
      <x:c r="E39" s="16" t="str">
        <x:v>ШТ</x:v>
      </x:c>
      <x:c r="F39" s="21" t="n">
        <x:v>18</x:v>
      </x:c>
      <x:c r="G39" s="17" t="n">
        <x:v>1372.5244</x:v>
      </x:c>
      <x:c r="H39" s="17" t="n">
        <x:f>G39*F39</x:f>
        <x:v>24705.4392</x:v>
      </x:c>
      <x:c r="I39" s="22" t="str">
        <x:f>HYPERLINK("https://etp-aktiv.ru/catalog/materialy/himicheskaya-produkciya/2000723495-V116/","Открыть позицию")</x:f>
        <x:v>Открыть позицию</x:v>
      </x:c>
    </x:row>
    <x:row r="40" ht="28" customHeight="1">
      <x:c r="A40" s="16" t="str">
        <x:v>Красноярская ГРЭС-2</x:v>
      </x:c>
      <x:c r="B40" s="16" t="str">
        <x:v>2000644432-V116</x:v>
      </x:c>
      <x:c r="C40" s="16" t="str">
        <x:v>КРУГ В1-II-НД-10 45-2ГП-М1-ТВ1 Г1050</x:v>
      </x:c>
      <x:c r="D40" s="16" t="str">
        <x:v>М/прокат черный</x:v>
      </x:c>
      <x:c r="E40" s="16" t="str">
        <x:v>КГ</x:v>
      </x:c>
      <x:c r="F40" s="26" t="n">
        <x:v>123.6</x:v>
      </x:c>
      <x:c r="G40" s="17" t="n">
        <x:v>20.5936</x:v>
      </x:c>
      <x:c r="H40" s="17" t="n">
        <x:f>G40*F40</x:f>
        <x:v>2545.36896</x:v>
      </x:c>
      <x:c r="I40" s="22" t="str">
        <x:f>HYPERLINK("https://etp-aktiv.ru/catalog/materialy/metalloprodukciya/2000644432-V116/","Открыть позицию")</x:f>
        <x:v>Открыть позицию</x:v>
      </x:c>
    </x:row>
    <x:row r="41" ht="28" customHeight="1">
      <x:c r="A41" s="16" t="str">
        <x:v>Красноярская ГРЭС-2</x:v>
      </x:c>
      <x:c r="B41" s="16" t="str">
        <x:v>2000644376-V116</x:v>
      </x:c>
      <x:c r="C41" s="16" t="str">
        <x:v>КРУГ В1-II-НД90 Г2590 25Х2МФ-Б-Н 20072</x:v>
      </x:c>
      <x:c r="D41" s="16" t="str">
        <x:v>М/прокат черный</x:v>
      </x:c>
      <x:c r="E41" s="16" t="str">
        <x:v>Т</x:v>
      </x:c>
      <x:c r="F41" s="21" t="n">
        <x:v>0</x:v>
      </x:c>
      <x:c r="G41" s="17" t="n">
        <x:v>29954.818600000002</x:v>
      </x:c>
      <x:c r="H41" s="17" t="n">
        <x:f>G41*F41</x:f>
        <x:v>0</x:v>
      </x:c>
      <x:c r="I41" s="22" t="str">
        <x:f>HYPERLINK("https://etp-aktiv.ru/catalog/materialy/metalloprodukciya/2000644376-V116/","Открыть позицию")</x:f>
        <x:v>Открыть позицию</x:v>
      </x:c>
    </x:row>
    <x:row r="42" ht="28" customHeight="1">
      <x:c r="A42" s="16" t="str">
        <x:v>Красноярская ГРЭС-2</x:v>
      </x:c>
      <x:c r="B42" s="16" t="str">
        <x:v>2000644649-V116</x:v>
      </x:c>
      <x:c r="C42" s="16" t="str">
        <x:v>ЛЕНТА 0,33Х333М-НТ-О-12Х18Н10Т-3А 4986</x:v>
      </x:c>
      <x:c r="D42" s="16" t="str">
        <x:v>М/прокат нерж сталь</x:v>
      </x:c>
      <x:c r="E42" s="16" t="str">
        <x:v>М</x:v>
      </x:c>
      <x:c r="F42" s="21" t="n">
        <x:v>0</x:v>
      </x:c>
      <x:c r="G42" s="17" t="n">
        <x:v>76.6282</x:v>
      </x:c>
      <x:c r="H42" s="17" t="n">
        <x:f>G42*F42</x:f>
        <x:v>0</x:v>
      </x:c>
      <x:c r="I42" s="22" t="str">
        <x:f>HYPERLINK("https://etp-aktiv.ru/catalog/materialy/metalloprodukciya/2000644649-V116/","Открыть позицию")</x:f>
        <x:v>Открыть позицию</x:v>
      </x:c>
    </x:row>
    <x:row r="43" ht="28" customHeight="1">
      <x:c r="A43" s="16" t="str">
        <x:v>Красноярская ГРЭС-2</x:v>
      </x:c>
      <x:c r="B43" s="16" t="str">
        <x:v>2000644687-V116</x:v>
      </x:c>
      <x:c r="C43" s="16" t="str">
        <x:v>ЛЕНТА0,25Х400М-НТ-О-08Х18Н10Т-3-А 4986</x:v>
      </x:c>
      <x:c r="D43" s="16" t="str">
        <x:v>М/прокат нерж сталь</x:v>
      </x:c>
      <x:c r="E43" s="16" t="str">
        <x:v>КГ</x:v>
      </x:c>
      <x:c r="F43" s="26" t="n">
        <x:v>193.5</x:v>
      </x:c>
      <x:c r="G43" s="17" t="n">
        <x:v>122</x:v>
      </x:c>
      <x:c r="H43" s="17" t="n">
        <x:f>G43*F43</x:f>
        <x:v>23607</x:v>
      </x:c>
      <x:c r="I43" s="22" t="str">
        <x:f>HYPERLINK("https://etp-aktiv.ru/catalog/materialy/metalloprodukciya/2000644687-V116/","Открыть позицию")</x:f>
        <x:v>Открыть позицию</x:v>
      </x:c>
    </x:row>
    <x:row r="44" ht="28" customHeight="1">
      <x:c r="A44" s="16" t="str">
        <x:v>Красноярская ГРЭС-2</x:v>
      </x:c>
      <x:c r="B44" s="16" t="str">
        <x:v>2000644689-V116</x:v>
      </x:c>
      <x:c r="C44" s="16" t="str">
        <x:v>ЛЕНТА0,35Х405М-НТ-О-12Х18Н10Т-3-А 4986</x:v>
      </x:c>
      <x:c r="D44" s="16" t="str">
        <x:v>М/прокат нерж сталь</x:v>
      </x:c>
      <x:c r="E44" s="16" t="str">
        <x:v>КГ</x:v>
      </x:c>
      <x:c r="F44" s="26" t="n">
        <x:v>52.89</x:v>
      </x:c>
      <x:c r="G44" s="17" t="n">
        <x:v>122</x:v>
      </x:c>
      <x:c r="H44" s="17" t="n">
        <x:f>G44*F44</x:f>
        <x:v>6452.58</x:v>
      </x:c>
      <x:c r="I44" s="22" t="str">
        <x:f>HYPERLINK("https://etp-aktiv.ru/catalog/materialy/metalloprodukciya/2000644689-V116/","Открыть позицию")</x:f>
        <x:v>Открыть позицию</x:v>
      </x:c>
    </x:row>
    <x:row r="45" ht="28" customHeight="1">
      <x:c r="A45" s="16" t="str">
        <x:v>Красноярская ГРЭС-2</x:v>
      </x:c>
      <x:c r="B45" s="16" t="str">
        <x:v>2000644706-V116</x:v>
      </x:c>
      <x:c r="C45" s="16" t="str">
        <x:v>ЛИСТ Б-ПН-НО-0,5</x:v>
      </x:c>
      <x:c r="D45" s="16" t="str">
        <x:v>М/прокат черный</x:v>
      </x:c>
      <x:c r="E45" s="16" t="str">
        <x:v>Т</x:v>
      </x:c>
      <x:c r="F45" s="30" t="n">
        <x:v>0.083</x:v>
      </x:c>
      <x:c r="G45" s="17" t="n">
        <x:v>106293.0978</x:v>
      </x:c>
      <x:c r="H45" s="17" t="n">
        <x:f>G45*F45</x:f>
        <x:v>8822.3271174</x:v>
      </x:c>
      <x:c r="I45" s="22" t="str">
        <x:f>HYPERLINK("https://etp-aktiv.ru/catalog/materialy/metalloprodukciya/2000644706-V116/","Открыть позицию")</x:f>
        <x:v>Открыть позицию</x:v>
      </x:c>
    </x:row>
    <x:row r="46" ht="28" customHeight="1">
      <x:c r="A46" s="16" t="str">
        <x:v>Красноярская ГРЭС-2</x:v>
      </x:c>
      <x:c r="B46" s="16" t="str">
        <x:v>2000704520-V116</x:v>
      </x:c>
      <x:c r="C46" s="16" t="str">
        <x:v>ЛИСТ Б-ПН-О-14</x:v>
      </x:c>
      <x:c r="D46" s="16" t="str">
        <x:v>М/прокат черный</x:v>
      </x:c>
      <x:c r="E46" s="16" t="str">
        <x:v>Т</x:v>
      </x:c>
      <x:c r="F46" s="30" t="n">
        <x:v>0.17</x:v>
      </x:c>
      <x:c r="G46" s="17" t="n">
        <x:v>144158.5306</x:v>
      </x:c>
      <x:c r="H46" s="17" t="n">
        <x:f>G46*F46</x:f>
        <x:v>24506.950202</x:v>
      </x:c>
      <x:c r="I46" s="22" t="str">
        <x:f>HYPERLINK("https://etp-aktiv.ru/catalog/materialy/metalloprodukciya/2000704520-V116/","Открыть позицию")</x:f>
        <x:v>Открыть позицию</x:v>
      </x:c>
    </x:row>
    <x:row r="47" ht="28" customHeight="1">
      <x:c r="A47" s="16" t="str">
        <x:v>Красноярская ГРЭС-2</x:v>
      </x:c>
      <x:c r="B47" s="16" t="str">
        <x:v>2000644714-V116</x:v>
      </x:c>
      <x:c r="C47" s="16" t="str">
        <x:v>ЛИСТ БТ-БШ-БД-ПН-О-0,5 Г19904-90 6</x:v>
      </x:c>
      <x:c r="D47" s="16" t="str">
        <x:v>М/прокат черный</x:v>
      </x:c>
      <x:c r="E47" s="16" t="str">
        <x:v>Т</x:v>
      </x:c>
      <x:c r="F47" s="30" t="n">
        <x:v>0.013</x:v>
      </x:c>
      <x:c r="G47" s="17" t="n">
        <x:v>42980.3682</x:v>
      </x:c>
      <x:c r="H47" s="17" t="n">
        <x:f>G47*F47</x:f>
        <x:v>558.7447865999999</x:v>
      </x:c>
      <x:c r="I47" s="22" t="str">
        <x:f>HYPERLINK("https://etp-aktiv.ru/catalog/materialy/metalloprodukciya/2000644714-V116/","Открыть позицию")</x:f>
        <x:v>Открыть позицию</x:v>
      </x:c>
    </x:row>
    <x:row r="48" ht="28" customHeight="1">
      <x:c r="A48" s="16" t="str">
        <x:v>Красноярская ГРЭС-2</x:v>
      </x:c>
      <x:c r="B48" s="16" t="str">
        <x:v>2000530146-V116</x:v>
      </x:c>
      <x:c r="C48" s="16" t="str">
        <x:v>ПРОВОЛОКА 1,2 О ЧЕРНАЯ ГОСТ3282-74</x:v>
      </x:c>
      <x:c r="D48" s="16" t="str">
        <x:v>Метизы Спец</x:v>
      </x:c>
      <x:c r="E48" s="16" t="str">
        <x:v>КГ</x:v>
      </x:c>
      <x:c r="F48" s="26" t="n">
        <x:v>53.92</x:v>
      </x:c>
      <x:c r="G48" s="17" t="n">
        <x:v>55.693</x:v>
      </x:c>
      <x:c r="H48" s="17" t="n">
        <x:f>G48*F48</x:f>
        <x:v>3002.96656</x:v>
      </x:c>
      <x:c r="I48" s="22" t="str">
        <x:f>HYPERLINK("https://etp-aktiv.ru/catalog/materialy/metizy/2000530146-V116/","Открыть позицию")</x:f>
        <x:v>Открыть позицию</x:v>
      </x:c>
    </x:row>
    <x:row r="49" ht="28" customHeight="1">
      <x:c r="A49" s="16" t="str">
        <x:v>Красноярская ГРЭС-2</x:v>
      </x:c>
      <x:c r="B49" s="16" t="str">
        <x:v>2000638500-V116</x:v>
      </x:c>
      <x:c r="C49" s="16" t="str">
        <x:v>ПРОВОЛОКА 2,0-О-Ч ГОСТ3282-74</x:v>
      </x:c>
      <x:c r="D49" s="16" t="str">
        <x:v>Метизы Спец</x:v>
      </x:c>
      <x:c r="E49" s="16" t="str">
        <x:v>КГ</x:v>
      </x:c>
      <x:c r="F49" s="21" t="n">
        <x:v>6</x:v>
      </x:c>
      <x:c r="G49" s="17" t="n">
        <x:v>70.0036</x:v>
      </x:c>
      <x:c r="H49" s="17" t="n">
        <x:f>G49*F49</x:f>
        <x:v>420.02160000000003</x:v>
      </x:c>
      <x:c r="I49" s="22" t="str">
        <x:f>HYPERLINK("https://etp-aktiv.ru/catalog/materialy/metizy/2000638500-V116/","Открыть позицию")</x:f>
        <x:v>Открыть позицию</x:v>
      </x:c>
    </x:row>
    <x:row r="50" ht="28" customHeight="1">
      <x:c r="A50" s="16" t="str">
        <x:v>Красноярская ГРЭС-2</x:v>
      </x:c>
      <x:c r="B50" s="16" t="str">
        <x:v>2000530173-V116</x:v>
      </x:c>
      <x:c r="C50" s="16" t="str">
        <x:v>ПРОВОЛОКА 2,5 Б-3 ГОСТ9389-75</x:v>
      </x:c>
      <x:c r="D50" s="16" t="str">
        <x:v>Метизы Спец</x:v>
      </x:c>
      <x:c r="E50" s="16" t="str">
        <x:v>КГ</x:v>
      </x:c>
      <x:c r="F50" s="26" t="n">
        <x:v>1.023</x:v>
      </x:c>
      <x:c r="G50" s="17" t="n">
        <x:v>5490.6222</x:v>
      </x:c>
      <x:c r="H50" s="17" t="n">
        <x:f>G50*F50</x:f>
        <x:v>5616.906510599999</x:v>
      </x:c>
      <x:c r="I50" s="22" t="str">
        <x:f>HYPERLINK("https://etp-aktiv.ru/catalog/materialy/metizy/2000530173-V116/","Открыть позицию")</x:f>
        <x:v>Открыть позицию</x:v>
      </x:c>
    </x:row>
    <x:row r="51" ht="28" customHeight="1">
      <x:c r="A51" s="16" t="str">
        <x:v>Красноярская ГРЭС-2</x:v>
      </x:c>
      <x:c r="B51" s="16" t="str">
        <x:v>2000638526-V116</x:v>
      </x:c>
      <x:c r="C51" s="16" t="str">
        <x:v>ПРОВОЛОКА 4 Б ГОСТ9389-75</x:v>
      </x:c>
      <x:c r="D51" s="16" t="str">
        <x:v>Метизы Спец</x:v>
      </x:c>
      <x:c r="E51" s="16" t="str">
        <x:v>КГ</x:v>
      </x:c>
      <x:c r="F51" s="30" t="n">
        <x:v>0.02</x:v>
      </x:c>
      <x:c r="G51" s="17" t="n">
        <x:v>3774.375</x:v>
      </x:c>
      <x:c r="H51" s="17" t="n">
        <x:f>G51*F51</x:f>
        <x:v>75.4875</x:v>
      </x:c>
      <x:c r="I51" s="22" t="str">
        <x:f>HYPERLINK("https://etp-aktiv.ru/catalog/materialy/metizy/2000638526-V116/","Открыть позицию")</x:f>
        <x:v>Открыть позицию</x:v>
      </x:c>
    </x:row>
    <x:row r="52" ht="28" customHeight="1">
      <x:c r="A52" s="16" t="str">
        <x:v>Красноярская ГРЭС-2</x:v>
      </x:c>
      <x:c r="B52" s="16" t="str">
        <x:v>2000646307-V116</x:v>
      </x:c>
      <x:c r="C52" s="16" t="str">
        <x:v>ПРОВОЛОКА А-1-П-2,5 Г 9389-75</x:v>
      </x:c>
      <x:c r="D52" s="16" t="str">
        <x:v>Метизы</x:v>
      </x:c>
      <x:c r="E52" s="16" t="str">
        <x:v>КГ</x:v>
      </x:c>
      <x:c r="F52" s="26" t="n">
        <x:v>5.2</x:v>
      </x:c>
      <x:c r="G52" s="17" t="n">
        <x:v>294.8618</x:v>
      </x:c>
      <x:c r="H52" s="17" t="n">
        <x:f>G52*F52</x:f>
        <x:v>1533.2813600000002</x:v>
      </x:c>
      <x:c r="I52" s="22" t="str">
        <x:f>HYPERLINK("https://etp-aktiv.ru/catalog/materialy/metizy/2000646307-V116/","Открыть позицию")</x:f>
        <x:v>Открыть позицию</x:v>
      </x:c>
    </x:row>
    <x:row r="53" ht="28" customHeight="1">
      <x:c r="A53" s="16" t="str">
        <x:v>Красноярская ГРЭС-2</x:v>
      </x:c>
      <x:c r="B53" s="16" t="str">
        <x:v>2000646308-V116</x:v>
      </x:c>
      <x:c r="C53" s="16" t="str">
        <x:v>ПРОВОЛОКА В-2 ТУ 48-19-39-85</x:v>
      </x:c>
      <x:c r="D53" s="16" t="str">
        <x:v>Метизы</x:v>
      </x:c>
      <x:c r="E53" s="16" t="str">
        <x:v>КГ</x:v>
      </x:c>
      <x:c r="F53" s="21" t="n">
        <x:v>0</x:v>
      </x:c>
      <x:c r="G53" s="17" t="n">
        <x:v>6330.9948</x:v>
      </x:c>
      <x:c r="H53" s="17" t="n">
        <x:f>G53*F53</x:f>
        <x:v>0</x:v>
      </x:c>
      <x:c r="I53" s="22" t="str">
        <x:f>HYPERLINK("https://etp-aktiv.ru/catalog/materialy/metizy/2000646308-V116/","Открыть позицию")</x:f>
        <x:v>Открыть позицию</x:v>
      </x:c>
    </x:row>
    <x:row r="54" ht="28" customHeight="1">
      <x:c r="A54" s="16" t="str">
        <x:v>Красноярская ГРЭС-2</x:v>
      </x:c>
      <x:c r="B54" s="16" t="str">
        <x:v>2000325490-V116</x:v>
      </x:c>
      <x:c r="C54" s="16" t="str">
        <x:v>ПРОВОЛОКА ДКРН 2 БТ Ц1 ГОСТ13073-77</x:v>
      </x:c>
      <x:c r="D54" s="16" t="str">
        <x:v>Метизы Спец</x:v>
      </x:c>
      <x:c r="E54" s="16" t="str">
        <x:v>КГ</x:v>
      </x:c>
      <x:c r="F54" s="26" t="n">
        <x:v>61.5</x:v>
      </x:c>
      <x:c r="G54" s="17" t="n">
        <x:v>246.2692</x:v>
      </x:c>
      <x:c r="H54" s="17" t="n">
        <x:f>G54*F54</x:f>
        <x:v>15145.5558</x:v>
      </x:c>
      <x:c r="I54" s="22" t="str">
        <x:f>HYPERLINK("https://etp-aktiv.ru/catalog/materialy/metizy/2000325490-V116/","Открыть позицию")</x:f>
        <x:v>Открыть позицию</x:v>
      </x:c>
    </x:row>
    <x:row r="55" ht="28" customHeight="1">
      <x:c r="A55" s="16" t="str">
        <x:v>Красноярская ГРЭС-2</x:v>
      </x:c>
      <x:c r="B55" s="16" t="str">
        <x:v>2000904372-V116</x:v>
      </x:c>
      <x:c r="C55" s="16" t="str">
        <x:v>ПРОВОЛОКА СВ-07Х25Н13 D3ММ ГОСТ2246-70</x:v>
      </x:c>
      <x:c r="D55" s="16" t="str">
        <x:v>Сварочные электроды</x:v>
      </x:c>
      <x:c r="E55" s="16" t="str">
        <x:v>КГ</x:v>
      </x:c>
      <x:c r="F55" s="21" t="n">
        <x:v>0</x:v>
      </x:c>
      <x:c r="G55" s="17" t="n">
        <x:v>173.2644</x:v>
      </x:c>
      <x:c r="H55" s="17" t="n">
        <x:f>G55*F55</x:f>
        <x:v>0</x:v>
      </x:c>
      <x:c r="I55" s="22" t="str">
        <x:f>HYPERLINK("https://etp-aktiv.ru/catalog/materialy/svarochnye-ehlektrody/2000904372-V116/","Открыть позицию")</x:f>
        <x:v>Открыть позицию</x:v>
      </x:c>
    </x:row>
    <x:row r="56" ht="28" customHeight="1">
      <x:c r="A56" s="16" t="str">
        <x:v>Красноярская ГРЭС-2</x:v>
      </x:c>
      <x:c r="B56" s="16" t="str">
        <x:v>2000546344-V116</x:v>
      </x:c>
      <x:c r="C56" s="16" t="str">
        <x:v>ПРОВОЛОКА СВ06Х19Н09Т D1,2ММ ГОСТ2246-70</x:v>
      </x:c>
      <x:c r="D56" s="16" t="str">
        <x:v>Сварочные электроды</x:v>
      </x:c>
      <x:c r="E56" s="16" t="str">
        <x:v>КГ</x:v>
      </x:c>
      <x:c r="F56" s="21" t="n">
        <x:v>15</x:v>
      </x:c>
      <x:c r="G56" s="17" t="n">
        <x:v>679.3936</x:v>
      </x:c>
      <x:c r="H56" s="17" t="n">
        <x:f>G56*F56</x:f>
        <x:v>10190.904</x:v>
      </x:c>
      <x:c r="I56" s="22" t="str">
        <x:f>HYPERLINK("https://etp-aktiv.ru/catalog/materialy/svarochnye-ehlektrody/2000546344-V116/","Открыть позицию")</x:f>
        <x:v>Открыть позицию</x:v>
      </x:c>
    </x:row>
    <x:row r="57" ht="28" customHeight="1">
      <x:c r="A57" s="16" t="str">
        <x:v>Красноярская ГРЭС-2</x:v>
      </x:c>
      <x:c r="B57" s="16" t="str">
        <x:v>2000546356-V116</x:v>
      </x:c>
      <x:c r="C57" s="16" t="str">
        <x:v>ПРОВОЛОКА СВ07Х25Н13 D2ММ ГОСТ2246-70</x:v>
      </x:c>
      <x:c r="D57" s="16" t="str">
        <x:v>Сварочные электроды</x:v>
      </x:c>
      <x:c r="E57" s="16" t="str">
        <x:v>КГ</x:v>
      </x:c>
      <x:c r="F57" s="21" t="n">
        <x:v>10</x:v>
      </x:c>
      <x:c r="G57" s="17" t="n">
        <x:v>789.1936</x:v>
      </x:c>
      <x:c r="H57" s="17" t="n">
        <x:f>G57*F57</x:f>
        <x:v>7891.936</x:v>
      </x:c>
      <x:c r="I57" s="22" t="str">
        <x:f>HYPERLINK("https://etp-aktiv.ru/catalog/materialy/svarochnye-ehlektrody/2000546356-V116/","Открыть позицию")</x:f>
        <x:v>Открыть позицию</x:v>
      </x:c>
    </x:row>
    <x:row r="58" ht="28" customHeight="1">
      <x:c r="A58" s="16" t="str">
        <x:v>Красноярская ГРЭС-2</x:v>
      </x:c>
      <x:c r="B58" s="16" t="str">
        <x:v>2000210745-V116</x:v>
      </x:c>
      <x:c r="C58" s="16" t="str">
        <x:v>ПРОВОЛОКА СВ08Г2С D2ММ ГОСТ2246-70</x:v>
      </x:c>
      <x:c r="D58" s="16" t="str">
        <x:v>Сварочные электроды</x:v>
      </x:c>
      <x:c r="E58" s="16" t="str">
        <x:v>КГ</x:v>
      </x:c>
      <x:c r="F58" s="26" t="n">
        <x:v>27.912</x:v>
      </x:c>
      <x:c r="G58" s="17" t="n">
        <x:v>104.09039999999999</x:v>
      </x:c>
      <x:c r="H58" s="17" t="n">
        <x:f>G58*F58</x:f>
        <x:v>2905.3712447999997</x:v>
      </x:c>
      <x:c r="I58" s="22" t="str">
        <x:f>HYPERLINK("https://etp-aktiv.ru/catalog/materialy/svarochnye-ehlektrody/2000210745-V116/","Открыть позицию")</x:f>
        <x:v>Открыть позицию</x:v>
      </x:c>
    </x:row>
    <x:row r="59" ht="28" customHeight="1">
      <x:c r="A59" s="16" t="str">
        <x:v>Красноярская ГРЭС-2</x:v>
      </x:c>
      <x:c r="B59" s="16" t="str">
        <x:v>2000546363-V116</x:v>
      </x:c>
      <x:c r="C59" s="16" t="str">
        <x:v>ПРОВОЛОКА СВ08Г2С D3ММ ГОСТ2246-70</x:v>
      </x:c>
      <x:c r="D59" s="16" t="str">
        <x:v>Сварочные электроды</x:v>
      </x:c>
      <x:c r="E59" s="16" t="str">
        <x:v>КГ</x:v>
      </x:c>
      <x:c r="F59" s="26" t="n">
        <x:v>7.98</x:v>
      </x:c>
      <x:c r="G59" s="17" t="n">
        <x:v>238.4734</x:v>
      </x:c>
      <x:c r="H59" s="17" t="n">
        <x:f>G59*F59</x:f>
        <x:v>1903.017732</x:v>
      </x:c>
      <x:c r="I59" s="22" t="str">
        <x:f>HYPERLINK("https://etp-aktiv.ru/catalog/materialy/svarochnye-ehlektrody/2000546363-V116/","Открыть позицию")</x:f>
        <x:v>Открыть позицию</x:v>
      </x:c>
    </x:row>
    <x:row r="60" ht="28" customHeight="1">
      <x:c r="A60" s="16" t="str">
        <x:v>Красноярская ГРЭС-2</x:v>
      </x:c>
      <x:c r="B60" s="16" t="str">
        <x:v>2000841499-V116</x:v>
      </x:c>
      <x:c r="C60" s="16" t="str">
        <x:v>ПРУТОК ВЛ D4ММ ТУ48-19-27-88</x:v>
      </x:c>
      <x:c r="D60" s="16" t="str">
        <x:v>Сварочные электроды</x:v>
      </x:c>
      <x:c r="E60" s="16" t="str">
        <x:v>КГ</x:v>
      </x:c>
      <x:c r="F60" s="21" t="n">
        <x:v>0</x:v>
      </x:c>
      <x:c r="G60" s="17" t="n">
        <x:v>3578.016</x:v>
      </x:c>
      <x:c r="H60" s="17" t="n">
        <x:f>G60*F60</x:f>
        <x:v>0</x:v>
      </x:c>
      <x:c r="I60" s="22" t="str">
        <x:f>HYPERLINK("https://etp-aktiv.ru/catalog/materialy/svarochnye-ehlektrody/2000841499-V116/","Открыть позицию")</x:f>
        <x:v>Открыть позицию</x:v>
      </x:c>
    </x:row>
    <x:row r="61" ht="28" customHeight="1">
      <x:c r="A61" s="16" t="str">
        <x:v>Красноярская ГРЭС-2</x:v>
      </x:c>
      <x:c r="B61" s="16" t="str">
        <x:v>2000850290-V116</x:v>
      </x:c>
      <x:c r="C61" s="16" t="str">
        <x:v>ПРУТОК ДКРВП М1 ФР АВ D10ММ НД ГОСТ1535</x:v>
      </x:c>
      <x:c r="D61" s="16" t="str">
        <x:v>М/прокат цветной</x:v>
      </x:c>
      <x:c r="E61" s="16" t="str">
        <x:v>КГ</x:v>
      </x:c>
      <x:c r="F61" s="21" t="n">
        <x:v>28</x:v>
      </x:c>
      <x:c r="G61" s="17" t="n">
        <x:v>1037</x:v>
      </x:c>
      <x:c r="H61" s="17" t="n">
        <x:f>G61*F61</x:f>
        <x:v>29036</x:v>
      </x:c>
      <x:c r="I61" s="22" t="str">
        <x:f>HYPERLINK("https://etp-aktiv.ru/catalog/materialy/metalloprodukciya/2000850290-V116/","Открыть позицию")</x:f>
        <x:v>Открыть позицию</x:v>
      </x:c>
    </x:row>
    <x:row r="62" ht="28" customHeight="1">
      <x:c r="A62" s="16" t="str">
        <x:v>Красноярская ГРЭС-2</x:v>
      </x:c>
      <x:c r="B62" s="16" t="str">
        <x:v>2000646402-V116</x:v>
      </x:c>
      <x:c r="C62" s="16" t="str">
        <x:v>ПРУТОК ПР-С27 8*450ММ ГОСТ21449-75</x:v>
      </x:c>
      <x:c r="D62" s="16" t="str">
        <x:v>Сварочные электроды</x:v>
      </x:c>
      <x:c r="E62" s="16" t="str">
        <x:v>КГ</x:v>
      </x:c>
      <x:c r="F62" s="21" t="n">
        <x:v>0</x:v>
      </x:c>
      <x:c r="G62" s="17" t="n">
        <x:v>499.834</x:v>
      </x:c>
      <x:c r="H62" s="17" t="n">
        <x:f>G62*F62</x:f>
        <x:v>0</x:v>
      </x:c>
      <x:c r="I62" s="22" t="str">
        <x:f>HYPERLINK("https://etp-aktiv.ru/catalog/materialy/svarochnye-ehlektrody/2000646402-V116/","Открыть позицию")</x:f>
        <x:v>Открыть позицию</x:v>
      </x:c>
    </x:row>
    <x:row r="63" ht="28" customHeight="1">
      <x:c r="A63" s="16" t="str">
        <x:v>Красноярская ГРЭС-2</x:v>
      </x:c>
      <x:c r="B63" s="16" t="str">
        <x:v>2000281959-V116</x:v>
      </x:c>
      <x:c r="C63" s="16" t="str">
        <x:v>РУКАВ КИСЛОРОДНЫЙ ПШ9 DN9 PN20</x:v>
      </x:c>
      <x:c r="D63" s="16" t="str">
        <x:v>Компл,ЗЧ свароч обор</x:v>
      </x:c>
      <x:c r="E63" s="16" t="str">
        <x:v>М</x:v>
      </x:c>
      <x:c r="F63" s="21" t="n">
        <x:v>50</x:v>
      </x:c>
      <x:c r="G63" s="17" t="n">
        <x:v>31.2808</x:v>
      </x:c>
      <x:c r="H63" s="17" t="n">
        <x:f>G63*F63</x:f>
        <x:v>1564.04</x:v>
      </x:c>
      <x:c r="I63" s="22" t="str">
        <x:f>HYPERLINK("https://etp-aktiv.ru/catalog/materialy/zapasnye-chasti-promyshlennogo-oborudovaniya/2000281959-V116/","Открыть позицию")</x:f>
        <x:v>Открыть позицию</x:v>
      </x:c>
    </x:row>
    <x:row r="64" ht="28" customHeight="1">
      <x:c r="A64" s="16" t="str">
        <x:v>Красноярская ГРЭС-2</x:v>
      </x:c>
      <x:c r="B64" s="16" t="str">
        <x:v>2000647153-V116</x:v>
      </x:c>
      <x:c r="C64" s="16" t="str">
        <x:v>СЕТКА (РАБИЦА) 50Х1,8ММ H=1,5М L=10М</x:v>
      </x:c>
      <x:c r="D64" s="16" t="str">
        <x:v>Метизы</x:v>
      </x:c>
      <x:c r="E64" s="16" t="str">
        <x:v>М2</x:v>
      </x:c>
      <x:c r="F64" s="21" t="n">
        <x:v>30</x:v>
      </x:c>
      <x:c r="G64" s="17" t="n">
        <x:v>45.11559999999999</x:v>
      </x:c>
      <x:c r="H64" s="17" t="n">
        <x:f>G64*F64</x:f>
        <x:v>1353.4679999999998</x:v>
      </x:c>
      <x:c r="I64" s="22" t="str">
        <x:f>HYPERLINK("https://etp-aktiv.ru/catalog/materialy/metizy/2000647153-V116/","Открыть позицию")</x:f>
        <x:v>Открыть позицию</x:v>
      </x:c>
    </x:row>
    <x:row r="65" ht="28" customHeight="1">
      <x:c r="A65" s="16" t="str">
        <x:v>Красноярская ГРЭС-2</x:v>
      </x:c>
      <x:c r="B65" s="16" t="str">
        <x:v>2000004096-V116</x:v>
      </x:c>
      <x:c r="C65" s="16" t="str">
        <x:v>СЕТКА 10*10*1,6 ГОСТ5336-80</x:v>
      </x:c>
      <x:c r="D65" s="16" t="str">
        <x:v>Метизы Спец</x:v>
      </x:c>
      <x:c r="E65" s="16" t="str">
        <x:v>М2</x:v>
      </x:c>
      <x:c r="F65" s="21" t="n">
        <x:v>10</x:v>
      </x:c>
      <x:c r="G65" s="17" t="n">
        <x:v>174.216</x:v>
      </x:c>
      <x:c r="H65" s="17" t="n">
        <x:f>G65*F65</x:f>
        <x:v>1742.16</x:v>
      </x:c>
      <x:c r="I65" s="22" t="str">
        <x:f>HYPERLINK("https://etp-aktiv.ru/catalog/materialy/metizy/2000004096-V116/","Открыть позицию")</x:f>
        <x:v>Открыть позицию</x:v>
      </x:c>
    </x:row>
    <x:row r="66" ht="28" customHeight="1">
      <x:c r="A66" s="16" t="str">
        <x:v>Красноярская ГРЭС-2</x:v>
      </x:c>
      <x:c r="B66" s="16" t="str">
        <x:v>2000647160-V116</x:v>
      </x:c>
      <x:c r="C66" s="16" t="str">
        <x:v>СЕТКА Л-63 01 Н 1000ММ Г 6613-86</x:v>
      </x:c>
      <x:c r="D66" s="16" t="str">
        <x:v>Метизы</x:v>
      </x:c>
      <x:c r="E66" s="16" t="str">
        <x:v>М2</x:v>
      </x:c>
      <x:c r="F66" s="26" t="n">
        <x:v>20.4</x:v>
      </x:c>
      <x:c r="G66" s="17" t="n">
        <x:v>910.852</x:v>
      </x:c>
      <x:c r="H66" s="17" t="n">
        <x:f>G66*F66</x:f>
        <x:v>18581.3808</x:v>
      </x:c>
      <x:c r="I66" s="22" t="str">
        <x:f>HYPERLINK("https://etp-aktiv.ru/catalog/materialy/metizy/2000647160-V116/","Открыть позицию")</x:f>
        <x:v>Открыть позицию</x:v>
      </x:c>
    </x:row>
    <x:row r="67" ht="28" customHeight="1">
      <x:c r="A67" s="16" t="str">
        <x:v>Красноярская ГРЭС-2</x:v>
      </x:c>
      <x:c r="B67" s="16" t="str">
        <x:v>2000647161-V116</x:v>
      </x:c>
      <x:c r="C67" s="16" t="str">
        <x:v>СЕТКА Л-63 04 Н 1000ММ Г 6613-86</x:v>
      </x:c>
      <x:c r="D67" s="16" t="str">
        <x:v>Метизы</x:v>
      </x:c>
      <x:c r="E67" s="16" t="str">
        <x:v>М2</x:v>
      </x:c>
      <x:c r="F67" s="21" t="n">
        <x:v>2</x:v>
      </x:c>
      <x:c r="G67" s="17" t="n">
        <x:v>953.8936</x:v>
      </x:c>
      <x:c r="H67" s="17" t="n">
        <x:f>G67*F67</x:f>
        <x:v>1907.7872</x:v>
      </x:c>
      <x:c r="I67" s="22" t="str">
        <x:f>HYPERLINK("https://etp-aktiv.ru/catalog/materialy/metizy/2000647161-V116/","Открыть позицию")</x:f>
        <x:v>Открыть позицию</x:v>
      </x:c>
    </x:row>
    <x:row r="68" ht="28" customHeight="1">
      <x:c r="A68" s="16" t="str">
        <x:v>Красноярская ГРЭС-2</x:v>
      </x:c>
      <x:c r="B68" s="16" t="str">
        <x:v>2000530205-V116</x:v>
      </x:c>
      <x:c r="C68" s="16" t="str">
        <x:v>СЕТКА ПЛЕТЕНАЯ 1 РОМБ 12 1,4 ГОСТ5336</x:v>
      </x:c>
      <x:c r="D68" s="16" t="str">
        <x:v>Метизы Спец</x:v>
      </x:c>
      <x:c r="E68" s="16" t="str">
        <x:v>М2</x:v>
      </x:c>
      <x:c r="F68" s="26" t="n">
        <x:v>119.86</x:v>
      </x:c>
      <x:c r="G68" s="17" t="n">
        <x:v>124.50099999999999</x:v>
      </x:c>
      <x:c r="H68" s="17" t="n">
        <x:f>G68*F68</x:f>
        <x:v>14922.689859999999</x:v>
      </x:c>
      <x:c r="I68" s="22" t="str">
        <x:f>HYPERLINK("https://etp-aktiv.ru/catalog/materialy/metizy/2000530205-V116/","Открыть позицию")</x:f>
        <x:v>Открыть позицию</x:v>
      </x:c>
    </x:row>
    <x:row r="69" ht="28" customHeight="1">
      <x:c r="A69" s="16" t="str">
        <x:v>Красноярская ГРЭС-2</x:v>
      </x:c>
      <x:c r="B69" s="16" t="str">
        <x:v>2000741644-V116</x:v>
      </x:c>
      <x:c r="C69" s="16" t="str">
        <x:v>УГОЛОК СТ3 160*160*12 ГОСТ8509-93</x:v>
      </x:c>
      <x:c r="D69" s="16" t="str">
        <x:v>М/прокат черный</x:v>
      </x:c>
      <x:c r="E69" s="16" t="str">
        <x:v>Т</x:v>
      </x:c>
      <x:c r="F69" s="21" t="n">
        <x:v>0</x:v>
      </x:c>
      <x:c r="G69" s="17" t="n">
        <x:v>14030</x:v>
      </x:c>
      <x:c r="H69" s="17" t="n">
        <x:f>G69*F69</x:f>
        <x:v>0</x:v>
      </x:c>
      <x:c r="I69" s="22" t="str">
        <x:f>HYPERLINK("https://etp-aktiv.ru/catalog/materialy/metalloprodukciya/2000741644-V116/","Открыть позицию")</x:f>
        <x:v>Открыть позицию</x:v>
      </x:c>
    </x:row>
    <x:row r="70" ht="28" customHeight="1">
      <x:c r="A70" s="16" t="str">
        <x:v>Красноярская ГРЭС-2</x:v>
      </x:c>
      <x:c r="B70" s="16" t="str">
        <x:v>2000648225-V116</x:v>
      </x:c>
      <x:c r="C70" s="16" t="str">
        <x:v>ШАЙБА 5Л 65Г Г 6402-70</x:v>
      </x:c>
      <x:c r="D70" s="16" t="str">
        <x:v>Метизы</x:v>
      </x:c>
      <x:c r="E70" s="16" t="str">
        <x:v>КГ</x:v>
      </x:c>
      <x:c r="F70" s="21" t="n">
        <x:v>17</x:v>
      </x:c>
      <x:c r="G70" s="17" t="n">
        <x:v>55.8516</x:v>
      </x:c>
      <x:c r="H70" s="17" t="n">
        <x:f>G70*F70</x:f>
        <x:v>949.4771999999999</x:v>
      </x:c>
      <x:c r="I70" s="22" t="str">
        <x:f>HYPERLINK("https://etp-aktiv.ru/catalog/materialy/metizy/2000648225-V116/","Открыть позицию")</x:f>
        <x:v>Открыть позицию</x:v>
      </x:c>
    </x:row>
    <x:row r="71" ht="28" customHeight="1">
      <x:c r="A71" s="16" t="str">
        <x:v>Красноярская ГРЭС-2</x:v>
      </x:c>
      <x:c r="B71" s="16" t="str">
        <x:v>2000648228-V116</x:v>
      </x:c>
      <x:c r="C71" s="16" t="str">
        <x:v>ШАЙБА 8Л 65Г 029 Г 6402-70</x:v>
      </x:c>
      <x:c r="D71" s="16" t="str">
        <x:v>Метизы</x:v>
      </x:c>
      <x:c r="E71" s="16" t="str">
        <x:v>КГ</x:v>
      </x:c>
      <x:c r="F71" s="26" t="n">
        <x:v>17.4</x:v>
      </x:c>
      <x:c r="G71" s="17" t="n">
        <x:v>35.7948</x:v>
      </x:c>
      <x:c r="H71" s="17" t="n">
        <x:f>G71*F71</x:f>
        <x:v>622.82952</x:v>
      </x:c>
      <x:c r="I71" s="22" t="str">
        <x:f>HYPERLINK("https://etp-aktiv.ru/catalog/materialy/metizy/2000648228-V116/","Открыть позицию")</x:f>
        <x:v>Открыть позицию</x:v>
      </x:c>
    </x:row>
    <x:row r="72" ht="28" customHeight="1">
      <x:c r="A72" s="16" t="str">
        <x:v>Красноярская ГРЭС-2</x:v>
      </x:c>
      <x:c r="B72" s="16" t="str">
        <x:v>2000822393-V116</x:v>
      </x:c>
      <x:c r="C72" s="16" t="str">
        <x:v>ШАЙБА А.6.01.08КП.016 ГОСТ11371-78</x:v>
      </x:c>
      <x:c r="D72" s="16" t="str">
        <x:v>Метизы Спец</x:v>
      </x:c>
      <x:c r="E72" s="16" t="str">
        <x:v>КГ</x:v>
      </x:c>
      <x:c r="F72" s="26" t="n">
        <x:v>4.8</x:v>
      </x:c>
      <x:c r="G72" s="17" t="n">
        <x:v>178.66899999999998</x:v>
      </x:c>
      <x:c r="H72" s="17" t="n">
        <x:f>G72*F72</x:f>
        <x:v>857.6111999999999</x:v>
      </x:c>
      <x:c r="I72" s="22" t="str">
        <x:f>HYPERLINK("https://etp-aktiv.ru/catalog/materialy/metizy/2000822393-V116/","Открыть позицию")</x:f>
        <x:v>Открыть позицию</x:v>
      </x:c>
    </x:row>
    <x:row r="73" ht="28" customHeight="1">
      <x:c r="A73" s="16" t="str">
        <x:v>Красноярская ГРЭС-2</x:v>
      </x:c>
      <x:c r="B73" s="16" t="str">
        <x:v>2000131568-V116</x:v>
      </x:c>
      <x:c r="C73" s="16" t="str">
        <x:v>ШАЙБА ПЛОСКАЯ М5 ГОСТ11371-78</x:v>
      </x:c>
      <x:c r="D73" s="16" t="str">
        <x:v>Метизы</x:v>
      </x:c>
      <x:c r="E73" s="16" t="str">
        <x:v>КГ</x:v>
      </x:c>
      <x:c r="F73" s="26" t="n">
        <x:v>3.9</x:v>
      </x:c>
      <x:c r="G73" s="17" t="n">
        <x:v>104.31</x:v>
      </x:c>
      <x:c r="H73" s="17" t="n">
        <x:f>G73*F73</x:f>
        <x:v>406.809</x:v>
      </x:c>
      <x:c r="I73" s="22" t="str">
        <x:f>HYPERLINK("https://etp-aktiv.ru/catalog/materialy/metizy/2000131568-V116/","Открыть позицию")</x:f>
        <x:v>Открыть позицию</x:v>
      </x:c>
    </x:row>
    <x:row r="74" ht="28" customHeight="1">
      <x:c r="A74" s="16" t="str">
        <x:v>Красноярская ГРЭС-2</x:v>
      </x:c>
      <x:c r="B74" s="16" t="str">
        <x:v>2000648254-V116</x:v>
      </x:c>
      <x:c r="C74" s="16" t="str">
        <x:v>ШАЙБА С.24.01.08КП.016 Г11371-78</x:v>
      </x:c>
      <x:c r="D74" s="16" t="str">
        <x:v>Метизы</x:v>
      </x:c>
      <x:c r="E74" s="16" t="str">
        <x:v>ШТ</x:v>
      </x:c>
      <x:c r="F74" s="21" t="n">
        <x:v>250</x:v>
      </x:c>
      <x:c r="G74" s="17" t="n">
        <x:v>4.1236</x:v>
      </x:c>
      <x:c r="H74" s="17" t="n">
        <x:f>G74*F74</x:f>
        <x:v>1030.8999999999999</x:v>
      </x:c>
      <x:c r="I74" s="22" t="str">
        <x:f>HYPERLINK("https://etp-aktiv.ru/catalog/materialy/metizy/2000648254-V116/","Открыть позицию")</x:f>
        <x:v>Открыть позицию</x:v>
      </x:c>
    </x:row>
    <x:row r="75" ht="28" customHeight="1">
      <x:c r="A75" s="16" t="str">
        <x:v>Красноярская ГРЭС-2</x:v>
      </x:c>
      <x:c r="B75" s="16" t="str">
        <x:v>2000229805-V116</x:v>
      </x:c>
      <x:c r="C75" s="16" t="str">
        <x:v>ШПИЛЬКА М10*2000 ГОСТ22038-76</x:v>
      </x:c>
      <x:c r="D75" s="16" t="str">
        <x:v>Метизы</x:v>
      </x:c>
      <x:c r="E75" s="16" t="str">
        <x:v>КГ</x:v>
      </x:c>
      <x:c r="F75" s="26" t="n">
        <x:v>7.47</x:v>
      </x:c>
      <x:c r="G75" s="17" t="n">
        <x:v>118.08380000000001</x:v>
      </x:c>
      <x:c r="H75" s="17" t="n">
        <x:f>G75*F75</x:f>
        <x:v>882.085986</x:v>
      </x:c>
      <x:c r="I75" s="22" t="str">
        <x:f>HYPERLINK("https://etp-aktiv.ru/catalog/materialy/metizy/2000229805-V116/","Открыть позицию")</x:f>
        <x:v>Открыть позицию</x:v>
      </x:c>
    </x:row>
    <x:row r="76" ht="28" customHeight="1">
      <x:c r="A76" s="16" t="str">
        <x:v>Красноярская ГРЭС-2</x:v>
      </x:c>
      <x:c r="B76" s="16" t="str">
        <x:v>2000648363-V116</x:v>
      </x:c>
      <x:c r="C76" s="16" t="str">
        <x:v>ШПИЛЬКА М12-6GХ35.58 Г 22034-76</x:v>
      </x:c>
      <x:c r="D76" s="16" t="str">
        <x:v>Метизы</x:v>
      </x:c>
      <x:c r="E76" s="16" t="str">
        <x:v>ШТ</x:v>
      </x:c>
      <x:c r="F76" s="21" t="n">
        <x:v>30</x:v>
      </x:c>
      <x:c r="G76" s="17" t="n">
        <x:v>11.7608</x:v>
      </x:c>
      <x:c r="H76" s="17" t="n">
        <x:f>G76*F76</x:f>
        <x:v>352.824</x:v>
      </x:c>
      <x:c r="I76" s="22" t="str">
        <x:f>HYPERLINK("https://etp-aktiv.ru/catalog/materialy/metizy/2000648363-V116/","Открыть позицию")</x:f>
        <x:v>Открыть позицию</x:v>
      </x:c>
    </x:row>
    <x:row r="77" ht="28" customHeight="1">
      <x:c r="A77" s="16" t="str">
        <x:v>Красноярская ГРЭС-2</x:v>
      </x:c>
      <x:c r="B77" s="16" t="str">
        <x:v>2000167140-V116</x:v>
      </x:c>
      <x:c r="C77" s="16" t="str">
        <x:v>ШПИЛЬКА М16*80 ГОСТ20700-75</x:v>
      </x:c>
      <x:c r="D77" s="16" t="str">
        <x:v>Метизы</x:v>
      </x:c>
      <x:c r="E77" s="16" t="str">
        <x:v>КГ</x:v>
      </x:c>
      <x:c r="F77" s="26" t="n">
        <x:v>101.7</x:v>
      </x:c>
      <x:c r="G77" s="17" t="n">
        <x:v>343.125</x:v>
      </x:c>
      <x:c r="H77" s="17" t="n">
        <x:f>G77*F77</x:f>
        <x:v>34895.8125</x:v>
      </x:c>
      <x:c r="I77" s="22" t="str">
        <x:f>HYPERLINK("https://etp-aktiv.ru/catalog/materialy/metizy/2000167140-V116/","Открыть позицию")</x:f>
        <x:v>Открыть позицию</x:v>
      </x:c>
    </x:row>
    <x:row r="78" ht="28" customHeight="1">
      <x:c r="A78" s="16" t="str">
        <x:v>Красноярская ГРЭС-2</x:v>
      </x:c>
      <x:c r="B78" s="16" t="str">
        <x:v>2000648368-V116</x:v>
      </x:c>
      <x:c r="C78" s="16" t="str">
        <x:v>ШПИЛЬКА М24-6G*80.56 ГОСТ22034-76</x:v>
      </x:c>
      <x:c r="D78" s="16" t="str">
        <x:v>Метизы</x:v>
      </x:c>
      <x:c r="E78" s="16" t="str">
        <x:v>ШТ</x:v>
      </x:c>
      <x:c r="F78" s="21" t="n">
        <x:v>12</x:v>
      </x:c>
      <x:c r="G78" s="17" t="n">
        <x:v>131.1744</x:v>
      </x:c>
      <x:c r="H78" s="17" t="n">
        <x:f>G78*F78</x:f>
        <x:v>1574.0928</x:v>
      </x:c>
      <x:c r="I78" s="22" t="str">
        <x:f>HYPERLINK("https://etp-aktiv.ru/catalog/materialy/metizy/2000648368-V116/","Открыть позицию")</x:f>
        <x:v>Открыть позицию</x:v>
      </x:c>
    </x:row>
    <x:row r="79" ht="28" customHeight="1">
      <x:c r="A79" s="16" t="str">
        <x:v>Красноярская ГРЭС-2</x:v>
      </x:c>
      <x:c r="B79" s="16" t="str">
        <x:v>2000794030-V116</x:v>
      </x:c>
      <x:c r="C79" s="16" t="str">
        <x:v>ШПИЛЬКА М27-6G*70.58 СТ5 ГОСТ22042-76</x:v>
      </x:c>
      <x:c r="D79" s="16" t="str">
        <x:v>Метизы</x:v>
      </x:c>
      <x:c r="E79" s="16" t="str">
        <x:v>ШТ</x:v>
      </x:c>
      <x:c r="F79" s="21" t="n">
        <x:v>32</x:v>
      </x:c>
      <x:c r="G79" s="17" t="n">
        <x:v>69.6498</x:v>
      </x:c>
      <x:c r="H79" s="17" t="n">
        <x:f>G79*F79</x:f>
        <x:v>2228.7936</x:v>
      </x:c>
      <x:c r="I79" s="22" t="str">
        <x:f>HYPERLINK("https://etp-aktiv.ru/catalog/materialy/metizy/2000794030-V116/","Открыть позицию")</x:f>
        <x:v>Открыть позицию</x:v>
      </x:c>
    </x:row>
    <x:row r="80" ht="28" customHeight="1">
      <x:c r="A80" s="16" t="str">
        <x:v>Красноярская ГРЭС-2</x:v>
      </x:c>
      <x:c r="B80" s="16" t="str">
        <x:v>2000648369-V116</x:v>
      </x:c>
      <x:c r="C80" s="16" t="str">
        <x:v>ШПИЛЬКА М30-6G*80.58 ГОСТ22032-76</x:v>
      </x:c>
      <x:c r="D80" s="16" t="str">
        <x:v>Метизы</x:v>
      </x:c>
      <x:c r="E80" s="16" t="str">
        <x:v>ШТ</x:v>
      </x:c>
      <x:c r="F80" s="21" t="n">
        <x:v>4</x:v>
      </x:c>
      <x:c r="G80" s="17" t="n">
        <x:v>77.6164</x:v>
      </x:c>
      <x:c r="H80" s="17" t="n">
        <x:f>G80*F80</x:f>
        <x:v>310.4656</x:v>
      </x:c>
      <x:c r="I80" s="22" t="str">
        <x:f>HYPERLINK("https://etp-aktiv.ru/catalog/materialy/metizy/2000648369-V116/","Открыть позицию")</x:f>
        <x:v>Открыть позицию</x:v>
      </x:c>
    </x:row>
    <x:row r="81" ht="28" customHeight="1">
      <x:c r="A81" s="16" t="str">
        <x:v>Красноярская ГРЭС-2</x:v>
      </x:c>
      <x:c r="B81" s="16" t="str">
        <x:v>2000530424-V116</x:v>
      </x:c>
      <x:c r="C81" s="16" t="str">
        <x:v>ШПИЛЬКА М42-6G*280 СТ35Х 58 ГОСТ22034</x:v>
      </x:c>
      <x:c r="D81" s="16" t="str">
        <x:v>Метизы</x:v>
      </x:c>
      <x:c r="E81" s="16" t="str">
        <x:v>ШТ</x:v>
      </x:c>
      <x:c r="F81" s="21" t="n">
        <x:v>27</x:v>
      </x:c>
      <x:c r="G81" s="17" t="n">
        <x:v>389.66799999999995</x:v>
      </x:c>
      <x:c r="H81" s="17" t="n">
        <x:f>G81*F81</x:f>
        <x:v>10521.035999999998</x:v>
      </x:c>
      <x:c r="I81" s="22" t="str">
        <x:f>HYPERLINK("https://etp-aktiv.ru/catalog/materialy/metizy/2000530424-V116/","Открыть позицию")</x:f>
        <x:v>Открыть позицию</x:v>
      </x:c>
    </x:row>
    <x:row r="82" ht="28" customHeight="1">
      <x:c r="A82" s="16" t="str">
        <x:v>Красноярская ГРЭС-2</x:v>
      </x:c>
      <x:c r="B82" s="16" t="str">
        <x:v>2000641538-V116</x:v>
      </x:c>
      <x:c r="C82" s="16" t="str">
        <x:v>ШПИЛЬКА М42Х270 СТ35Х Ч.Т-135-130</x:v>
      </x:c>
      <x:c r="D82" s="16" t="str">
        <x:v>Метизы</x:v>
      </x:c>
      <x:c r="E82" s="16" t="str">
        <x:v>ШТ</x:v>
      </x:c>
      <x:c r="F82" s="21" t="n">
        <x:v>164</x:v>
      </x:c>
      <x:c r="G82" s="17" t="n">
        <x:v>81.8376</x:v>
      </x:c>
      <x:c r="H82" s="17" t="n">
        <x:f>G82*F82</x:f>
        <x:v>13421.366399999999</x:v>
      </x:c>
      <x:c r="I82" s="22" t="str">
        <x:f>HYPERLINK("https://etp-aktiv.ru/catalog/materialy/metizy/2000641538-V116/","Открыть позицию")</x:f>
        <x:v>Открыть позицию</x:v>
      </x:c>
    </x:row>
    <x:row r="83" ht="28" customHeight="1">
      <x:c r="A83" s="16" t="str">
        <x:v>Красноярская ГРЭС-2</x:v>
      </x:c>
      <x:c r="B83" s="16" t="str">
        <x:v>2000590634-V116</x:v>
      </x:c>
      <x:c r="C83" s="16" t="str">
        <x:v>ШПИЛЬКА М6*2000 CM200602</x:v>
      </x:c>
      <x:c r="D83" s="16" t="str">
        <x:v>Метизы</x:v>
      </x:c>
      <x:c r="E83" s="16" t="str">
        <x:v>ШТ</x:v>
      </x:c>
      <x:c r="F83" s="21" t="n">
        <x:v>80</x:v>
      </x:c>
      <x:c r="G83" s="17" t="n">
        <x:v>24.948999999999998</x:v>
      </x:c>
      <x:c r="H83" s="17" t="n">
        <x:f>G83*F83</x:f>
        <x:v>1995.9199999999998</x:v>
      </x:c>
      <x:c r="I83" s="22" t="str">
        <x:f>HYPERLINK("https://etp-aktiv.ru/catalog/materialy/metizy/2000590634-V116/","Открыть позицию")</x:f>
        <x:v>Открыть позицию</x:v>
      </x:c>
    </x:row>
    <x:row r="84" ht="28" customHeight="1">
      <x:c r="A84" s="16" t="str">
        <x:v>Красноярская ГРЭС-2</x:v>
      </x:c>
      <x:c r="B84" s="16" t="str">
        <x:v>2000648395-V116</x:v>
      </x:c>
      <x:c r="C84" s="16" t="str">
        <x:v>ШПЛИНТ 2*20.001 ГОСТ397-79</x:v>
      </x:c>
      <x:c r="D84" s="16" t="str">
        <x:v>Метизы Спец</x:v>
      </x:c>
      <x:c r="E84" s="16" t="str">
        <x:v>КГ</x:v>
      </x:c>
      <x:c r="F84" s="21" t="n">
        <x:v>10</x:v>
      </x:c>
      <x:c r="G84" s="17" t="n">
        <x:v>106.14</x:v>
      </x:c>
      <x:c r="H84" s="17" t="n">
        <x:f>G84*F84</x:f>
        <x:v>1061.4</x:v>
      </x:c>
      <x:c r="I84" s="22" t="str">
        <x:f>HYPERLINK("https://etp-aktiv.ru/catalog/materialy/metizy/2000648395-V116/","Открыть позицию")</x:f>
        <x:v>Открыть позицию</x:v>
      </x:c>
    </x:row>
    <x:row r="85" ht="28" customHeight="1">
      <x:c r="A85" s="16" t="str">
        <x:v>Красноярская ГРЭС-2</x:v>
      </x:c>
      <x:c r="B85" s="16" t="str">
        <x:v>2000691108-V116</x:v>
      </x:c>
      <x:c r="C85" s="16" t="str">
        <x:v>ЭЛЕКТРОД ВОЛЬФРАМОВЫЙ WC-20 2,4*175ММ</x:v>
      </x:c>
      <x:c r="D85" s="16" t="str">
        <x:v>Сварочные электроды</x:v>
      </x:c>
      <x:c r="E85" s="16" t="str">
        <x:v>ШТ</x:v>
      </x:c>
      <x:c r="F85" s="21" t="n">
        <x:v>10</x:v>
      </x:c>
      <x:c r="G85" s="17" t="n">
        <x:v>244.9882</x:v>
      </x:c>
      <x:c r="H85" s="17" t="n">
        <x:f>G85*F85</x:f>
        <x:v>2449.882</x:v>
      </x:c>
      <x:c r="I85" s="22" t="str">
        <x:f>HYPERLINK("https://etp-aktiv.ru/catalog/materialy/svarochnye-ehlektrody/2000691108-V116/","Открыть позицию")</x:f>
        <x:v>Открыть позицию</x:v>
      </x:c>
    </x:row>
    <x:row r="86" ht="28" customHeight="1">
      <x:c r="A86" s="16" t="str">
        <x:v>Красноярская ГРЭС-2</x:v>
      </x:c>
      <x:c r="B86" s="16" t="str">
        <x:v>2000725649-V116</x:v>
      </x:c>
      <x:c r="C86" s="16" t="str">
        <x:v>ЭЛЕКТРОД МГМ-50К 3ММ ГОСТ9466-75</x:v>
      </x:c>
      <x:c r="D86" s="16" t="str">
        <x:v>Сварочные электроды</x:v>
      </x:c>
      <x:c r="E86" s="16" t="str">
        <x:v>КГ</x:v>
      </x:c>
      <x:c r="F86" s="21" t="n">
        <x:v>10</x:v>
      </x:c>
      <x:c r="G86" s="17" t="n">
        <x:v>343.125</x:v>
      </x:c>
      <x:c r="H86" s="17" t="n">
        <x:f>G86*F86</x:f>
        <x:v>3431.25</x:v>
      </x:c>
      <x:c r="I86" s="22" t="str">
        <x:f>HYPERLINK("https://etp-aktiv.ru/catalog/materialy/svarochnye-ehlektrody/2000725649-V116/","Открыть позицию")</x:f>
        <x:v>Открыть позицию</x:v>
      </x:c>
    </x:row>
    <x:row r="87" ht="28" customHeight="1">
      <x:c r="A87" s="16" t="str">
        <x:v>Красноярская ГРЭС-2</x:v>
      </x:c>
      <x:c r="B87" s="16" t="str">
        <x:v>2000068194-V116</x:v>
      </x:c>
      <x:c r="C87" s="16" t="str">
        <x:v>ЭЛЕКТРОД МР-3Р 3ММ ГОСТ9476-75</x:v>
      </x:c>
      <x:c r="D87" s="16" t="str">
        <x:v>Сварочные электроды</x:v>
      </x:c>
      <x:c r="E87" s="16" t="str">
        <x:v>Т</x:v>
      </x:c>
      <x:c r="F87" s="30" t="n">
        <x:v>0.024</x:v>
      </x:c>
      <x:c r="G87" s="17" t="n">
        <x:v>93558.75</x:v>
      </x:c>
      <x:c r="H87" s="17" t="n">
        <x:f>G87*F87</x:f>
        <x:v>2245.41</x:v>
      </x:c>
      <x:c r="I87" s="22" t="str">
        <x:f>HYPERLINK("https://etp-aktiv.ru/catalog/materialy/svarochnye-ehlektrody/2000068194-V116/","Открыть позицию")</x:f>
        <x:v>Открыть позицию</x:v>
      </x:c>
    </x:row>
    <x:row r="88" ht="28" customHeight="1">
      <x:c r="A88" s="16" t="str">
        <x:v>Красноярская ГРЭС-2</x:v>
      </x:c>
      <x:c r="B88" s="16" t="str">
        <x:v>2000727249-V116</x:v>
      </x:c>
      <x:c r="C88" s="16" t="str">
        <x:v>ЭЛЕКТРОД ОЗС-12 2,5ММ ГОСТ9466-75</x:v>
      </x:c>
      <x:c r="D88" s="16" t="str">
        <x:v>Сварочные электроды</x:v>
      </x:c>
      <x:c r="E88" s="16" t="str">
        <x:v>КГ</x:v>
      </x:c>
      <x:c r="F88" s="21" t="n">
        <x:v>4</x:v>
      </x:c>
      <x:c r="G88" s="17" t="n">
        <x:v>369.8918</x:v>
      </x:c>
      <x:c r="H88" s="17" t="n">
        <x:f>G88*F88</x:f>
        <x:v>1479.5672</x:v>
      </x:c>
      <x:c r="I88" s="22" t="str">
        <x:f>HYPERLINK("https://etp-aktiv.ru/catalog/materialy/svarochnye-ehlektrody/2000727249-V116/","Открыть позицию")</x:f>
        <x:v>Открыть позицию</x:v>
      </x:c>
    </x:row>
    <x:row r="89" ht="28" customHeight="1">
      <x:c r="A89" s="16" t="str">
        <x:v>Красноярская ГРЭС-2</x:v>
      </x:c>
      <x:c r="B89" s="16" t="str">
        <x:v>2000546336-V116</x:v>
      </x:c>
      <x:c r="C89" s="16" t="str">
        <x:v>ЭЛЕКТРОД ТМУ 2,5ММ ГОСТ9466-75</x:v>
      </x:c>
      <x:c r="D89" s="16" t="str">
        <x:v>Сварочные электроды</x:v>
      </x:c>
      <x:c r="E89" s="16" t="str">
        <x:v>КГ</x:v>
      </x:c>
      <x:c r="F89" s="26" t="n">
        <x:v>5.993</x:v>
      </x:c>
      <x:c r="G89" s="17" t="n">
        <x:v>216.1718</x:v>
      </x:c>
      <x:c r="H89" s="17" t="n">
        <x:f>G89*F89</x:f>
        <x:v>1295.5175974</x:v>
      </x:c>
      <x:c r="I89" s="22" t="str">
        <x:f>HYPERLINK("https://etp-aktiv.ru/catalog/materialy/svarochnye-ehlektrody/2000546336-V116/","Открыть позицию")</x:f>
        <x:v>Открыть позицию</x:v>
      </x:c>
    </x:row>
    <x:row r="90" ht="28" customHeight="1">
      <x:c r="A90" s="16" t="str">
        <x:v>Красноярская ГРЭС-2</x:v>
      </x:c>
      <x:c r="B90" s="16" t="str">
        <x:v>2000068192-V116</x:v>
      </x:c>
      <x:c r="C90" s="16" t="str">
        <x:v>ЭЛЕКТРОД ТМУ-21У 4ММ ГОСТ9466-75</x:v>
      </x:c>
      <x:c r="D90" s="16" t="str">
        <x:v>Сварочные электроды</x:v>
      </x:c>
      <x:c r="E90" s="16" t="str">
        <x:v>Т</x:v>
      </x:c>
      <x:c r="F90" s="30" t="n">
        <x:v>0.024</x:v>
      </x:c>
      <x:c r="G90" s="17" t="n">
        <x:v>101690.8186</x:v>
      </x:c>
      <x:c r="H90" s="17" t="n">
        <x:f>G90*F90</x:f>
        <x:v>2440.5796464</x:v>
      </x:c>
      <x:c r="I90" s="22" t="str">
        <x:f>HYPERLINK("https://etp-aktiv.ru/catalog/materialy/svarochnye-ehlektrody/2000068192-V116/","Открыть позицию")</x:f>
        <x:v>Открыть позицию</x:v>
      </x:c>
    </x:row>
    <x:row r="91" ht="28" customHeight="1">
      <x:c r="A91" s="16" t="str">
        <x:v>Красноярская ГРЭС-2</x:v>
      </x:c>
      <x:c r="B91" s="16" t="str">
        <x:v>2000015694-V116</x:v>
      </x:c>
      <x:c r="C91" s="16" t="str">
        <x:v>ЭЛЕКТРОД УОНИ-13/45 3ММ ГОСТ9466-75</x:v>
      </x:c>
      <x:c r="D91" s="16" t="str">
        <x:v>Сварочные электроды</x:v>
      </x:c>
      <x:c r="E91" s="16" t="str">
        <x:v>Т</x:v>
      </x:c>
      <x:c r="F91" s="26" t="n">
        <x:v>2.932</x:v>
      </x:c>
      <x:c r="G91" s="17" t="n">
        <x:v>99659.5552</x:v>
      </x:c>
      <x:c r="H91" s="17" t="n">
        <x:f>G91*F91</x:f>
        <x:v>292201.8158464</x:v>
      </x:c>
      <x:c r="I91" s="22" t="str">
        <x:f>HYPERLINK("https://etp-aktiv.ru/catalog/materialy/svarochnye-ehlektrody/2000015694-V116/","Открыть позицию")</x:f>
        <x:v>Открыть позицию</x:v>
      </x:c>
    </x:row>
    <x:row r="92" ht="28" customHeight="1">
      <x:c r="A92" s="16" t="str">
        <x:v>Красноярская ГРЭС-2</x:v>
      </x:c>
      <x:c r="B92" s="16" t="str">
        <x:v>2000015610-V116</x:v>
      </x:c>
      <x:c r="C92" s="16" t="str">
        <x:v>ЭЛЕКТРОД УОНИ-13/45 4ММ ГОСТ9466-75</x:v>
      </x:c>
      <x:c r="D92" s="16" t="str">
        <x:v>Сварочные электроды</x:v>
      </x:c>
      <x:c r="E92" s="16" t="str">
        <x:v>Т</x:v>
      </x:c>
      <x:c r="F92" s="30" t="n">
        <x:v>0.062</x:v>
      </x:c>
      <x:c r="G92" s="17" t="n">
        <x:v>84254.3468</x:v>
      </x:c>
      <x:c r="H92" s="17" t="n">
        <x:f>G92*F92</x:f>
        <x:v>5223.7695016</x:v>
      </x:c>
      <x:c r="I92" s="22" t="str">
        <x:f>HYPERLINK("https://etp-aktiv.ru/catalog/materialy/svarochnye-ehlektrody/2000015610-V116/","Открыть позицию")</x:f>
        <x:v>Открыть позицию</x:v>
      </x:c>
    </x:row>
    <x:row r="93" ht="28" customHeight="1">
      <x:c r="A93" s="16" t="str">
        <x:v>Красноярская ГРЭС-2</x:v>
      </x:c>
      <x:c r="B93" s="16" t="str">
        <x:v>2000546319-V116</x:v>
      </x:c>
      <x:c r="C93" s="16" t="str">
        <x:v>ЭЛЕКТРОД ЦЛ-39 2,5ММ ГОСТ9466-75</x:v>
      </x:c>
      <x:c r="D93" s="16" t="str">
        <x:v>Сварочные электроды</x:v>
      </x:c>
      <x:c r="E93" s="16" t="str">
        <x:v>КГ</x:v>
      </x:c>
      <x:c r="F93" s="26" t="n">
        <x:v>21.25</x:v>
      </x:c>
      <x:c r="G93" s="17" t="n">
        <x:v>173.2522</x:v>
      </x:c>
      <x:c r="H93" s="17" t="n">
        <x:f>G93*F93</x:f>
        <x:v>3681.6092499999995</x:v>
      </x:c>
      <x:c r="I93" s="22" t="str">
        <x:f>HYPERLINK("https://etp-aktiv.ru/catalog/materialy/svarochnye-ehlektrody/2000546319-V116/","Открыть позицию")</x:f>
        <x:v>Открыть позицию</x:v>
      </x:c>
    </x:row>
    <x:row r="94" ht="28" customHeight="1">
      <x:c r="A94" s="16" t="str">
        <x:v>Красноярская ГРЭС-2</x:v>
      </x:c>
      <x:c r="B94" s="16" t="str">
        <x:v>2000546323-V116</x:v>
      </x:c>
      <x:c r="C94" s="16" t="str">
        <x:v>ЭЛЕКТРОД ЦН-6Л 4ММ ГОСТ9466-75</x:v>
      </x:c>
      <x:c r="D94" s="16" t="str">
        <x:v>Сварочные электроды</x:v>
      </x:c>
      <x:c r="E94" s="16" t="str">
        <x:v>КГ</x:v>
      </x:c>
      <x:c r="F94" s="21" t="n">
        <x:v>7</x:v>
      </x:c>
      <x:c r="G94" s="17" t="n">
        <x:v>567.9466</x:v>
      </x:c>
      <x:c r="H94" s="17" t="n">
        <x:f>G94*F94</x:f>
        <x:v>3975.6261999999997</x:v>
      </x:c>
      <x:c r="I94" s="22" t="str">
        <x:f>HYPERLINK("https://etp-aktiv.ru/catalog/materialy/svarochnye-ehlektrody/2000546323-V116/","Открыть позицию")</x:f>
        <x:v>Открыть позицию</x:v>
      </x:c>
    </x:row>
    <x:row r="95" ht="28" customHeight="1">
      <x:c r="A95" s="16" t="str">
        <x:v>Красноярская ГРЭС-2</x:v>
      </x:c>
      <x:c r="B95" s="16" t="str">
        <x:v>2000018273-V116</x:v>
      </x:c>
      <x:c r="C95" s="16" t="str">
        <x:v>ЭЛЕКТРОД ЦЧ-4 4ММ ГОСТ9466-75</x:v>
      </x:c>
      <x:c r="D95" s="16" t="str">
        <x:v>Сварочные электроды</x:v>
      </x:c>
      <x:c r="E95" s="16" t="str">
        <x:v>Т</x:v>
      </x:c>
      <x:c r="F95" s="30" t="n">
        <x:v>0.002</x:v>
      </x:c>
      <x:c r="G95" s="17" t="n">
        <x:v>443773.8532</x:v>
      </x:c>
      <x:c r="H95" s="17" t="n">
        <x:f>G95*F95</x:f>
        <x:v>887.5477064</x:v>
      </x:c>
      <x:c r="I95" s="22" t="str">
        <x:f>HYPERLINK("https://etp-aktiv.ru/catalog/materialy/svarochnye-ehlektrody/2000018273-V116/","Открыть позицию")</x:f>
        <x:v>Открыть позицию</x:v>
      </x:c>
    </x:row>
    <x:row r="96" ht="28" customHeight="1">
      <x:c r="A96" s="16" t="str">
        <x:v>Красноярская ГРЭС-2</x:v>
      </x:c>
      <x:c r="B96" s="16" t="str">
        <x:v>2000142160-V116</x:v>
      </x:c>
      <x:c r="C96" s="16" t="str">
        <x:v>ЭЛЕКТРОД ЭА-395/9 3ММ ГОСТ9466-75</x:v>
      </x:c>
      <x:c r="D96" s="16" t="str">
        <x:v>Сварочные электроды</x:v>
      </x:c>
      <x:c r="E96" s="16" t="str">
        <x:v>Т</x:v>
      </x:c>
      <x:c r="F96" s="30" t="n">
        <x:v>0.067</x:v>
      </x:c>
      <x:c r="G96" s="17" t="n">
        <x:v>1036418.9384</x:v>
      </x:c>
      <x:c r="H96" s="17" t="n">
        <x:f>G96*F96</x:f>
        <x:v>69440.06887280001</x:v>
      </x:c>
      <x:c r="I96" s="22" t="str">
        <x:f>HYPERLINK("https://etp-aktiv.ru/catalog/materialy/svarochnye-ehlektrody/2000142160-V116/","Открыть позицию")</x:f>
        <x:v>Открыть позицию</x:v>
      </x:c>
    </x:row>
    <x:row r="97" ht="28" customHeight="1">
      <x:c r="A97" s="16" t="str">
        <x:v>Красноярская ГРЭС-2</x:v>
      </x:c>
      <x:c r="B97" s="16" t="str">
        <x:v>2000228685-V116</x:v>
      </x:c>
      <x:c r="C97" s="16" t="str">
        <x:v>ЭЛЕКТРОД ЭА-395/9 3ММ ГОСТ9466-75 (КГ)</x:v>
      </x:c>
      <x:c r="D97" s="16" t="str">
        <x:v>Сварочные электроды</x:v>
      </x:c>
      <x:c r="E97" s="16" t="str">
        <x:v>КГ</x:v>
      </x:c>
      <x:c r="F97" s="21" t="n">
        <x:v>2</x:v>
      </x:c>
      <x:c r="G97" s="17" t="n">
        <x:v>987.0654000000001</x:v>
      </x:c>
      <x:c r="H97" s="17" t="n">
        <x:f>G97*F97</x:f>
        <x:v>1974.1308000000001</x:v>
      </x:c>
      <x:c r="I97" s="22" t="str">
        <x:f>HYPERLINK("https://etp-aktiv.ru/catalog/materialy/svarochnye-ehlektrody/2000228685-V116/","Открыть позицию")</x:f>
        <x:v>Открыть позицию</x:v>
      </x:c>
    </x:row>
    <x:row r="98" ht="28" customHeight="1">
      <x:c r="A98" s="16" t="str">
        <x:v>Красноярская ГРЭС-2</x:v>
      </x:c>
      <x:c r="B98" s="16" t="str">
        <x:v>2000018469-V116</x:v>
      </x:c>
      <x:c r="C98" s="16" t="str">
        <x:v>ЭЛЕКТРОД ЭА-395/9 4ММ ГОСТ9466-75</x:v>
      </x:c>
      <x:c r="D98" s="16" t="str">
        <x:v>Сварочные электроды</x:v>
      </x:c>
      <x:c r="E98" s="16" t="str">
        <x:v>Т</x:v>
      </x:c>
      <x:c r="F98" s="30" t="n">
        <x:v>0.001</x:v>
      </x:c>
      <x:c r="G98" s="17" t="n">
        <x:v>998672.1749999999</x:v>
      </x:c>
      <x:c r="H98" s="17" t="n">
        <x:f>G98*F98</x:f>
        <x:v>998.6721749999999</x:v>
      </x:c>
      <x:c r="I98" s="22" t="str">
        <x:f>HYPERLINK("https://etp-aktiv.ru/catalog/materialy/svarochnye-ehlektrody/2000018469-V116/","Открыть позицию")</x:f>
        <x:v>Открыть позицию</x:v>
      </x:c>
    </x:row>
    <x:row r="99" ht="28" customHeight="1">
      <x:c r="A99" s="16" t="str">
        <x:v>Красноярская ГРЭС-2</x:v>
      </x:c>
      <x:c r="B99" s="16" t="str">
        <x:v>2000604302-V116</x:v>
      </x:c>
      <x:c r="C99" s="16" t="str">
        <x:v>ЭЛЕКТРОДЫ СВАРОЧНЫЕ МГМ-50К 4,0</x:v>
      </x:c>
      <x:c r="D99" s="16" t="str">
        <x:v>Сварочные электроды</x:v>
      </x:c>
      <x:c r="E99" s="16" t="str">
        <x:v>КГ</x:v>
      </x:c>
      <x:c r="F99" s="21" t="n">
        <x:v>10</x:v>
      </x:c>
      <x:c r="G99" s="17" t="n">
        <x:v>343.125</x:v>
      </x:c>
      <x:c r="H99" s="17" t="n">
        <x:f>G99*F99</x:f>
        <x:v>3431.25</x:v>
      </x:c>
      <x:c r="I99" s="22" t="str">
        <x:f>HYPERLINK("https://etp-aktiv.ru/catalog/materialy/svarochnye-ehlektrody/2000604302-V116/","Открыть позицию")</x:f>
        <x:v>Открыть позицию</x:v>
      </x:c>
    </x:row>
    <x:row r="100" ht="28" customHeight="1">
      <x:c r="A100" s="16" t="str">
        <x:v>Красноярская ТЭЦ-1</x:v>
      </x:c>
      <x:c r="B100" s="16" t="str">
        <x:v>2000019603-V119</x:v>
      </x:c>
      <x:c r="C100" s="16" t="str">
        <x:v>БАЛКА СТ3 10 ГОСТ8239-89</x:v>
      </x:c>
      <x:c r="D100" s="16" t="str">
        <x:v>М/прокат черный</x:v>
      </x:c>
      <x:c r="E100" s="16" t="str">
        <x:v>Т</x:v>
      </x:c>
      <x:c r="F100" s="30" t="n">
        <x:v>0.578</x:v>
      </x:c>
      <x:c r="G100" s="17" t="n">
        <x:v>74343.75</x:v>
      </x:c>
      <x:c r="H100" s="17" t="n">
        <x:f>G100*F100</x:f>
        <x:v>42970.6875</x:v>
      </x:c>
      <x:c r="I100" s="22" t="str">
        <x:f>HYPERLINK("https://etp-aktiv.ru/catalog/materialy/metalloprodukciya/2000019603-V119/","Открыть позицию")</x:f>
        <x:v>Открыть позицию</x:v>
      </x:c>
    </x:row>
    <x:row r="101" ht="28" customHeight="1">
      <x:c r="A101" s="16" t="str">
        <x:v>Красноярская ТЭЦ-1</x:v>
      </x:c>
      <x:c r="B101" s="16" t="str">
        <x:v>2000015536-V119</x:v>
      </x:c>
      <x:c r="C101" s="16" t="str">
        <x:v>БАЛКА СТ3 16Б1 ГОСТ26020-83</x:v>
      </x:c>
      <x:c r="D101" s="16" t="str">
        <x:v>М/прокат черный</x:v>
      </x:c>
      <x:c r="E101" s="16" t="str">
        <x:v>Т</x:v>
      </x:c>
      <x:c r="F101" s="30" t="n">
        <x:v>0.167</x:v>
      </x:c>
      <x:c r="G101" s="17" t="n">
        <x:v>56133.810399999995</x:v>
      </x:c>
      <x:c r="H101" s="17" t="n">
        <x:f>G101*F101</x:f>
        <x:v>9374.3463368</x:v>
      </x:c>
      <x:c r="I101" s="22" t="str">
        <x:f>HYPERLINK("https://etp-aktiv.ru/catalog/materialy/metalloprodukciya/2000015536-V119/","Открыть позицию")</x:f>
        <x:v>Открыть позицию</x:v>
      </x:c>
    </x:row>
    <x:row r="102" ht="28" customHeight="1">
      <x:c r="A102" s="16" t="str">
        <x:v>Красноярская ТЭЦ-1</x:v>
      </x:c>
      <x:c r="B102" s="16" t="str">
        <x:v>2000306224-V119</x:v>
      </x:c>
      <x:c r="C102" s="16" t="str">
        <x:v>БАЛКА СТ3 45Б1 ГОСТ26020-83</x:v>
      </x:c>
      <x:c r="D102" s="16" t="str">
        <x:v>М/прокат черный</x:v>
      </x:c>
      <x:c r="E102" s="16" t="str">
        <x:v>Т</x:v>
      </x:c>
      <x:c r="F102" s="30" t="n">
        <x:v>0.303</x:v>
      </x:c>
      <x:c r="G102" s="17" t="n">
        <x:v>36923.6782</x:v>
      </x:c>
      <x:c r="H102" s="17" t="n">
        <x:f>G102*F102</x:f>
        <x:v>11187.8744946</x:v>
      </x:c>
      <x:c r="I102" s="22" t="str">
        <x:f>HYPERLINK("https://etp-aktiv.ru/catalog/materialy/metalloprodukciya/2000306224-V119/","Открыть позицию")</x:f>
        <x:v>Открыть позицию</x:v>
      </x:c>
    </x:row>
    <x:row r="103" ht="28" customHeight="1">
      <x:c r="A103" s="16" t="str">
        <x:v>Красноярская ТЭЦ-1</x:v>
      </x:c>
      <x:c r="B103" s="16" t="str">
        <x:v>2000444217-V119</x:v>
      </x:c>
      <x:c r="C103" s="16" t="str">
        <x:v>БАЛКА СТ3 45Б2 ГОСТ26020-83</x:v>
      </x:c>
      <x:c r="D103" s="16" t="str">
        <x:v>М/прокат черный</x:v>
      </x:c>
      <x:c r="E103" s="16" t="str">
        <x:v>Т</x:v>
      </x:c>
      <x:c r="F103" s="30" t="n">
        <x:v>0.642</x:v>
      </x:c>
      <x:c r="G103" s="17" t="n">
        <x:v>38381.9686</x:v>
      </x:c>
      <x:c r="H103" s="17" t="n">
        <x:f>G103*F103</x:f>
        <x:v>24641.2238412</x:v>
      </x:c>
      <x:c r="I103" s="22" t="str">
        <x:f>HYPERLINK("https://etp-aktiv.ru/catalog/materialy/metalloprodukciya/2000444217-V119/","Открыть позицию")</x:f>
        <x:v>Открыть позицию</x:v>
      </x:c>
    </x:row>
    <x:row r="104" ht="28" customHeight="1">
      <x:c r="A104" s="16" t="str">
        <x:v>Красноярская ТЭЦ-1</x:v>
      </x:c>
      <x:c r="B104" s="16" t="str">
        <x:v>2000529954-V119</x:v>
      </x:c>
      <x:c r="C104" s="16" t="str">
        <x:v>БОЛТ М12*100 ГОСТ7798-70</x:v>
      </x:c>
      <x:c r="D104" s="16" t="str">
        <x:v>Метизы</x:v>
      </x:c>
      <x:c r="E104" s="16" t="str">
        <x:v>КГ</x:v>
      </x:c>
      <x:c r="F104" s="26" t="n">
        <x:v>5.9</x:v>
      </x:c>
      <x:c r="G104" s="17" t="n">
        <x:v>96.0384</x:v>
      </x:c>
      <x:c r="H104" s="17" t="n">
        <x:f>G104*F104</x:f>
        <x:v>566.62656</x:v>
      </x:c>
      <x:c r="I104" s="22" t="str">
        <x:f>HYPERLINK("https://etp-aktiv.ru/catalog/materialy/metizy/2000529954-V119/","Открыть позицию")</x:f>
        <x:v>Открыть позицию</x:v>
      </x:c>
    </x:row>
    <x:row r="105" ht="28" customHeight="1">
      <x:c r="A105" s="16" t="str">
        <x:v>Красноярская ТЭЦ-1</x:v>
      </x:c>
      <x:c r="B105" s="16" t="str">
        <x:v>2000649177-V119</x:v>
      </x:c>
      <x:c r="C105" s="16" t="str">
        <x:v>ВТУЛКА СЧ18-36 200*90*200 ГОСТ1412-85</x:v>
      </x:c>
      <x:c r="D105" s="16" t="str">
        <x:v>Литье</x:v>
      </x:c>
      <x:c r="E105" s="16" t="str">
        <x:v>ШТ</x:v>
      </x:c>
      <x:c r="F105" s="21" t="n">
        <x:v>2</x:v>
      </x:c>
      <x:c r="G105" s="17" t="n">
        <x:v>3614.25</x:v>
      </x:c>
      <x:c r="H105" s="17" t="n">
        <x:f>G105*F105</x:f>
        <x:v>7228.5</x:v>
      </x:c>
      <x:c r="I105" s="22" t="str">
        <x:f>HYPERLINK("https://etp-aktiv.ru/catalog/materialy/metalloprodukciya/2000649177-V119/","Открыть позицию")</x:f>
        <x:v>Открыть позицию</x:v>
      </x:c>
    </x:row>
    <x:row r="106" ht="28" customHeight="1">
      <x:c r="A106" s="16" t="str">
        <x:v>Красноярская ТЭЦ-1</x:v>
      </x:c>
      <x:c r="B106" s="16" t="str">
        <x:v>2000530060-V119</x:v>
      </x:c>
      <x:c r="C106" s="16" t="str">
        <x:v>ГАЙКА М18-6H.05 S18 СТ20 ГОСТ5915-70</x:v>
      </x:c>
      <x:c r="D106" s="16" t="str">
        <x:v>Метизы</x:v>
      </x:c>
      <x:c r="E106" s="16" t="str">
        <x:v>КГ</x:v>
      </x:c>
      <x:c r="F106" s="26" t="n">
        <x:v>12.248</x:v>
      </x:c>
      <x:c r="G106" s="17" t="n">
        <x:v>152.3536</x:v>
      </x:c>
      <x:c r="H106" s="17" t="n">
        <x:f>G106*F106</x:f>
        <x:v>1866.0268927999998</x:v>
      </x:c>
      <x:c r="I106" s="22" t="str">
        <x:f>HYPERLINK("https://etp-aktiv.ru/catalog/materialy/metizy/2000530060-V119/","Открыть позицию")</x:f>
        <x:v>Открыть позицию</x:v>
      </x:c>
    </x:row>
    <x:row r="107" ht="28" customHeight="1">
      <x:c r="A107" s="16" t="str">
        <x:v>Красноярская ТЭЦ-1</x:v>
      </x:c>
      <x:c r="B107" s="16" t="str">
        <x:v>2000633307-V119</x:v>
      </x:c>
      <x:c r="C107" s="16" t="str">
        <x:v>ГАЙКА М52*5 20Х1М1Ф1ТР СТП80.7932</x:v>
      </x:c>
      <x:c r="D107" s="16" t="str">
        <x:v>Метизы</x:v>
      </x:c>
      <x:c r="E107" s="16" t="str">
        <x:v>ШТ</x:v>
      </x:c>
      <x:c r="F107" s="21" t="n">
        <x:v>48</x:v>
      </x:c>
      <x:c r="G107" s="17" t="n">
        <x:v>4135.714599999999</x:v>
      </x:c>
      <x:c r="H107" s="17" t="n">
        <x:f>G107*F107</x:f>
        <x:v>198514.30079999997</x:v>
      </x:c>
      <x:c r="I107" s="22" t="str">
        <x:f>HYPERLINK("https://etp-aktiv.ru/catalog/materialy/metizy/2000633307-V119/","Открыть позицию")</x:f>
        <x:v>Открыть позицию</x:v>
      </x:c>
    </x:row>
    <x:row r="108" ht="28" customHeight="1">
      <x:c r="A108" s="16" t="str">
        <x:v>Красноярская ТЭЦ-1</x:v>
      </x:c>
      <x:c r="B108" s="16" t="str">
        <x:v>2000555679-V119</x:v>
      </x:c>
      <x:c r="C108" s="16" t="str">
        <x:v>ДВУТАВР СТ3СП5 16Б1 ГОСТ26020-83</x:v>
      </x:c>
      <x:c r="D108" s="16" t="str">
        <x:v>М/прокат черный</x:v>
      </x:c>
      <x:c r="E108" s="16" t="str">
        <x:v>Т</x:v>
      </x:c>
      <x:c r="F108" s="30" t="n">
        <x:v>0.102</x:v>
      </x:c>
      <x:c r="G108" s="17" t="n">
        <x:v>61840.04319999999</x:v>
      </x:c>
      <x:c r="H108" s="17" t="n">
        <x:f>G108*F108</x:f>
        <x:v>6307.684406399999</x:v>
      </x:c>
      <x:c r="I108" s="22" t="str">
        <x:f>HYPERLINK("https://etp-aktiv.ru/catalog/materialy/metalloprodukciya/2000555679-V119/","Открыть позицию")</x:f>
        <x:v>Открыть позицию</x:v>
      </x:c>
    </x:row>
    <x:row r="109" ht="28" customHeight="1">
      <x:c r="A109" s="16" t="str">
        <x:v>Красноярская ТЭЦ-1</x:v>
      </x:c>
      <x:c r="B109" s="16" t="str">
        <x:v>2000897626-V119</x:v>
      </x:c>
      <x:c r="C109" s="16" t="str">
        <x:v>ДЮБЕЛЬ-ШПИЛЬКА М12*130 ГОСТ28457-90</x:v>
      </x:c>
      <x:c r="D109" s="16" t="str">
        <x:v>Метизы</x:v>
      </x:c>
      <x:c r="E109" s="16" t="str">
        <x:v>КГ</x:v>
      </x:c>
      <x:c r="F109" s="21" t="n">
        <x:v>28</x:v>
      </x:c>
      <x:c r="G109" s="17" t="n">
        <x:v>392.6448</x:v>
      </x:c>
      <x:c r="H109" s="17" t="n">
        <x:f>G109*F109</x:f>
        <x:v>10994.054399999999</x:v>
      </x:c>
      <x:c r="I109" s="22" t="str">
        <x:f>HYPERLINK("https://etp-aktiv.ru/catalog/materialy/metizy/2000897626-V119/","Открыть позицию")</x:f>
        <x:v>Открыть позицию</x:v>
      </x:c>
    </x:row>
    <x:row r="110" ht="28" customHeight="1">
      <x:c r="A110" s="16" t="str">
        <x:v>Красноярская ТЭЦ-1</x:v>
      </x:c>
      <x:c r="B110" s="16" t="str">
        <x:v>2000169826-V119</x:v>
      </x:c>
      <x:c r="C110" s="16" t="str">
        <x:v>КРУГ 12Х1МФ D20ММ ГОСТ20072-74</x:v>
      </x:c>
      <x:c r="D110" s="16" t="str">
        <x:v>М/прокат нерж сталь</x:v>
      </x:c>
      <x:c r="E110" s="16" t="str">
        <x:v>Т</x:v>
      </x:c>
      <x:c r="F110" s="30" t="n">
        <x:v>0.081</x:v>
      </x:c>
      <x:c r="G110" s="17" t="n">
        <x:v>127911.7906</x:v>
      </x:c>
      <x:c r="H110" s="17" t="n">
        <x:f>G110*F110</x:f>
        <x:v>10360.8550386</x:v>
      </x:c>
      <x:c r="I110" s="22" t="str">
        <x:f>HYPERLINK("https://etp-aktiv.ru/catalog/materialy/metalloprodukciya/2000169826-V119/","Открыть позицию")</x:f>
        <x:v>Открыть позицию</x:v>
      </x:c>
    </x:row>
    <x:row r="111" ht="28" customHeight="1">
      <x:c r="A111" s="16" t="str">
        <x:v>Красноярская ТЭЦ-1</x:v>
      </x:c>
      <x:c r="B111" s="16" t="str">
        <x:v>2000555551-V119</x:v>
      </x:c>
      <x:c r="C111" s="16" t="str">
        <x:v>КРУГ 38Х2МЮА D30ММ ГОСТ4543-71</x:v>
      </x:c>
      <x:c r="D111" s="16" t="str">
        <x:v>М/прокат нерж сталь</x:v>
      </x:c>
      <x:c r="E111" s="16" t="str">
        <x:v>Т</x:v>
      </x:c>
      <x:c r="F111" s="30" t="n">
        <x:v>0.246</x:v>
      </x:c>
      <x:c r="G111" s="17" t="n">
        <x:v>78543.0388</x:v>
      </x:c>
      <x:c r="H111" s="17" t="n">
        <x:f>G111*F111</x:f>
        <x:v>19321.587544799997</x:v>
      </x:c>
      <x:c r="I111" s="22" t="str">
        <x:f>HYPERLINK("https://etp-aktiv.ru/catalog/materialy/metalloprodukciya/2000555551-V119/","Открыть позицию")</x:f>
        <x:v>Открыть позицию</x:v>
      </x:c>
    </x:row>
    <x:row r="112" ht="28" customHeight="1">
      <x:c r="A112" s="16" t="str">
        <x:v>Красноярская ТЭЦ-1</x:v>
      </x:c>
      <x:c r="B112" s="16" t="str">
        <x:v>2000015202-V119</x:v>
      </x:c>
      <x:c r="C112" s="16" t="str">
        <x:v>КРУГ СТ3 D25ММ ГОСТ2590-2006</x:v>
      </x:c>
      <x:c r="D112" s="16" t="str">
        <x:v>М/прокат черный</x:v>
      </x:c>
      <x:c r="E112" s="16" t="str">
        <x:v>Т</x:v>
      </x:c>
      <x:c r="F112" s="30" t="n">
        <x:v>0.011</x:v>
      </x:c>
      <x:c r="G112" s="17" t="n">
        <x:v>49726.2972</x:v>
      </x:c>
      <x:c r="H112" s="17" t="n">
        <x:f>G112*F112</x:f>
        <x:v>546.9892692</x:v>
      </x:c>
      <x:c r="I112" s="22" t="str">
        <x:f>HYPERLINK("https://etp-aktiv.ru/catalog/materialy/metalloprodukciya/2000015202-V119/","Открыть позицию")</x:f>
        <x:v>Открыть позицию</x:v>
      </x:c>
    </x:row>
    <x:row r="113" ht="28" customHeight="1">
      <x:c r="A113" s="16" t="str">
        <x:v>Красноярская ТЭЦ-1</x:v>
      </x:c>
      <x:c r="B113" s="16" t="str">
        <x:v>2000028692-V119</x:v>
      </x:c>
      <x:c r="C113" s="16" t="str">
        <x:v>КРУГ СТ35 D120ММ ГОСТ1050-88</x:v>
      </x:c>
      <x:c r="D113" s="16" t="str">
        <x:v>М/прокат черный</x:v>
      </x:c>
      <x:c r="E113" s="16" t="str">
        <x:v>Т</x:v>
      </x:c>
      <x:c r="F113" s="21" t="n">
        <x:v>0</x:v>
      </x:c>
      <x:c r="G113" s="17" t="n">
        <x:v>86416.65040000001</x:v>
      </x:c>
      <x:c r="H113" s="17" t="n">
        <x:f>G113*F113</x:f>
        <x:v>0</x:v>
      </x:c>
      <x:c r="I113" s="22" t="str">
        <x:f>HYPERLINK("https://etp-aktiv.ru/catalog/materialy/metalloprodukciya/2000028692-V119/","Открыть позицию")</x:f>
        <x:v>Открыть позицию</x:v>
      </x:c>
    </x:row>
    <x:row r="114" ht="28" customHeight="1">
      <x:c r="A114" s="16" t="str">
        <x:v>Красноярская ТЭЦ-1</x:v>
      </x:c>
      <x:c r="B114" s="16" t="str">
        <x:v>2000028701-V119</x:v>
      </x:c>
      <x:c r="C114" s="16" t="str">
        <x:v>КРУГ СТ40Х D25ММ ГОСТ4543-71</x:v>
      </x:c>
      <x:c r="D114" s="16" t="str">
        <x:v>М/прокат черный</x:v>
      </x:c>
      <x:c r="E114" s="16" t="str">
        <x:v>Т</x:v>
      </x:c>
      <x:c r="F114" s="30" t="n">
        <x:v>0.012</x:v>
      </x:c>
      <x:c r="G114" s="17" t="n">
        <x:v>85781.25</x:v>
      </x:c>
      <x:c r="H114" s="17" t="n">
        <x:f>G114*F114</x:f>
        <x:v>1029.375</x:v>
      </x:c>
      <x:c r="I114" s="22" t="str">
        <x:f>HYPERLINK("https://etp-aktiv.ru/catalog/materialy/metalloprodukciya/2000028701-V119/","Открыть позицию")</x:f>
        <x:v>Открыть позицию</x:v>
      </x:c>
    </x:row>
    <x:row r="115" ht="28" customHeight="1">
      <x:c r="A115" s="16" t="str">
        <x:v>Красноярская ТЭЦ-1</x:v>
      </x:c>
      <x:c r="B115" s="16" t="str">
        <x:v>2000555850-V119</x:v>
      </x:c>
      <x:c r="C115" s="16" t="str">
        <x:v>ЛЕНТА СТ3 0,7*20 ГОСТ3560-73</x:v>
      </x:c>
      <x:c r="D115" s="16" t="str">
        <x:v>М/прокат прочий</x:v>
      </x:c>
      <x:c r="E115" s="16" t="str">
        <x:v>Т</x:v>
      </x:c>
      <x:c r="F115" s="26" t="n">
        <x:v>1.107</x:v>
      </x:c>
      <x:c r="G115" s="17" t="n">
        <x:v>62283.635200000004</x:v>
      </x:c>
      <x:c r="H115" s="17" t="n">
        <x:f>G115*F115</x:f>
        <x:v>68947.9841664</x:v>
      </x:c>
      <x:c r="I115" s="22" t="str">
        <x:f>HYPERLINK("https://etp-aktiv.ru/catalog/materialy/metalloprodukciya/2000555850-V119/","Открыть позицию")</x:f>
        <x:v>Открыть позицию</x:v>
      </x:c>
    </x:row>
    <x:row r="116" ht="28" customHeight="1">
      <x:c r="A116" s="16" t="str">
        <x:v>Красноярская ТЭЦ-1</x:v>
      </x:c>
      <x:c r="B116" s="16" t="str">
        <x:v>2000786394-V119</x:v>
      </x:c>
      <x:c r="C116" s="16" t="str">
        <x:v>ЛИСТ 09Г2С Б-ПН-0-5 ГОСТ19903-90/9281-89</x:v>
      </x:c>
      <x:c r="D116" s="16" t="str">
        <x:v>М/прокат черный</x:v>
      </x:c>
      <x:c r="E116" s="16" t="str">
        <x:v>Т</x:v>
      </x:c>
      <x:c r="F116" s="30" t="n">
        <x:v>0.04</x:v>
      </x:c>
      <x:c r="G116" s="17" t="n">
        <x:v>185493.375</x:v>
      </x:c>
      <x:c r="H116" s="17" t="n">
        <x:f>G116*F116</x:f>
        <x:v>7419.735000000001</x:v>
      </x:c>
      <x:c r="I116" s="22" t="str">
        <x:f>HYPERLINK("https://etp-aktiv.ru/catalog/materialy/metalloprodukciya/2000786394-V119/","Открыть позицию")</x:f>
        <x:v>Открыть позицию</x:v>
      </x:c>
    </x:row>
    <x:row r="117" ht="28" customHeight="1">
      <x:c r="A117" s="16" t="str">
        <x:v>Красноярская ТЭЦ-1</x:v>
      </x:c>
      <x:c r="B117" s="16" t="str">
        <x:v>2000164849-V119</x:v>
      </x:c>
      <x:c r="C117" s="16" t="str">
        <x:v>ЛИСТ 12Х1МФ 12ММ ГОСТ5520-79</x:v>
      </x:c>
      <x:c r="D117" s="16" t="str">
        <x:v>М/прокат нерж сталь</x:v>
      </x:c>
      <x:c r="E117" s="16" t="str">
        <x:v>Т</x:v>
      </x:c>
      <x:c r="F117" s="30" t="n">
        <x:v>0.057</x:v>
      </x:c>
      <x:c r="G117" s="17" t="n">
        <x:v>102152.64959999999</x:v>
      </x:c>
      <x:c r="H117" s="17" t="n">
        <x:f>G117*F117</x:f>
        <x:v>5822.7010272</x:v>
      </x:c>
      <x:c r="I117" s="22" t="str">
        <x:f>HYPERLINK("https://etp-aktiv.ru/catalog/materialy/metalloprodukciya/2000164849-V119/","Открыть позицию")</x:f>
        <x:v>Открыть позицию</x:v>
      </x:c>
    </x:row>
    <x:row r="118" ht="28" customHeight="1">
      <x:c r="A118" s="16" t="str">
        <x:v>Красноярская ТЭЦ-1</x:v>
      </x:c>
      <x:c r="B118" s="16" t="str">
        <x:v>2000221500-V119</x:v>
      </x:c>
      <x:c r="C118" s="16" t="str">
        <x:v>ЛИСТ 12Х1МФ 4ММ ГОСТ5520-79</x:v>
      </x:c>
      <x:c r="D118" s="16" t="str">
        <x:v>М/прокат нерж сталь</x:v>
      </x:c>
      <x:c r="E118" s="16" t="str">
        <x:v>Т</x:v>
      </x:c>
      <x:c r="F118" s="30" t="n">
        <x:v>0.045</x:v>
      </x:c>
      <x:c r="G118" s="17" t="n">
        <x:v>197771.6136</x:v>
      </x:c>
      <x:c r="H118" s="17" t="n">
        <x:f>G118*F118</x:f>
        <x:v>8899.722612</x:v>
      </x:c>
      <x:c r="I118" s="22" t="str">
        <x:f>HYPERLINK("https://etp-aktiv.ru/catalog/materialy/metalloprodukciya/2000221500-V119/","Открыть позицию")</x:f>
        <x:v>Открыть позицию</x:v>
      </x:c>
    </x:row>
    <x:row r="119" ht="28" customHeight="1">
      <x:c r="A119" s="16" t="str">
        <x:v>Красноярская ТЭЦ-1</x:v>
      </x:c>
      <x:c r="B119" s="16" t="str">
        <x:v>2000158380-V119</x:v>
      </x:c>
      <x:c r="C119" s="16" t="str">
        <x:v>ЛИСТ 12Х1МФ 8ММ ГОСТ5520-79</x:v>
      </x:c>
      <x:c r="D119" s="16" t="str">
        <x:v>М/прокат нерж сталь</x:v>
      </x:c>
      <x:c r="E119" s="16" t="str">
        <x:v>Т</x:v>
      </x:c>
      <x:c r="F119" s="30" t="n">
        <x:v>0.047</x:v>
      </x:c>
      <x:c r="G119" s="17" t="n">
        <x:v>230991.75</x:v>
      </x:c>
      <x:c r="H119" s="17" t="n">
        <x:f>G119*F119</x:f>
        <x:v>10856.61225</x:v>
      </x:c>
      <x:c r="I119" s="22" t="str">
        <x:f>HYPERLINK("https://etp-aktiv.ru/catalog/materialy/metalloprodukciya/2000158380-V119/","Открыть позицию")</x:f>
        <x:v>Открыть позицию</x:v>
      </x:c>
    </x:row>
    <x:row r="120" ht="28" customHeight="1">
      <x:c r="A120" s="16" t="str">
        <x:v>Красноярская ТЭЦ-1</x:v>
      </x:c>
      <x:c r="B120" s="16" t="str">
        <x:v>2000556190-V119</x:v>
      </x:c>
      <x:c r="C120" s="16" t="str">
        <x:v>ЛИСТ А5М 0,5*1200*3000 ГОСТ21631-76</x:v>
      </x:c>
      <x:c r="D120" s="16" t="str">
        <x:v>М/прокат цветной</x:v>
      </x:c>
      <x:c r="E120" s="16" t="str">
        <x:v>КГ</x:v>
      </x:c>
      <x:c r="F120" s="26" t="n">
        <x:v>6.14</x:v>
      </x:c>
      <x:c r="G120" s="17" t="n">
        <x:v>293.7272</x:v>
      </x:c>
      <x:c r="H120" s="17" t="n">
        <x:f>G120*F120</x:f>
        <x:v>1803.4850079999999</x:v>
      </x:c>
      <x:c r="I120" s="22" t="str">
        <x:f>HYPERLINK("https://etp-aktiv.ru/catalog/materialy/metalloprodukciya/2000556190-V119/","Открыть позицию")</x:f>
        <x:v>Открыть позицию</x:v>
      </x:c>
    </x:row>
    <x:row r="121" ht="28" customHeight="1">
      <x:c r="A121" s="16" t="str">
        <x:v>Красноярская ТЭЦ-1</x:v>
      </x:c>
      <x:c r="B121" s="16" t="str">
        <x:v>2000556191-V119</x:v>
      </x:c>
      <x:c r="C121" s="16" t="str">
        <x:v>ЛИСТ А5М 0,5*1200*3000 ГОСТ21631-76</x:v>
      </x:c>
      <x:c r="D121" s="16" t="str">
        <x:v>М/прокат цветной</x:v>
      </x:c>
      <x:c r="E121" s="16" t="str">
        <x:v>КГ</x:v>
      </x:c>
      <x:c r="F121" s="21" t="n">
        <x:v>26</x:v>
      </x:c>
      <x:c r="G121" s="17" t="n">
        <x:v>256.2</x:v>
      </x:c>
      <x:c r="H121" s="17" t="n">
        <x:f>G121*F121</x:f>
        <x:v>6661.2</x:v>
      </x:c>
      <x:c r="I121" s="22" t="str">
        <x:f>HYPERLINK("https://etp-aktiv.ru/catalog/materialy/metalloprodukciya/2000556191-V119/","Открыть позицию")</x:f>
        <x:v>Открыть позицию</x:v>
      </x:c>
    </x:row>
    <x:row r="122" ht="28" customHeight="1">
      <x:c r="A122" s="16" t="str">
        <x:v>Красноярская ТЭЦ-1</x:v>
      </x:c>
      <x:c r="B122" s="16" t="str">
        <x:v>2000015126-V119</x:v>
      </x:c>
      <x:c r="C122" s="16" t="str">
        <x:v>ЛИСТ Г/К 09Г2С 4ММ ГОСТ19903-74</x:v>
      </x:c>
      <x:c r="D122" s="16" t="str">
        <x:v>М/прокат черный</x:v>
      </x:c>
      <x:c r="E122" s="16" t="str">
        <x:v>Т</x:v>
      </x:c>
      <x:c r="F122" s="30" t="n">
        <x:v>0.57</x:v>
      </x:c>
      <x:c r="G122" s="17" t="n">
        <x:v>67080.9436</x:v>
      </x:c>
      <x:c r="H122" s="17" t="n">
        <x:f>G122*F122</x:f>
        <x:v>38236.13785199999</x:v>
      </x:c>
      <x:c r="I122" s="22" t="str">
        <x:f>HYPERLINK("https://etp-aktiv.ru/catalog/materialy/metalloprodukciya/2000015126-V119/","Открыть позицию")</x:f>
        <x:v>Открыть позицию</x:v>
      </x:c>
    </x:row>
    <x:row r="123" ht="28" customHeight="1">
      <x:c r="A123" s="16" t="str">
        <x:v>Красноярская ТЭЦ-1</x:v>
      </x:c>
      <x:c r="B123" s="16" t="str">
        <x:v>2000145771-V119</x:v>
      </x:c>
      <x:c r="C123" s="16" t="str">
        <x:v>ЛИСТ Г/К СТ3ПС5 5ММ 1,5*6 ГОСТ19903-74</x:v>
      </x:c>
      <x:c r="D123" s="16" t="str">
        <x:v>М/прокат черный</x:v>
      </x:c>
      <x:c r="E123" s="16" t="str">
        <x:v>Т</x:v>
      </x:c>
      <x:c r="F123" s="26" t="n">
        <x:v>2.259</x:v>
      </x:c>
      <x:c r="G123" s="17" t="n">
        <x:v>90763.70559999999</x:v>
      </x:c>
      <x:c r="H123" s="17" t="n">
        <x:f>G123*F123</x:f>
        <x:v>205035.21095039995</x:v>
      </x:c>
      <x:c r="I123" s="22" t="str">
        <x:f>HYPERLINK("https://etp-aktiv.ru/catalog/materialy/metalloprodukciya/2000145771-V119/","Открыть позицию")</x:f>
        <x:v>Открыть позицию</x:v>
      </x:c>
    </x:row>
    <x:row r="124" ht="28" customHeight="1">
      <x:c r="A124" s="16" t="str">
        <x:v>Красноярская ТЭЦ-1</x:v>
      </x:c>
      <x:c r="B124" s="16" t="str">
        <x:v>2000148560-V119</x:v>
      </x:c>
      <x:c r="C124" s="16" t="str">
        <x:v>ЛИСТ Г/К СТ3СП5 4ММ ГОСТ19903-74</x:v>
      </x:c>
      <x:c r="D124" s="16" t="str">
        <x:v>М/прокат черный</x:v>
      </x:c>
      <x:c r="E124" s="16" t="str">
        <x:v>Т</x:v>
      </x:c>
      <x:c r="F124" s="30" t="n">
        <x:v>0.18</x:v>
      </x:c>
      <x:c r="G124" s="17" t="n">
        <x:v>37267.95</x:v>
      </x:c>
      <x:c r="H124" s="17" t="n">
        <x:f>G124*F124</x:f>
        <x:v>6708.230999999999</x:v>
      </x:c>
      <x:c r="I124" s="22" t="str">
        <x:f>HYPERLINK("https://etp-aktiv.ru/catalog/materialy/metalloprodukciya/2000148560-V119/","Открыть позицию")</x:f>
        <x:v>Открыть позицию</x:v>
      </x:c>
    </x:row>
    <x:row r="125" ht="28" customHeight="1">
      <x:c r="A125" s="16" t="str">
        <x:v>Красноярская ТЭЦ-1</x:v>
      </x:c>
      <x:c r="B125" s="16" t="str">
        <x:v>2000761296-V119</x:v>
      </x:c>
      <x:c r="C125" s="16" t="str">
        <x:v>ЛИСТ С235 2*1500*6000 ГОСТ19903-2015</x:v>
      </x:c>
      <x:c r="D125" s="16" t="str">
        <x:v>М/прокат черный</x:v>
      </x:c>
      <x:c r="E125" s="16" t="str">
        <x:v>Т</x:v>
      </x:c>
      <x:c r="F125" s="30" t="n">
        <x:v>0.053</x:v>
      </x:c>
      <x:c r="G125" s="17" t="n">
        <x:v>113551.5</x:v>
      </x:c>
      <x:c r="H125" s="17" t="n">
        <x:f>G125*F125</x:f>
        <x:v>6018.2294999999995</x:v>
      </x:c>
      <x:c r="I125" s="22" t="str">
        <x:f>HYPERLINK("https://etp-aktiv.ru/catalog/materialy/metalloprodukciya/2000761296-V119/","Открыть позицию")</x:f>
        <x:v>Открыть позицию</x:v>
      </x:c>
    </x:row>
    <x:row r="126" ht="28" customHeight="1">
      <x:c r="A126" s="16" t="str">
        <x:v>Красноярская ТЭЦ-1</x:v>
      </x:c>
      <x:c r="B126" s="16" t="str">
        <x:v>2000581939-V119</x:v>
      </x:c>
      <x:c r="C126" s="16" t="str">
        <x:v>ЛИСТ С235 3*1250*2500 ГОСТ19903-2015</x:v>
      </x:c>
      <x:c r="D126" s="16" t="str">
        <x:v>М/прокат черный</x:v>
      </x:c>
      <x:c r="E126" s="16" t="str">
        <x:v>Т</x:v>
      </x:c>
      <x:c r="F126" s="30" t="n">
        <x:v>0.098</x:v>
      </x:c>
      <x:c r="G126" s="17" t="n">
        <x:v>63872.7218</x:v>
      </x:c>
      <x:c r="H126" s="17" t="n">
        <x:f>G126*F126</x:f>
        <x:v>6259.5267364</x:v>
      </x:c>
      <x:c r="I126" s="22" t="str">
        <x:f>HYPERLINK("https://etp-aktiv.ru/catalog/materialy/metalloprodukciya/2000581939-V119/","Открыть позицию")</x:f>
        <x:v>Открыть позицию</x:v>
      </x:c>
    </x:row>
    <x:row r="127" ht="28" customHeight="1">
      <x:c r="A127" s="16" t="str">
        <x:v>Красноярская ТЭЦ-1</x:v>
      </x:c>
      <x:c r="B127" s="16" t="str">
        <x:v>2000260526-V119</x:v>
      </x:c>
      <x:c r="C127" s="16" t="str">
        <x:v>ЛИСТ С235 4ММ ГОСТ8568-77</x:v>
      </x:c>
      <x:c r="D127" s="16" t="str">
        <x:v>М/прокат черный</x:v>
      </x:c>
      <x:c r="E127" s="16" t="str">
        <x:v>Т</x:v>
      </x:c>
      <x:c r="F127" s="30" t="n">
        <x:v>0.384</x:v>
      </x:c>
      <x:c r="G127" s="17" t="n">
        <x:v>39952.9138</x:v>
      </x:c>
      <x:c r="H127" s="17" t="n">
        <x:f>G127*F127</x:f>
        <x:v>15341.918899200002</x:v>
      </x:c>
      <x:c r="I127" s="22" t="str">
        <x:f>HYPERLINK("https://etp-aktiv.ru/catalog/materialy/metalloprodukciya/2000260526-V119/","Открыть позицию")</x:f>
        <x:v>Открыть позицию</x:v>
      </x:c>
    </x:row>
    <x:row r="128" ht="28" customHeight="1">
      <x:c r="A128" s="16" t="str">
        <x:v>Красноярская ТЭЦ-1</x:v>
      </x:c>
      <x:c r="B128" s="16" t="str">
        <x:v>2000688022-V119</x:v>
      </x:c>
      <x:c r="C128" s="16" t="str">
        <x:v>ЛИСТ С235 6*1500*6000 ГОСТ19903-2015</x:v>
      </x:c>
      <x:c r="D128" s="16" t="str">
        <x:v>М/прокат черный</x:v>
      </x:c>
      <x:c r="E128" s="16" t="str">
        <x:v>Т</x:v>
      </x:c>
      <x:c r="F128" s="30" t="n">
        <x:v>0.227</x:v>
      </x:c>
      <x:c r="G128" s="17" t="n">
        <x:v>75147.0956</x:v>
      </x:c>
      <x:c r="H128" s="17" t="n">
        <x:f>G128*F128</x:f>
        <x:v>17058.3907012</x:v>
      </x:c>
      <x:c r="I128" s="22" t="str">
        <x:f>HYPERLINK("https://etp-aktiv.ru/catalog/materialy/metalloprodukciya/2000688022-V119/","Открыть позицию")</x:f>
        <x:v>Открыть позицию</x:v>
      </x:c>
    </x:row>
    <x:row r="129" ht="28" customHeight="1">
      <x:c r="A129" s="16" t="str">
        <x:v>Красноярская ТЭЦ-1</x:v>
      </x:c>
      <x:c r="B129" s="16" t="str">
        <x:v>2000688060-V119</x:v>
      </x:c>
      <x:c r="C129" s="16" t="str">
        <x:v>ЛИСТ С235 8*1500*6000 ГОСТ19903-2015</x:v>
      </x:c>
      <x:c r="D129" s="16" t="str">
        <x:v>М/прокат черный</x:v>
      </x:c>
      <x:c r="E129" s="16" t="str">
        <x:v>Т</x:v>
      </x:c>
      <x:c r="F129" s="30" t="n">
        <x:v>0.2</x:v>
      </x:c>
      <x:c r="G129" s="17" t="n">
        <x:v>63872.7218</x:v>
      </x:c>
      <x:c r="H129" s="17" t="n">
        <x:f>G129*F129</x:f>
        <x:v>12774.54436</x:v>
      </x:c>
      <x:c r="I129" s="22" t="str">
        <x:f>HYPERLINK("https://etp-aktiv.ru/catalog/materialy/metalloprodukciya/2000688060-V119/","Открыть позицию")</x:f>
        <x:v>Открыть позицию</x:v>
      </x:c>
    </x:row>
    <x:row r="130" ht="28" customHeight="1">
      <x:c r="A130" s="16" t="str">
        <x:v>Красноярская ТЭЦ-1</x:v>
      </x:c>
      <x:c r="B130" s="16" t="str">
        <x:v>2000555946-V119</x:v>
      </x:c>
      <x:c r="C130" s="16" t="str">
        <x:v>ЛИСТ С245 Б-ПН-О 10 ГОСТ27772-2015</x:v>
      </x:c>
      <x:c r="D130" s="16" t="str">
        <x:v>М/прокат черный</x:v>
      </x:c>
      <x:c r="E130" s="16" t="str">
        <x:v>Т</x:v>
      </x:c>
      <x:c r="F130" s="30" t="n">
        <x:v>0.42</x:v>
      </x:c>
      <x:c r="G130" s="17" t="n">
        <x:v>63697.725</x:v>
      </x:c>
      <x:c r="H130" s="17" t="n">
        <x:f>G130*F130</x:f>
        <x:v>26753.0445</x:v>
      </x:c>
      <x:c r="I130" s="22" t="str">
        <x:f>HYPERLINK("https://etp-aktiv.ru/catalog/materialy/metalloprodukciya/2000555946-V119/","Открыть позицию")</x:f>
        <x:v>Открыть позицию</x:v>
      </x:c>
    </x:row>
    <x:row r="131" ht="28" customHeight="1">
      <x:c r="A131" s="16" t="str">
        <x:v>Красноярская ТЭЦ-1</x:v>
      </x:c>
      <x:c r="B131" s="16" t="str">
        <x:v>2000631241-V119</x:v>
      </x:c>
      <x:c r="C131" s="16" t="str">
        <x:v>ЛИСТ С355-5 40*1500*6000 ГОСТ19903-2015</x:v>
      </x:c>
      <x:c r="D131" s="16" t="str">
        <x:v>М/прокат черный</x:v>
      </x:c>
      <x:c r="E131" s="16" t="str">
        <x:v>Т</x:v>
      </x:c>
      <x:c r="F131" s="30" t="n">
        <x:v>0.247</x:v>
      </x:c>
      <x:c r="G131" s="17" t="n">
        <x:v>104996.25</x:v>
      </x:c>
      <x:c r="H131" s="17" t="n">
        <x:f>G131*F131</x:f>
        <x:v>25934.07375</x:v>
      </x:c>
      <x:c r="I131" s="22" t="str">
        <x:f>HYPERLINK("https://etp-aktiv.ru/catalog/materialy/metalloprodukciya/2000631241-V119/","Открыть позицию")</x:f>
        <x:v>Открыть позицию</x:v>
      </x:c>
    </x:row>
    <x:row r="132" ht="28" customHeight="1">
      <x:c r="A132" s="16" t="str">
        <x:v>Красноярская ТЭЦ-1</x:v>
      </x:c>
      <x:c r="B132" s="16" t="str">
        <x:v>2000555902-V119</x:v>
      </x:c>
      <x:c r="C132" s="16" t="str">
        <x:v>ЛИСТ СТ20 6ММ ГОСТ1577-93</x:v>
      </x:c>
      <x:c r="D132" s="16" t="str">
        <x:v>М/прокат черный</x:v>
      </x:c>
      <x:c r="E132" s="16" t="str">
        <x:v>Т</x:v>
      </x:c>
      <x:c r="F132" s="26" t="n">
        <x:v>2.084</x:v>
      </x:c>
      <x:c r="G132" s="17" t="n">
        <x:v>92892.3982</x:v>
      </x:c>
      <x:c r="H132" s="17" t="n">
        <x:f>G132*F132</x:f>
        <x:v>193587.75784879999</x:v>
      </x:c>
      <x:c r="I132" s="22" t="str">
        <x:f>HYPERLINK("https://etp-aktiv.ru/catalog/materialy/metalloprodukciya/2000555902-V119/","Открыть позицию")</x:f>
        <x:v>Открыть позицию</x:v>
      </x:c>
    </x:row>
    <x:row r="133" ht="28" customHeight="1">
      <x:c r="A133" s="16" t="str">
        <x:v>Красноярская ТЭЦ-1</x:v>
      </x:c>
      <x:c r="B133" s="16" t="str">
        <x:v>2000555908-V119</x:v>
      </x:c>
      <x:c r="C133" s="16" t="str">
        <x:v>ЛИСТ СТ20 Б-ПН 8*1500*6000 ГОСТ1577-93</x:v>
      </x:c>
      <x:c r="D133" s="16" t="str">
        <x:v>М/прокат черный</x:v>
      </x:c>
      <x:c r="E133" s="16" t="str">
        <x:v>Т</x:v>
      </x:c>
      <x:c r="F133" s="30" t="n">
        <x:v>0.549</x:v>
      </x:c>
      <x:c r="G133" s="17" t="n">
        <x:v>41746.875</x:v>
      </x:c>
      <x:c r="H133" s="17" t="n">
        <x:f>G133*F133</x:f>
        <x:v>22919.034375000003</x:v>
      </x:c>
      <x:c r="I133" s="22" t="str">
        <x:f>HYPERLINK("https://etp-aktiv.ru/catalog/materialy/metalloprodukciya/2000555908-V119/","Открыть позицию")</x:f>
        <x:v>Открыть позицию</x:v>
      </x:c>
    </x:row>
    <x:row r="134" ht="28" customHeight="1">
      <x:c r="A134" s="16" t="str">
        <x:v>Красноярская ТЭЦ-1</x:v>
      </x:c>
      <x:c r="B134" s="16" t="str">
        <x:v>2000015300-V119</x:v>
      </x:c>
      <x:c r="C134" s="16" t="str">
        <x:v>ЛИСТ СТ3 2ММ ГОСТ16523-97</x:v>
      </x:c>
      <x:c r="D134" s="16" t="str">
        <x:v>М/прокат черный</x:v>
      </x:c>
      <x:c r="E134" s="16" t="str">
        <x:v>Т</x:v>
      </x:c>
      <x:c r="F134" s="30" t="n">
        <x:v>0.034</x:v>
      </x:c>
      <x:c r="G134" s="17" t="n">
        <x:v>48648.0612</x:v>
      </x:c>
      <x:c r="H134" s="17" t="n">
        <x:f>G134*F134</x:f>
        <x:v>1654.0340808</x:v>
      </x:c>
      <x:c r="I134" s="22" t="str">
        <x:f>HYPERLINK("https://etp-aktiv.ru/catalog/materialy/metalloprodukciya/2000015300-V119/","Открыть позицию")</x:f>
        <x:v>Открыть позицию</x:v>
      </x:c>
    </x:row>
    <x:row r="135" ht="28" customHeight="1">
      <x:c r="A135" s="16" t="str">
        <x:v>Красноярская ТЭЦ-1</x:v>
      </x:c>
      <x:c r="B135" s="16" t="str">
        <x:v>2000148570-V119</x:v>
      </x:c>
      <x:c r="C135" s="16" t="str">
        <x:v>ЛИСТ СТ3 6ММ ГОСТ19904-90</x:v>
      </x:c>
      <x:c r="D135" s="16" t="str">
        <x:v>М/прокат черный</x:v>
      </x:c>
      <x:c r="E135" s="16" t="str">
        <x:v>Т</x:v>
      </x:c>
      <x:c r="F135" s="30" t="n">
        <x:v>0.058</x:v>
      </x:c>
      <x:c r="G135" s="17" t="n">
        <x:v>81020.7734</x:v>
      </x:c>
      <x:c r="H135" s="17" t="n">
        <x:f>G135*F135</x:f>
        <x:v>4699.2048572</x:v>
      </x:c>
      <x:c r="I135" s="22" t="str">
        <x:f>HYPERLINK("https://etp-aktiv.ru/catalog/materialy/metalloprodukciya/2000148570-V119/","Открыть позицию")</x:f>
        <x:v>Открыть позицию</x:v>
      </x:c>
    </x:row>
    <x:row r="136" ht="28" customHeight="1">
      <x:c r="A136" s="16" t="str">
        <x:v>Красноярская ТЭЦ-1</x:v>
      </x:c>
      <x:c r="B136" s="16" t="str">
        <x:v>2000555975-V119</x:v>
      </x:c>
      <x:c r="C136" s="16" t="str">
        <x:v>ЛИСТ СТ3 Б-ПН-О 3*1500*6000 ГОСТ380-2005</x:v>
      </x:c>
      <x:c r="D136" s="16" t="str">
        <x:v>М/прокат черный</x:v>
      </x:c>
      <x:c r="E136" s="16" t="str">
        <x:v>Т</x:v>
      </x:c>
      <x:c r="F136" s="30" t="n">
        <x:v>0.32</x:v>
      </x:c>
      <x:c r="G136" s="17" t="n">
        <x:v>64164.375</x:v>
      </x:c>
      <x:c r="H136" s="17" t="n">
        <x:f>G136*F136</x:f>
        <x:v>20532.600000000002</x:v>
      </x:c>
      <x:c r="I136" s="22" t="str">
        <x:f>HYPERLINK("https://etp-aktiv.ru/catalog/materialy/metalloprodukciya/2000555975-V119/","Открыть позицию")</x:f>
        <x:v>Открыть позицию</x:v>
      </x:c>
    </x:row>
    <x:row r="137" ht="28" customHeight="1">
      <x:c r="A137" s="16" t="str">
        <x:v>Красноярская ТЭЦ-1</x:v>
      </x:c>
      <x:c r="B137" s="16" t="str">
        <x:v>2000695896-V119</x:v>
      </x:c>
      <x:c r="C137" s="16" t="str">
        <x:v>ЛИСТ СТ3 ОЦ 2*1250*2500 ГОСТ14918-80</x:v>
      </x:c>
      <x:c r="D137" s="16" t="str">
        <x:v>М/прокат черный</x:v>
      </x:c>
      <x:c r="E137" s="16" t="str">
        <x:v>Т</x:v>
      </x:c>
      <x:c r="F137" s="30" t="n">
        <x:v>0.051</x:v>
      </x:c>
      <x:c r="G137" s="17" t="n">
        <x:v>57164.625</x:v>
      </x:c>
      <x:c r="H137" s="17" t="n">
        <x:f>G137*F137</x:f>
        <x:v>2915.3958749999997</x:v>
      </x:c>
      <x:c r="I137" s="22" t="str">
        <x:f>HYPERLINK("https://etp-aktiv.ru/catalog/materialy/metalloprodukciya/2000695896-V119/","Открыть позицию")</x:f>
        <x:v>Открыть позицию</x:v>
      </x:c>
    </x:row>
    <x:row r="138" ht="28" customHeight="1">
      <x:c r="A138" s="16" t="str">
        <x:v>Красноярская ТЭЦ-1</x:v>
      </x:c>
      <x:c r="B138" s="16" t="str">
        <x:v>2000555948-V119</x:v>
      </x:c>
      <x:c r="C138" s="16" t="str">
        <x:v>ЛИСТ СТ3ПС6 Б-ПН-О 5*1500*6000 ГОСТ14637</x:v>
      </x:c>
      <x:c r="D138" s="16" t="str">
        <x:v>М/прокат черный</x:v>
      </x:c>
      <x:c r="E138" s="16" t="str">
        <x:v>Т</x:v>
      </x:c>
      <x:c r="F138" s="30" t="n">
        <x:v>0.37</x:v>
      </x:c>
      <x:c r="G138" s="17" t="n">
        <x:v>28021.862800000003</x:v>
      </x:c>
      <x:c r="H138" s="17" t="n">
        <x:f>G138*F138</x:f>
        <x:v>10368.089236000002</x:v>
      </x:c>
      <x:c r="I138" s="22" t="str">
        <x:f>HYPERLINK("https://etp-aktiv.ru/catalog/materialy/metalloprodukciya/2000555948-V119/","Открыть позицию")</x:f>
        <x:v>Открыть позицию</x:v>
      </x:c>
    </x:row>
    <x:row r="139" ht="28" customHeight="1">
      <x:c r="A139" s="16" t="str">
        <x:v>Красноярская ТЭЦ-1</x:v>
      </x:c>
      <x:c r="B139" s="16" t="str">
        <x:v>2000148200-V119</x:v>
      </x:c>
      <x:c r="C139" s="16" t="str">
        <x:v>ЛИСТ СТ3СП5 2ММ ГОСТ16523-97</x:v>
      </x:c>
      <x:c r="D139" s="16" t="str">
        <x:v>М/прокат черный</x:v>
      </x:c>
      <x:c r="E139" s="16" t="str">
        <x:v>Т</x:v>
      </x:c>
      <x:c r="F139" s="26" t="n">
        <x:v>1.018</x:v>
      </x:c>
      <x:c r="G139" s="17" t="n">
        <x:v>36765.31</x:v>
      </x:c>
      <x:c r="H139" s="17" t="n">
        <x:f>G139*F139</x:f>
        <x:v>37427.08558</x:v>
      </x:c>
      <x:c r="I139" s="22" t="str">
        <x:f>HYPERLINK("https://etp-aktiv.ru/catalog/materialy/metalloprodukciya/2000148200-V119/","Открыть позицию")</x:f>
        <x:v>Открыть позицию</x:v>
      </x:c>
    </x:row>
    <x:row r="140" ht="28" customHeight="1">
      <x:c r="A140" s="16" t="str">
        <x:v>Красноярская ТЭЦ-1</x:v>
      </x:c>
      <x:c r="B140" s="16" t="str">
        <x:v>2000555947-V119</x:v>
      </x:c>
      <x:c r="C140" s="16" t="str">
        <x:v>ЛИСТ СТ3СП5 Б-ПН-О 22*1500*6000 Г14637</x:v>
      </x:c>
      <x:c r="D140" s="16" t="str">
        <x:v>М/прокат черный</x:v>
      </x:c>
      <x:c r="E140" s="16" t="str">
        <x:v>Т</x:v>
      </x:c>
      <x:c r="F140" s="26" t="n">
        <x:v>1.203</x:v>
      </x:c>
      <x:c r="G140" s="17" t="n">
        <x:v>29647.1468</x:v>
      </x:c>
      <x:c r="H140" s="17" t="n">
        <x:f>G140*F140</x:f>
        <x:v>35665.5176004</x:v>
      </x:c>
      <x:c r="I140" s="22" t="str">
        <x:f>HYPERLINK("https://etp-aktiv.ru/catalog/materialy/metalloprodukciya/2000555947-V119/","Открыть позицию")</x:f>
        <x:v>Открыть позицию</x:v>
      </x:c>
    </x:row>
    <x:row r="141" ht="28" customHeight="1">
      <x:c r="A141" s="16" t="str">
        <x:v>Красноярская ТЭЦ-1</x:v>
      </x:c>
      <x:c r="B141" s="16" t="str">
        <x:v>2000140883-V119</x:v>
      </x:c>
      <x:c r="C141" s="16" t="str">
        <x:v>ОТЛИВКА СЧ15-32 200*500 ГОСТ1412-85</x:v>
      </x:c>
      <x:c r="D141" s="16" t="str">
        <x:v>Шихтовые материалы</x:v>
      </x:c>
      <x:c r="E141" s="16" t="str">
        <x:v>ШТ</x:v>
      </x:c>
      <x:c r="F141" s="21" t="n">
        <x:v>2</x:v>
      </x:c>
      <x:c r="G141" s="17" t="n">
        <x:v>10499.625</x:v>
      </x:c>
      <x:c r="H141" s="17" t="n">
        <x:f>G141*F141</x:f>
        <x:v>20999.25</x:v>
      </x:c>
      <x:c r="I141" s="22" t="str">
        <x:f>HYPERLINK("https://etp-aktiv.ru/catalog/materialy/metalloprodukciya/2000140883-V119/","Открыть позицию")</x:f>
        <x:v>Открыть позицию</x:v>
      </x:c>
    </x:row>
    <x:row r="142" ht="28" customHeight="1">
      <x:c r="A142" s="16" t="str">
        <x:v>Красноярская ТЭЦ-1</x:v>
      </x:c>
      <x:c r="B142" s="16" t="str">
        <x:v>2000688024-V119</x:v>
      </x:c>
      <x:c r="C142" s="16" t="str">
        <x:v>ПОЛОСА С235 60*6 ГОСТ103-2006</x:v>
      </x:c>
      <x:c r="D142" s="16" t="str">
        <x:v>М/прокат прочий</x:v>
      </x:c>
      <x:c r="E142" s="16" t="str">
        <x:v>Т</x:v>
      </x:c>
      <x:c r="F142" s="30" t="n">
        <x:v>0.276</x:v>
      </x:c>
      <x:c r="G142" s="17" t="n">
        <x:v>79097.175</x:v>
      </x:c>
      <x:c r="H142" s="17" t="n">
        <x:f>G142*F142</x:f>
        <x:v>21830.820300000003</x:v>
      </x:c>
      <x:c r="I142" s="22" t="str">
        <x:f>HYPERLINK("https://etp-aktiv.ru/catalog/materialy/metalloprodukciya/2000688024-V119/","Открыть позицию")</x:f>
        <x:v>Открыть позицию</x:v>
      </x:c>
    </x:row>
    <x:row r="143" ht="28" customHeight="1">
      <x:c r="A143" s="16" t="str">
        <x:v>Красноярская ТЭЦ-1</x:v>
      </x:c>
      <x:c r="B143" s="16" t="str">
        <x:v>2000210745-V119</x:v>
      </x:c>
      <x:c r="C143" s="16" t="str">
        <x:v>ПРОВОЛОКА СВ08Г2С D2ММ ГОСТ2246-70</x:v>
      </x:c>
      <x:c r="D143" s="16" t="str">
        <x:v>Сварочные электроды</x:v>
      </x:c>
      <x:c r="E143" s="16" t="str">
        <x:v>КГ</x:v>
      </x:c>
      <x:c r="F143" s="21" t="n">
        <x:v>46</x:v>
      </x:c>
      <x:c r="G143" s="17" t="n">
        <x:v>453.1446</x:v>
      </x:c>
      <x:c r="H143" s="17" t="n">
        <x:f>G143*F143</x:f>
        <x:v>20844.6516</x:v>
      </x:c>
      <x:c r="I143" s="22" t="str">
        <x:f>HYPERLINK("https://etp-aktiv.ru/catalog/materialy/svarochnye-ehlektrody/2000210745-V119/","Открыть позицию")</x:f>
        <x:v>Открыть позицию</x:v>
      </x:c>
    </x:row>
    <x:row r="144" ht="28" customHeight="1">
      <x:c r="A144" s="16" t="str">
        <x:v>Красноярская ТЭЦ-1</x:v>
      </x:c>
      <x:c r="B144" s="16" t="str">
        <x:v>2000546363-V119</x:v>
      </x:c>
      <x:c r="C144" s="16" t="str">
        <x:v>ПРОВОЛОКА СВ08Г2С D3ММ ГОСТ2246-70</x:v>
      </x:c>
      <x:c r="D144" s="16" t="str">
        <x:v>Сварочные электроды</x:v>
      </x:c>
      <x:c r="E144" s="16" t="str">
        <x:v>КГ</x:v>
      </x:c>
      <x:c r="F144" s="21" t="n">
        <x:v>50</x:v>
      </x:c>
      <x:c r="G144" s="17" t="n">
        <x:v>453.1446</x:v>
      </x:c>
      <x:c r="H144" s="17" t="n">
        <x:f>G144*F144</x:f>
        <x:v>22657.23</x:v>
      </x:c>
      <x:c r="I144" s="22" t="str">
        <x:f>HYPERLINK("https://etp-aktiv.ru/catalog/materialy/svarochnye-ehlektrody/2000546363-V119/","Открыть позицию")</x:f>
        <x:v>Открыть позицию</x:v>
      </x:c>
    </x:row>
    <x:row r="145" ht="28" customHeight="1">
      <x:c r="A145" s="16" t="str">
        <x:v>Красноярская ТЭЦ-1</x:v>
      </x:c>
      <x:c r="B145" s="16" t="str">
        <x:v>2000546376-V119</x:v>
      </x:c>
      <x:c r="C145" s="16" t="str">
        <x:v>ПРОВОЛОКА СВАРОЧНАЯ 2,0 СВ-08ХГСМФА</x:v>
      </x:c>
      <x:c r="D145" s="16" t="str">
        <x:v>Сварочные электроды</x:v>
      </x:c>
      <x:c r="E145" s="16" t="str">
        <x:v>КГ</x:v>
      </x:c>
      <x:c r="F145" s="26" t="n">
        <x:v>33.25</x:v>
      </x:c>
      <x:c r="G145" s="17" t="n">
        <x:v>339.8554</x:v>
      </x:c>
      <x:c r="H145" s="17" t="n">
        <x:f>G145*F145</x:f>
        <x:v>11300.19205</x:v>
      </x:c>
      <x:c r="I145" s="22" t="str">
        <x:f>HYPERLINK("https://etp-aktiv.ru/catalog/materialy/svarochnye-ehlektrody/2000546376-V119/","Открыть позицию")</x:f>
        <x:v>Открыть позицию</x:v>
      </x:c>
    </x:row>
    <x:row r="146" ht="28" customHeight="1">
      <x:c r="A146" s="16" t="str">
        <x:v>Красноярская ТЭЦ-1</x:v>
      </x:c>
      <x:c r="B146" s="16" t="str">
        <x:v>2000316620-V119</x:v>
      </x:c>
      <x:c r="C146" s="16" t="str">
        <x:v>ПРОФЛИСТ НС-35-1000 ОЦ-01-БЦ-07 6*1,06</x:v>
      </x:c>
      <x:c r="D146" s="16" t="str">
        <x:v>М/прокат прочий</x:v>
      </x:c>
      <x:c r="E146" s="16" t="str">
        <x:v>М2</x:v>
      </x:c>
      <x:c r="F146" s="26" t="n">
        <x:v>121.2</x:v>
      </x:c>
      <x:c r="G146" s="17" t="n">
        <x:v>579.4878</x:v>
      </x:c>
      <x:c r="H146" s="17" t="n">
        <x:f>G146*F146</x:f>
        <x:v>70233.92136000001</x:v>
      </x:c>
      <x:c r="I146" s="22" t="str">
        <x:f>HYPERLINK("https://etp-aktiv.ru/catalog/materialy/metalloprodukciya/2000316620-V119/","Открыть позицию")</x:f>
        <x:v>Открыть позицию</x:v>
      </x:c>
    </x:row>
    <x:row r="147" ht="28" customHeight="1">
      <x:c r="A147" s="16" t="str">
        <x:v>Красноярская ТЭЦ-1</x:v>
      </x:c>
      <x:c r="B147" s="16" t="str">
        <x:v>2000976717-V119</x:v>
      </x:c>
      <x:c r="C147" s="16" t="str">
        <x:v>ПРОФНАСТИЛ Н20-1150-0,45 ОЦ ГОСТ24045-16</x:v>
      </x:c>
      <x:c r="D147" s="16" t="str">
        <x:v>М/прокат прочий</x:v>
      </x:c>
      <x:c r="E147" s="16" t="str">
        <x:v>М2</x:v>
      </x:c>
      <x:c r="F147" s="26" t="n">
        <x:v>94.2</x:v>
      </x:c>
      <x:c r="G147" s="17" t="n">
        <x:v>706.2823999999999</x:v>
      </x:c>
      <x:c r="H147" s="17" t="n">
        <x:f>G147*F147</x:f>
        <x:v>66531.80208</x:v>
      </x:c>
      <x:c r="I147" s="22" t="str">
        <x:f>HYPERLINK("https://etp-aktiv.ru/catalog/materialy/metalloprodukciya/2000976717-V119/","Открыть позицию")</x:f>
        <x:v>Открыть позицию</x:v>
      </x:c>
    </x:row>
    <x:row r="148" ht="28" customHeight="1">
      <x:c r="A148" s="16" t="str">
        <x:v>Красноярская ТЭЦ-1</x:v>
      </x:c>
      <x:c r="B148" s="16" t="str">
        <x:v>2000328992-V119</x:v>
      </x:c>
      <x:c r="C148" s="16" t="str">
        <x:v>ПРОФНАСТИЛ С21-1000-0,7 ГОСТ24045-94</x:v>
      </x:c>
      <x:c r="D148" s="16" t="str">
        <x:v>М/прокат прочий</x:v>
      </x:c>
      <x:c r="E148" s="16" t="str">
        <x:v>Т</x:v>
      </x:c>
      <x:c r="F148" s="30" t="n">
        <x:v>0.393</x:v>
      </x:c>
      <x:c r="G148" s="17" t="n">
        <x:v>194386.3698</x:v>
      </x:c>
      <x:c r="H148" s="17" t="n">
        <x:f>G148*F148</x:f>
        <x:v>76393.8433314</x:v>
      </x:c>
      <x:c r="I148" s="22" t="str">
        <x:f>HYPERLINK("https://etp-aktiv.ru/catalog/materialy/metalloprodukciya/2000328992-V119/","Открыть позицию")</x:f>
        <x:v>Открыть позицию</x:v>
      </x:c>
    </x:row>
    <x:row r="149" ht="28" customHeight="1">
      <x:c r="A149" s="16" t="str">
        <x:v>Красноярская ТЭЦ-1</x:v>
      </x:c>
      <x:c r="B149" s="16" t="str">
        <x:v>2000149721-V119</x:v>
      </x:c>
      <x:c r="C149" s="16" t="str">
        <x:v>ПРУТОК БРАЖ 9-4 D150ММ ГОСТ1628-78</x:v>
      </x:c>
      <x:c r="D149" s="16" t="str">
        <x:v>М/прокат цветной</x:v>
      </x:c>
      <x:c r="E149" s="16" t="str">
        <x:v>Т</x:v>
      </x:c>
      <x:c r="F149" s="30" t="n">
        <x:v>0.075</x:v>
      </x:c>
      <x:c r="G149" s="17" t="n">
        <x:v>872300</x:v>
      </x:c>
      <x:c r="H149" s="17" t="n">
        <x:f>G149*F149</x:f>
        <x:v>65422.5</x:v>
      </x:c>
      <x:c r="I149" s="22" t="str">
        <x:f>HYPERLINK("https://etp-aktiv.ru/catalog/materialy/metalloprodukciya/2000149721-V119/","Открыть позицию")</x:f>
        <x:v>Открыть позицию</x:v>
      </x:c>
    </x:row>
    <x:row r="150" ht="28" customHeight="1">
      <x:c r="A150" s="16" t="str">
        <x:v>Красноярская ТЭЦ-1</x:v>
      </x:c>
      <x:c r="B150" s="16" t="str">
        <x:v>2000220036-V119</x:v>
      </x:c>
      <x:c r="C150" s="16" t="str">
        <x:v>ПРУТОК БРАЖ 9-4 D60ММ ГОСТ1628-78</x:v>
      </x:c>
      <x:c r="D150" s="16" t="str">
        <x:v>М/прокат цветной</x:v>
      </x:c>
      <x:c r="E150" s="16" t="str">
        <x:v>КГ</x:v>
      </x:c>
      <x:c r="F150" s="26" t="n">
        <x:v>1.835</x:v>
      </x:c>
      <x:c r="G150" s="17" t="n">
        <x:v>872.3</x:v>
      </x:c>
      <x:c r="H150" s="17" t="n">
        <x:f>G150*F150</x:f>
        <x:v>1600.6705</x:v>
      </x:c>
      <x:c r="I150" s="22" t="str">
        <x:f>HYPERLINK("https://etp-aktiv.ru/catalog/materialy/metalloprodukciya/2000220036-V119/","Открыть позицию")</x:f>
        <x:v>Открыть позицию</x:v>
      </x:c>
    </x:row>
    <x:row r="151" ht="28" customHeight="1">
      <x:c r="A151" s="16" t="str">
        <x:v>Красноярская ТЭЦ-1</x:v>
      </x:c>
      <x:c r="B151" s="16" t="str">
        <x:v>2000519631-V119</x:v>
      </x:c>
      <x:c r="C151" s="16" t="str">
        <x:v>ПРУТОК БРАЖ 9-4 D60ММ ГОСТ1628-78</x:v>
      </x:c>
      <x:c r="D151" s="16" t="str">
        <x:v>М/прокат цветной</x:v>
      </x:c>
      <x:c r="E151" s="16" t="str">
        <x:v>КГ</x:v>
      </x:c>
      <x:c r="F151" s="26" t="n">
        <x:v>201.6</x:v>
      </x:c>
      <x:c r="G151" s="17" t="n">
        <x:v>872.3</x:v>
      </x:c>
      <x:c r="H151" s="17" t="n">
        <x:f>G151*F151</x:f>
        <x:v>175855.68</x:v>
      </x:c>
      <x:c r="I151" s="22" t="str">
        <x:f>HYPERLINK("https://etp-aktiv.ru/catalog/materialy/metalloprodukciya/2000519631-V119/","Открыть позицию")</x:f>
        <x:v>Открыть позицию</x:v>
      </x:c>
    </x:row>
    <x:row r="152" ht="28" customHeight="1">
      <x:c r="A152" s="16" t="str">
        <x:v>Красноярская ТЭЦ-1</x:v>
      </x:c>
      <x:c r="B152" s="16" t="str">
        <x:v>2000239466-V119</x:v>
      </x:c>
      <x:c r="C152" s="16" t="str">
        <x:v>ПРУТОК БРАЖ 9-4 D75ММ ГОСТ1628-78</x:v>
      </x:c>
      <x:c r="D152" s="16" t="str">
        <x:v>М/прокат цветной</x:v>
      </x:c>
      <x:c r="E152" s="16" t="str">
        <x:v>КГ</x:v>
      </x:c>
      <x:c r="F152" s="26" t="n">
        <x:v>124.4</x:v>
      </x:c>
      <x:c r="G152" s="17" t="n">
        <x:v>872.3</x:v>
      </x:c>
      <x:c r="H152" s="17" t="n">
        <x:f>G152*F152</x:f>
        <x:v>108514.12</x:v>
      </x:c>
      <x:c r="I152" s="22" t="str">
        <x:f>HYPERLINK("https://etp-aktiv.ru/catalog/materialy/metalloprodukciya/2000239466-V119/","Открыть позицию")</x:f>
        <x:v>Открыть позицию</x:v>
      </x:c>
    </x:row>
    <x:row r="153" ht="28" customHeight="1">
      <x:c r="A153" s="16" t="str">
        <x:v>Красноярская ТЭЦ-1</x:v>
      </x:c>
      <x:c r="B153" s="16" t="str">
        <x:v>2000556353-V119</x:v>
      </x:c>
      <x:c r="C153" s="16" t="str">
        <x:v>ПРУТОК БРАЖ9-4 60*3000 ГОСТ1628-78</x:v>
      </x:c>
      <x:c r="D153" s="16" t="str">
        <x:v>М/прокат цветной</x:v>
      </x:c>
      <x:c r="E153" s="16" t="str">
        <x:v>КГ</x:v>
      </x:c>
      <x:c r="F153" s="26" t="n">
        <x:v>142.8</x:v>
      </x:c>
      <x:c r="G153" s="17" t="n">
        <x:v>872.3</x:v>
      </x:c>
      <x:c r="H153" s="17" t="n">
        <x:f>G153*F153</x:f>
        <x:v>124564.44</x:v>
      </x:c>
      <x:c r="I153" s="22" t="str">
        <x:f>HYPERLINK("https://etp-aktiv.ru/catalog/materialy/metalloprodukciya/2000556353-V119/","Открыть позицию")</x:f>
        <x:v>Открыть позицию</x:v>
      </x:c>
    </x:row>
    <x:row r="154" ht="28" customHeight="1">
      <x:c r="A154" s="16" t="str">
        <x:v>Красноярская ТЭЦ-1</x:v>
      </x:c>
      <x:c r="B154" s="16" t="str">
        <x:v>2000556355-V119</x:v>
      </x:c>
      <x:c r="C154" s="16" t="str">
        <x:v>ПРУТОК БРАЖ9-4 70*3000 ГОСТ1628-78</x:v>
      </x:c>
      <x:c r="D154" s="16" t="str">
        <x:v>М/прокат цветной</x:v>
      </x:c>
      <x:c r="E154" s="16" t="str">
        <x:v>КГ</x:v>
      </x:c>
      <x:c r="F154" s="26" t="n">
        <x:v>109.7</x:v>
      </x:c>
      <x:c r="G154" s="17" t="n">
        <x:v>872.3</x:v>
      </x:c>
      <x:c r="H154" s="17" t="n">
        <x:f>G154*F154</x:f>
        <x:v>95691.31</x:v>
      </x:c>
      <x:c r="I154" s="22" t="str">
        <x:f>HYPERLINK("https://etp-aktiv.ru/catalog/materialy/metalloprodukciya/2000556355-V119/","Открыть позицию")</x:f>
        <x:v>Открыть позицию</x:v>
      </x:c>
    </x:row>
    <x:row r="155" ht="28" customHeight="1">
      <x:c r="A155" s="16" t="str">
        <x:v>Красноярская ТЭЦ-1</x:v>
      </x:c>
      <x:c r="B155" s="16" t="str">
        <x:v>2000556392-V119</x:v>
      </x:c>
      <x:c r="C155" s="16" t="str">
        <x:v>ПРУТОК М1 40*3000 ГОСТ1535-2006</x:v>
      </x:c>
      <x:c r="D155" s="16" t="str">
        <x:v>М/прокат цветной</x:v>
      </x:c>
      <x:c r="E155" s="16" t="str">
        <x:v>КГ</x:v>
      </x:c>
      <x:c r="F155" s="26" t="n">
        <x:v>36.7</x:v>
      </x:c>
      <x:c r="G155" s="17" t="n">
        <x:v>1037</x:v>
      </x:c>
      <x:c r="H155" s="17" t="n">
        <x:f>G155*F155</x:f>
        <x:v>38057.9</x:v>
      </x:c>
      <x:c r="I155" s="22" t="str">
        <x:f>HYPERLINK("https://etp-aktiv.ru/catalog/materialy/metalloprodukciya/2000556392-V119/","Открыть позицию")</x:f>
        <x:v>Открыть позицию</x:v>
      </x:c>
    </x:row>
    <x:row r="156" ht="28" customHeight="1">
      <x:c r="A156" s="16" t="str">
        <x:v>Красноярская ТЭЦ-1</x:v>
      </x:c>
      <x:c r="B156" s="16" t="str">
        <x:v>2000067882-V119</x:v>
      </x:c>
      <x:c r="C156" s="16" t="str">
        <x:v>ПРУТОК М1 D10ММ ГОСТ1535-91</x:v>
      </x:c>
      <x:c r="D156" s="16" t="str">
        <x:v>М/прокат цветной</x:v>
      </x:c>
      <x:c r="E156" s="16" t="str">
        <x:v>КГ</x:v>
      </x:c>
      <x:c r="F156" s="26" t="n">
        <x:v>28.9</x:v>
      </x:c>
      <x:c r="G156" s="17" t="n">
        <x:v>1037</x:v>
      </x:c>
      <x:c r="H156" s="17" t="n">
        <x:f>G156*F156</x:f>
        <x:v>29969.3</x:v>
      </x:c>
      <x:c r="I156" s="22" t="str">
        <x:f>HYPERLINK("https://etp-aktiv.ru/catalog/materialy/metalloprodukciya/2000067882-V119/","Открыть позицию")</x:f>
        <x:v>Открыть позицию</x:v>
      </x:c>
    </x:row>
    <x:row r="157" ht="28" customHeight="1">
      <x:c r="A157" s="16" t="str">
        <x:v>Красноярская ТЭЦ-1</x:v>
      </x:c>
      <x:c r="B157" s="16" t="str">
        <x:v>2000018081-V119</x:v>
      </x:c>
      <x:c r="C157" s="16" t="str">
        <x:v>ПРУТОК М1 D20ММ ГОСТ1535-48</x:v>
      </x:c>
      <x:c r="D157" s="16" t="str">
        <x:v>М/прокат цветной</x:v>
      </x:c>
      <x:c r="E157" s="16" t="str">
        <x:v>Т</x:v>
      </x:c>
      <x:c r="F157" s="30" t="n">
        <x:v>0.159</x:v>
      </x:c>
      <x:c r="G157" s="17" t="n">
        <x:v>1037000</x:v>
      </x:c>
      <x:c r="H157" s="17" t="n">
        <x:f>G157*F157</x:f>
        <x:v>164883</x:v>
      </x:c>
      <x:c r="I157" s="22" t="str">
        <x:f>HYPERLINK("https://etp-aktiv.ru/catalog/materialy/metalloprodukciya/2000018081-V119/","Открыть позицию")</x:f>
        <x:v>Открыть позицию</x:v>
      </x:c>
    </x:row>
    <x:row r="158" ht="28" customHeight="1">
      <x:c r="A158" s="16" t="str">
        <x:v>Красноярская ТЭЦ-1</x:v>
      </x:c>
      <x:c r="B158" s="16" t="str">
        <x:v>2000214775-V119</x:v>
      </x:c>
      <x:c r="C158" s="16" t="str">
        <x:v>ПРУТОК М1 D40ММ ГОСТ1535-91</x:v>
      </x:c>
      <x:c r="D158" s="16" t="str">
        <x:v>М/прокат цветной</x:v>
      </x:c>
      <x:c r="E158" s="16" t="str">
        <x:v>КГ</x:v>
      </x:c>
      <x:c r="F158" s="21" t="n">
        <x:v>96</x:v>
      </x:c>
      <x:c r="G158" s="17" t="n">
        <x:v>1037</x:v>
      </x:c>
      <x:c r="H158" s="17" t="n">
        <x:f>G158*F158</x:f>
        <x:v>99552</x:v>
      </x:c>
      <x:c r="I158" s="22" t="str">
        <x:f>HYPERLINK("https://etp-aktiv.ru/catalog/materialy/metalloprodukciya/2000214775-V119/","Открыть позицию")</x:f>
        <x:v>Открыть позицию</x:v>
      </x:c>
    </x:row>
    <x:row r="159" ht="28" customHeight="1">
      <x:c r="A159" s="16" t="str">
        <x:v>Красноярская ТЭЦ-1</x:v>
      </x:c>
      <x:c r="B159" s="16" t="str">
        <x:v>2000591265-V119</x:v>
      </x:c>
      <x:c r="C159" s="16" t="str">
        <x:v>ПРУТОК МЕДНЫЙ ДКРВТ 10 НД М1 ГОСТ1535</x:v>
      </x:c>
      <x:c r="D159" s="16" t="str">
        <x:v>М/прокат цветной</x:v>
      </x:c>
      <x:c r="E159" s="16" t="str">
        <x:v>КГ</x:v>
      </x:c>
      <x:c r="F159" s="26" t="n">
        <x:v>2.2</x:v>
      </x:c>
      <x:c r="G159" s="17" t="n">
        <x:v>1037</x:v>
      </x:c>
      <x:c r="H159" s="17" t="n">
        <x:f>G159*F159</x:f>
        <x:v>2281.4</x:v>
      </x:c>
      <x:c r="I159" s="22" t="str">
        <x:f>HYPERLINK("https://etp-aktiv.ru/catalog/materialy/metalloprodukciya/2000591265-V119/","Открыть позицию")</x:f>
        <x:v>Открыть позицию</x:v>
      </x:c>
    </x:row>
    <x:row r="160" ht="28" customHeight="1">
      <x:c r="A160" s="16" t="str">
        <x:v>Красноярская ТЭЦ-1</x:v>
      </x:c>
      <x:c r="B160" s="16" t="str">
        <x:v>2000294604-V119</x:v>
      </x:c>
      <x:c r="C160" s="16" t="str">
        <x:v>САМОРЕЗ 4*75 ШСГД ГОСТ11650-80</x:v>
      </x:c>
      <x:c r="D160" s="16" t="str">
        <x:v>Метизы</x:v>
      </x:c>
      <x:c r="E160" s="16" t="str">
        <x:v>ШТ</x:v>
      </x:c>
      <x:c r="F160" s="21" t="n">
        <x:v>700</x:v>
      </x:c>
      <x:c r="G160" s="17" t="n">
        <x:v>1.037</x:v>
      </x:c>
      <x:c r="H160" s="17" t="n">
        <x:f>G160*F160</x:f>
        <x:v>725.9</x:v>
      </x:c>
      <x:c r="I160" s="22" t="str">
        <x:f>HYPERLINK("https://etp-aktiv.ru/catalog/materialy/metizy/2000294604-V119/","Открыть позицию")</x:f>
        <x:v>Открыть позицию</x:v>
      </x:c>
    </x:row>
    <x:row r="161" ht="28" customHeight="1">
      <x:c r="A161" s="16" t="str">
        <x:v>Красноярская ТЭЦ-1</x:v>
      </x:c>
      <x:c r="B161" s="16" t="str">
        <x:v>2000544533-V119</x:v>
      </x:c>
      <x:c r="C161" s="16" t="str">
        <x:v>СТРЕМЯНКА С ОГРАЖДЕНИЕМ ОСГ-18 СГ-40</x:v>
      </x:c>
      <x:c r="D161" s="16" t="str">
        <x:v>Металлоконструкции</x:v>
      </x:c>
      <x:c r="E161" s="16" t="str">
        <x:v>КМП</x:v>
      </x:c>
      <x:c r="F161" s="21" t="n">
        <x:v>1</x:v>
      </x:c>
      <x:c r="G161" s="17" t="n">
        <x:v>5670.2794</x:v>
      </x:c>
      <x:c r="H161" s="17" t="n">
        <x:f>G161*F161</x:f>
        <x:v>5670.2794</x:v>
      </x:c>
      <x:c r="I161" s="22" t="str">
        <x:f>HYPERLINK("https://etp-aktiv.ru/catalog/materialy/metallokonstrukcii/2000544533-V119/","Открыть позицию")</x:f>
        <x:v>Открыть позицию</x:v>
      </x:c>
    </x:row>
    <x:row r="162" ht="28" customHeight="1">
      <x:c r="A162" s="16" t="str">
        <x:v>Красноярская ТЭЦ-1</x:v>
      </x:c>
      <x:c r="B162" s="16" t="str">
        <x:v>2000555615-V119</x:v>
      </x:c>
      <x:c r="C162" s="16" t="str">
        <x:v>УГОЛОК AISI 304 30*3 ГОСТ8509-93</x:v>
      </x:c>
      <x:c r="D162" s="16" t="str">
        <x:v>М/прокат нерж сталь</x:v>
      </x:c>
      <x:c r="E162" s="16" t="str">
        <x:v>КГ</x:v>
      </x:c>
      <x:c r="F162" s="26" t="n">
        <x:v>4.8</x:v>
      </x:c>
      <x:c r="G162" s="17" t="n">
        <x:v>787.144</x:v>
      </x:c>
      <x:c r="H162" s="17" t="n">
        <x:f>G162*F162</x:f>
        <x:v>3778.2911999999997</x:v>
      </x:c>
      <x:c r="I162" s="22" t="str">
        <x:f>HYPERLINK("https://etp-aktiv.ru/catalog/materialy/metalloprodukciya/2000555615-V119/","Открыть позицию")</x:f>
        <x:v>Открыть позицию</x:v>
      </x:c>
    </x:row>
    <x:row r="163" ht="28" customHeight="1">
      <x:c r="A163" s="16" t="str">
        <x:v>Красноярская ТЭЦ-1</x:v>
      </x:c>
      <x:c r="B163" s="16" t="str">
        <x:v>2000393047-V119</x:v>
      </x:c>
      <x:c r="C163" s="16" t="str">
        <x:v>УГОЛОК С235 63*4 ГОСТ8509-93</x:v>
      </x:c>
      <x:c r="D163" s="16" t="str">
        <x:v>М/прокат черный</x:v>
      </x:c>
      <x:c r="E163" s="16" t="str">
        <x:v>Т</x:v>
      </x:c>
      <x:c r="F163" s="30" t="n">
        <x:v>0.262</x:v>
      </x:c>
      <x:c r="G163" s="17" t="n">
        <x:v>54466.3754</x:v>
      </x:c>
      <x:c r="H163" s="17" t="n">
        <x:f>G163*F163</x:f>
        <x:v>14270.1903548</x:v>
      </x:c>
      <x:c r="I163" s="22" t="str">
        <x:f>HYPERLINK("https://etp-aktiv.ru/catalog/materialy/metalloprodukciya/2000393047-V119/","Открыть позицию")</x:f>
        <x:v>Открыть позицию</x:v>
      </x:c>
    </x:row>
    <x:row r="164" ht="28" customHeight="1">
      <x:c r="A164" s="16" t="str">
        <x:v>Красноярская ТЭЦ-1</x:v>
      </x:c>
      <x:c r="B164" s="16" t="str">
        <x:v>2000555873-V119</x:v>
      </x:c>
      <x:c r="C164" s="16" t="str">
        <x:v>УГОЛОК С245 50*5 ГОСТ8509-93</x:v>
      </x:c>
      <x:c r="D164" s="16" t="str">
        <x:v>М/прокат черный</x:v>
      </x:c>
      <x:c r="E164" s="16" t="str">
        <x:v>Т</x:v>
      </x:c>
      <x:c r="F164" s="30" t="n">
        <x:v>0.116</x:v>
      </x:c>
      <x:c r="G164" s="17" t="n">
        <x:v>114070.03659999999</x:v>
      </x:c>
      <x:c r="H164" s="17" t="n">
        <x:f>G164*F164</x:f>
        <x:v>13232.1242456</x:v>
      </x:c>
      <x:c r="I164" s="22" t="str">
        <x:f>HYPERLINK("https://etp-aktiv.ru/catalog/materialy/metalloprodukciya/2000555873-V119/","Открыть позицию")</x:f>
        <x:v>Открыть позицию</x:v>
      </x:c>
    </x:row>
    <x:row r="165" ht="28" customHeight="1">
      <x:c r="A165" s="16" t="str">
        <x:v>Красноярская ТЭЦ-1</x:v>
      </x:c>
      <x:c r="B165" s="16" t="str">
        <x:v>2000374395-V119</x:v>
      </x:c>
      <x:c r="C165" s="16" t="str">
        <x:v>УГОЛОК СТ3 45*45*5 ГОСТ8509-93</x:v>
      </x:c>
      <x:c r="D165" s="16" t="str">
        <x:v>М/прокат черный</x:v>
      </x:c>
      <x:c r="E165" s="16" t="str">
        <x:v>Т</x:v>
      </x:c>
      <x:c r="F165" s="30" t="n">
        <x:v>0.388</x:v>
      </x:c>
      <x:c r="G165" s="17" t="n">
        <x:v>103227.3232</x:v>
      </x:c>
      <x:c r="H165" s="17" t="n">
        <x:f>G165*F165</x:f>
        <x:v>40052.2014016</x:v>
      </x:c>
      <x:c r="I165" s="22" t="str">
        <x:f>HYPERLINK("https://etp-aktiv.ru/catalog/materialy/metalloprodukciya/2000374395-V119/","Открыть позицию")</x:f>
        <x:v>Открыть позицию</x:v>
      </x:c>
    </x:row>
    <x:row r="166" ht="28" customHeight="1">
      <x:c r="A166" s="16" t="str">
        <x:v>Красноярская ТЭЦ-1</x:v>
      </x:c>
      <x:c r="B166" s="16" t="str">
        <x:v>2000167374-V119</x:v>
      </x:c>
      <x:c r="C166" s="16" t="str">
        <x:v>УГОЛОК СТ3ПС5 40*4 ГОСТ8509-93</x:v>
      </x:c>
      <x:c r="D166" s="16" t="str">
        <x:v>М/прокат черный</x:v>
      </x:c>
      <x:c r="E166" s="16" t="str">
        <x:v>Т</x:v>
      </x:c>
      <x:c r="F166" s="30" t="n">
        <x:v>0.028</x:v>
      </x:c>
      <x:c r="G166" s="17" t="n">
        <x:v>64164.375</x:v>
      </x:c>
      <x:c r="H166" s="17" t="n">
        <x:f>G166*F166</x:f>
        <x:v>1796.6025</x:v>
      </x:c>
      <x:c r="I166" s="22" t="str">
        <x:f>HYPERLINK("https://etp-aktiv.ru/catalog/materialy/metalloprodukciya/2000167374-V119/","Открыть позицию")</x:f>
        <x:v>Открыть позицию</x:v>
      </x:c>
    </x:row>
    <x:row r="167" ht="28" customHeight="1">
      <x:c r="A167" s="16" t="str">
        <x:v>Красноярская ТЭЦ-1</x:v>
      </x:c>
      <x:c r="B167" s="16" t="str">
        <x:v>2000447445-V119</x:v>
      </x:c>
      <x:c r="C167" s="16" t="str">
        <x:v>ШАЙБА М36 СТ08КП ОЦИНК ГОСТ11371-78</x:v>
      </x:c>
      <x:c r="D167" s="16" t="str">
        <x:v>Метизы</x:v>
      </x:c>
      <x:c r="E167" s="16" t="str">
        <x:v>КГ</x:v>
      </x:c>
      <x:c r="F167" s="26" t="n">
        <x:v>6.377</x:v>
      </x:c>
      <x:c r="G167" s="17" t="n">
        <x:v>161.3938</x:v>
      </x:c>
      <x:c r="H167" s="17" t="n">
        <x:f>G167*F167</x:f>
        <x:v>1029.2082626</x:v>
      </x:c>
      <x:c r="I167" s="22" t="str">
        <x:f>HYPERLINK("https://etp-aktiv.ru/catalog/materialy/metizy/2000447445-V119/","Открыть позицию")</x:f>
        <x:v>Открыть позицию</x:v>
      </x:c>
    </x:row>
    <x:row r="168" ht="28" customHeight="1">
      <x:c r="A168" s="16" t="str">
        <x:v>Красноярская ТЭЦ-1</x:v>
      </x:c>
      <x:c r="B168" s="16" t="str">
        <x:v>2000530265-V119</x:v>
      </x:c>
      <x:c r="C168" s="16" t="str">
        <x:v>ШАЙБА ПЛОСКАЯ А.30 016 ГОСТ11371-78</x:v>
      </x:c>
      <x:c r="D168" s="16" t="str">
        <x:v>Метизы</x:v>
      </x:c>
      <x:c r="E168" s="16" t="str">
        <x:v>КГ</x:v>
      </x:c>
      <x:c r="F168" s="26" t="n">
        <x:v>8.8</x:v>
      </x:c>
      <x:c r="G168" s="17" t="n">
        <x:v>128.6002</x:v>
      </x:c>
      <x:c r="H168" s="17" t="n">
        <x:f>G168*F168</x:f>
        <x:v>1131.6817600000002</x:v>
      </x:c>
      <x:c r="I168" s="22" t="str">
        <x:f>HYPERLINK("https://etp-aktiv.ru/catalog/materialy/metizy/2000530265-V119/","Открыть позицию")</x:f>
        <x:v>Открыть позицию</x:v>
      </x:c>
    </x:row>
    <x:row r="169" ht="28" customHeight="1">
      <x:c r="A169" s="16" t="str">
        <x:v>Красноярская ТЭЦ-1</x:v>
      </x:c>
      <x:c r="B169" s="16" t="str">
        <x:v>2000468736-V119</x:v>
      </x:c>
      <x:c r="C169" s="16" t="str">
        <x:v>ШАЙБА ПЛОСКАЯ М30 5,8 ОЦИНК DIN125</x:v>
      </x:c>
      <x:c r="D169" s="16" t="str">
        <x:v>Метизы</x:v>
      </x:c>
      <x:c r="E169" s="16" t="str">
        <x:v>КГ</x:v>
      </x:c>
      <x:c r="F169" s="26" t="n">
        <x:v>2.56</x:v>
      </x:c>
      <x:c r="G169" s="17" t="n">
        <x:v>406.26</x:v>
      </x:c>
      <x:c r="H169" s="17" t="n">
        <x:f>G169*F169</x:f>
        <x:v>1040.0256</x:v>
      </x:c>
      <x:c r="I169" s="22" t="str">
        <x:f>HYPERLINK("https://etp-aktiv.ru/catalog/materialy/metizy/2000468736-V119/","Открыть позицию")</x:f>
        <x:v>Открыть позицию</x:v>
      </x:c>
    </x:row>
    <x:row r="170" ht="28" customHeight="1">
      <x:c r="A170" s="16" t="str">
        <x:v>Красноярская ТЭЦ-1</x:v>
      </x:c>
      <x:c r="B170" s="16" t="str">
        <x:v>2000555738-V119</x:v>
      </x:c>
      <x:c r="C170" s="16" t="str">
        <x:v>ШВЕЛЛЕР 09Г2С 24У ГОСТ8240-97</x:v>
      </x:c>
      <x:c r="D170" s="16" t="str">
        <x:v>М/прокат черный</x:v>
      </x:c>
      <x:c r="E170" s="16" t="str">
        <x:v>Т</x:v>
      </x:c>
      <x:c r="F170" s="30" t="n">
        <x:v>0.056</x:v>
      </x:c>
      <x:c r="G170" s="17" t="n">
        <x:v>113088.2416</x:v>
      </x:c>
      <x:c r="H170" s="17" t="n">
        <x:f>G170*F170</x:f>
        <x:v>6332.9415296</x:v>
      </x:c>
      <x:c r="I170" s="22" t="str">
        <x:f>HYPERLINK("https://etp-aktiv.ru/catalog/materialy/metalloprodukciya/2000555738-V119/","Открыть позицию")</x:f>
        <x:v>Открыть позицию</x:v>
      </x:c>
    </x:row>
    <x:row r="171" ht="28" customHeight="1">
      <x:c r="A171" s="16" t="str">
        <x:v>Красноярская ТЭЦ-1</x:v>
      </x:c>
      <x:c r="B171" s="16" t="str">
        <x:v>2000530402-V119</x:v>
      </x:c>
      <x:c r="C171" s="16" t="str">
        <x:v>ШПИЛЬКА М20*300 ГОСТ22042-76</x:v>
      </x:c>
      <x:c r="D171" s="16" t="str">
        <x:v>Метизы</x:v>
      </x:c>
      <x:c r="E171" s="16" t="str">
        <x:v>ШТ</x:v>
      </x:c>
      <x:c r="F171" s="21" t="n">
        <x:v>332</x:v>
      </x:c>
      <x:c r="G171" s="17" t="n">
        <x:v>176.3998</x:v>
      </x:c>
      <x:c r="H171" s="17" t="n">
        <x:f>G171*F171</x:f>
        <x:v>58564.7336</x:v>
      </x:c>
      <x:c r="I171" s="22" t="str">
        <x:f>HYPERLINK("https://etp-aktiv.ru/catalog/materialy/metizy/2000530402-V119/","Открыть позицию")</x:f>
        <x:v>Открыть позицию</x:v>
      </x:c>
    </x:row>
    <x:row r="172" ht="28" customHeight="1">
      <x:c r="A172" s="16" t="str">
        <x:v>Красноярская ТЭЦ-1</x:v>
      </x:c>
      <x:c r="B172" s="16" t="str">
        <x:v>2000312881-V119</x:v>
      </x:c>
      <x:c r="C172" s="16" t="str">
        <x:v>ШУРУП 3,5*11 DIN7504N</x:v>
      </x:c>
      <x:c r="D172" s="16" t="str">
        <x:v>Метизы</x:v>
      </x:c>
      <x:c r="E172" s="16" t="str">
        <x:v>КГ</x:v>
      </x:c>
      <x:c r="F172" s="30" t="n">
        <x:v>0.1</x:v>
      </x:c>
      <x:c r="G172" s="17" t="n">
        <x:v>35.0018</x:v>
      </x:c>
      <x:c r="H172" s="17" t="n">
        <x:f>G172*F172</x:f>
        <x:v>3.5001800000000003</x:v>
      </x:c>
      <x:c r="I172" s="22" t="str">
        <x:f>HYPERLINK("https://etp-aktiv.ru/catalog/materialy/metizy/2000312881-V119/","Открыть позицию")</x:f>
        <x:v>Открыть позицию</x:v>
      </x:c>
    </x:row>
    <x:row r="173" ht="28" customHeight="1">
      <x:c r="A173" s="16" t="str">
        <x:v>Красноярская ТЭЦ-1</x:v>
      </x:c>
      <x:c r="B173" s="16" t="str">
        <x:v>2000587694-V119</x:v>
      </x:c>
      <x:c r="C173" s="16" t="str">
        <x:v>ЭЛЕКТРОД Т-590 3ММ ГОСТ9466-75</x:v>
      </x:c>
      <x:c r="D173" s="16" t="str">
        <x:v>Сварочные электроды</x:v>
      </x:c>
      <x:c r="E173" s="16" t="str">
        <x:v>Т</x:v>
      </x:c>
      <x:c r="F173" s="30" t="n">
        <x:v>0.005</x:v>
      </x:c>
      <x:c r="G173" s="17" t="n">
        <x:v>144112.5</x:v>
      </x:c>
      <x:c r="H173" s="17" t="n">
        <x:f>G173*F173</x:f>
        <x:v>720.5625</x:v>
      </x:c>
      <x:c r="I173" s="22" t="str">
        <x:f>HYPERLINK("https://etp-aktiv.ru/catalog/materialy/svarochnye-ehlektrody/2000587694-V119/","Открыть позицию")</x:f>
        <x:v>Открыть позицию</x:v>
      </x:c>
    </x:row>
    <x:row r="174" ht="28" customHeight="1">
      <x:c r="A174" s="16" t="str">
        <x:v>Красноярская ТЭЦ-1</x:v>
      </x:c>
      <x:c r="B174" s="16" t="str">
        <x:v>2000577293-V119</x:v>
      </x:c>
      <x:c r="C174" s="16" t="str">
        <x:v>ЭЛЕКТРОД ТМЛ-3У 3ММ ГОСТ9467-75</x:v>
      </x:c>
      <x:c r="D174" s="16" t="str">
        <x:v>Сварочные электроды</x:v>
      </x:c>
      <x:c r="E174" s="16" t="str">
        <x:v>Т</x:v>
      </x:c>
      <x:c r="F174" s="30" t="n">
        <x:v>0.013</x:v>
      </x:c>
      <x:c r="G174" s="17" t="n">
        <x:v>309115.1576</x:v>
      </x:c>
      <x:c r="H174" s="17" t="n">
        <x:f>G174*F174</x:f>
        <x:v>4018.4970487999994</x:v>
      </x:c>
      <x:c r="I174" s="22" t="str">
        <x:f>HYPERLINK("https://etp-aktiv.ru/catalog/materialy/svarochnye-ehlektrody/2000577293-V119/","Открыть позицию")</x:f>
        <x:v>Открыть позицию</x:v>
      </x:c>
    </x:row>
    <x:row r="175" ht="28" customHeight="1">
      <x:c r="A175" s="16" t="str">
        <x:v>Красноярская ТЭЦ-1</x:v>
      </x:c>
      <x:c r="B175" s="16" t="str">
        <x:v>2000015694-V119</x:v>
      </x:c>
      <x:c r="C175" s="16" t="str">
        <x:v>ЭЛЕКТРОД УОНИ-13/45 3ММ ГОСТ9466-75</x:v>
      </x:c>
      <x:c r="D175" s="16" t="str">
        <x:v>Сварочные электроды</x:v>
      </x:c>
      <x:c r="E175" s="16" t="str">
        <x:v>Т</x:v>
      </x:c>
      <x:c r="F175" s="30" t="n">
        <x:v>0.009</x:v>
      </x:c>
      <x:c r="G175" s="17" t="n">
        <x:v>155121.78</x:v>
      </x:c>
      <x:c r="H175" s="17" t="n">
        <x:f>G175*F175</x:f>
        <x:v>1396.09602</x:v>
      </x:c>
      <x:c r="I175" s="22" t="str">
        <x:f>HYPERLINK("https://etp-aktiv.ru/catalog/materialy/svarochnye-ehlektrody/2000015694-V119/","Открыть позицию")</x:f>
        <x:v>Открыть позицию</x:v>
      </x:c>
    </x:row>
    <x:row r="176" ht="28" customHeight="1">
      <x:c r="A176" s="16" t="str">
        <x:v>Красноярская ТЭЦ-1</x:v>
      </x:c>
      <x:c r="B176" s="16" t="str">
        <x:v>2000549853-V119</x:v>
      </x:c>
      <x:c r="C176" s="16" t="str">
        <x:v>ЭЛЕКТРОДОДЕРЖАТЕЛЬ HANDY STYLE 200A ESAB</x:v>
      </x:c>
      <x:c r="D176" s="16" t="str">
        <x:v>Компл,ЗЧ свароч обор</x:v>
      </x:c>
      <x:c r="E176" s="16" t="str">
        <x:v>ШТ</x:v>
      </x:c>
      <x:c r="F176" s="21" t="n">
        <x:v>2</x:v>
      </x:c>
      <x:c r="G176" s="17" t="n">
        <x:v>298.6438</x:v>
      </x:c>
      <x:c r="H176" s="17" t="n">
        <x:f>G176*F176</x:f>
        <x:v>597.2876</x:v>
      </x:c>
      <x:c r="I176" s="22" t="str">
        <x:f>HYPERLINK("https://etp-aktiv.ru/catalog/materialy/zapasnye-chasti-promyshlennogo-oborudovaniya/2000549853-V119/","Открыть позицию")</x:f>
        <x:v>Открыть позицию</x:v>
      </x:c>
    </x:row>
    <x:row r="177" ht="28" customHeight="1">
      <x:c r="A177" s="16" t="str">
        <x:v>Красноярская ТЭЦ-2</x:v>
      </x:c>
      <x:c r="B177" s="16" t="str">
        <x:v>2000481844-V113</x:v>
      </x:c>
      <x:c r="C177" s="16" t="str">
        <x:v>БЛОКИРАТОР ПРОТИВОТАРАННЫЙ ПЗП4000ЭМН</x:v>
      </x:c>
      <x:c r="D177" s="16" t="str">
        <x:v>Металлоконструкции</x:v>
      </x:c>
      <x:c r="E177" s="16" t="str">
        <x:v>КМП</x:v>
      </x:c>
      <x:c r="F177" s="21" t="n">
        <x:v>2</x:v>
      </x:c>
      <x:c r="G177" s="17" t="n">
        <x:v>561200</x:v>
      </x:c>
      <x:c r="H177" s="17" t="n">
        <x:f>G177*F177</x:f>
        <x:v>1122400</x:v>
      </x:c>
      <x:c r="I177" s="22" t="str">
        <x:f>HYPERLINK("https://etp-aktiv.ru/catalog/materialy/metallokonstrukcii/2000481844-V113/","Открыть позицию")</x:f>
        <x:v>Открыть позицию</x:v>
      </x:c>
    </x:row>
    <x:row r="178" ht="28" customHeight="1">
      <x:c r="A178" s="16" t="str">
        <x:v>Красноярская ТЭЦ-2</x:v>
      </x:c>
      <x:c r="B178" s="16" t="str">
        <x:v>2000150088-V113</x:v>
      </x:c>
      <x:c r="C178" s="16" t="str">
        <x:v>ГАЙКА М18 ГОСТ5927-70</x:v>
      </x:c>
      <x:c r="D178" s="16" t="str">
        <x:v>Метизы</x:v>
      </x:c>
      <x:c r="E178" s="16" t="str">
        <x:v>КГ</x:v>
      </x:c>
      <x:c r="F178" s="26" t="n">
        <x:v>6.96</x:v>
      </x:c>
      <x:c r="G178" s="17" t="n">
        <x:v>161.4914</x:v>
      </x:c>
      <x:c r="H178" s="17" t="n">
        <x:f>G178*F178</x:f>
        <x:v>1123.9801439999999</x:v>
      </x:c>
      <x:c r="I178" s="22" t="str">
        <x:f>HYPERLINK("https://etp-aktiv.ru/catalog/materialy/metizy/2000150088-V113/","Открыть позицию")</x:f>
        <x:v>Открыть позицию</x:v>
      </x:c>
    </x:row>
    <x:row r="179" ht="28" customHeight="1">
      <x:c r="A179" s="16" t="str">
        <x:v>Красноярская ТЭЦ-2</x:v>
      </x:c>
      <x:c r="B179" s="16" t="str">
        <x:v>2000467528-V113</x:v>
      </x:c>
      <x:c r="C179" s="16" t="str">
        <x:v>ГАЙКА М48 ГОСТ5915-70</x:v>
      </x:c>
      <x:c r="D179" s="16" t="str">
        <x:v>Метизы</x:v>
      </x:c>
      <x:c r="E179" s="16" t="str">
        <x:v>КГ</x:v>
      </x:c>
      <x:c r="F179" s="30" t="n">
        <x:v>0.4</x:v>
      </x:c>
      <x:c r="G179" s="17" t="n">
        <x:v>245.73239999999998</x:v>
      </x:c>
      <x:c r="H179" s="17" t="n">
        <x:f>G179*F179</x:f>
        <x:v>98.29296</x:v>
      </x:c>
      <x:c r="I179" s="22" t="str">
        <x:f>HYPERLINK("https://etp-aktiv.ru/catalog/materialy/metizy/2000467528-V113/","Открыть позицию")</x:f>
        <x:v>Открыть позицию</x:v>
      </x:c>
    </x:row>
    <x:row r="180" ht="28" customHeight="1">
      <x:c r="A180" s="16" t="str">
        <x:v>Красноярская ТЭЦ-2</x:v>
      </x:c>
      <x:c r="B180" s="16" t="str">
        <x:v>2000068471-V113</x:v>
      </x:c>
      <x:c r="C180" s="16" t="str">
        <x:v>ГАЙКА М5 ГОСТ5915-70</x:v>
      </x:c>
      <x:c r="D180" s="16" t="str">
        <x:v>Метизы</x:v>
      </x:c>
      <x:c r="E180" s="16" t="str">
        <x:v>КГ</x:v>
      </x:c>
      <x:c r="F180" s="21" t="n">
        <x:v>6</x:v>
      </x:c>
      <x:c r="G180" s="17" t="n">
        <x:v>57.462</x:v>
      </x:c>
      <x:c r="H180" s="17" t="n">
        <x:f>G180*F180</x:f>
        <x:v>344.77200000000005</x:v>
      </x:c>
      <x:c r="I180" s="22" t="str">
        <x:f>HYPERLINK("https://etp-aktiv.ru/catalog/materialy/metizy/2000068471-V113/","Открыть позицию")</x:f>
        <x:v>Открыть позицию</x:v>
      </x:c>
    </x:row>
    <x:row r="181" ht="28" customHeight="1">
      <x:c r="A181" s="16" t="str">
        <x:v>Красноярская ТЭЦ-2</x:v>
      </x:c>
      <x:c r="B181" s="16" t="str">
        <x:v>2000555902-V113</x:v>
      </x:c>
      <x:c r="C181" s="16" t="str">
        <x:v>ЛИСТ СТ20 6ММ ГОСТ1577-93</x:v>
      </x:c>
      <x:c r="D181" s="16" t="str">
        <x:v>М/прокат черный</x:v>
      </x:c>
      <x:c r="E181" s="16" t="str">
        <x:v>Т</x:v>
      </x:c>
      <x:c r="F181" s="30" t="n">
        <x:v>0.424</x:v>
      </x:c>
      <x:c r="G181" s="17" t="n">
        <x:v>92892.41040000001</x:v>
      </x:c>
      <x:c r="H181" s="17" t="n">
        <x:f>G181*F181</x:f>
        <x:v>39386.382009600005</x:v>
      </x:c>
      <x:c r="I181" s="22" t="str">
        <x:f>HYPERLINK("https://etp-aktiv.ru/catalog/materialy/metalloprodukciya/2000555902-V113/","Открыть позицию")</x:f>
        <x:v>Открыть позицию</x:v>
      </x:c>
    </x:row>
    <x:row r="182" ht="28" customHeight="1">
      <x:c r="A182" s="16" t="str">
        <x:v>Красноярская ТЭЦ-2</x:v>
      </x:c>
      <x:c r="B182" s="16" t="str">
        <x:v>2000210536-V113</x:v>
      </x:c>
      <x:c r="C182" s="16" t="str">
        <x:v>ЛИСТ СТ3 1000*2400 ГОСТ8706-78</x:v>
      </x:c>
      <x:c r="D182" s="16" t="str">
        <x:v>М/прокат черный</x:v>
      </x:c>
      <x:c r="E182" s="16" t="str">
        <x:v>Т</x:v>
      </x:c>
      <x:c r="F182" s="30" t="n">
        <x:v>0.739</x:v>
      </x:c>
      <x:c r="G182" s="17" t="n">
        <x:v>32915.5024</x:v>
      </x:c>
      <x:c r="H182" s="17" t="n">
        <x:f>G182*F182</x:f>
        <x:v>24324.5562736</x:v>
      </x:c>
      <x:c r="I182" s="22" t="str">
        <x:f>HYPERLINK("https://etp-aktiv.ru/catalog/materialy/metalloprodukciya/2000210536-V113/","Открыть позицию")</x:f>
        <x:v>Открыть позицию</x:v>
      </x:c>
    </x:row>
    <x:row r="183" ht="28" customHeight="1">
      <x:c r="A183" s="16" t="str">
        <x:v>Красноярская ТЭЦ-2</x:v>
      </x:c>
      <x:c r="B183" s="16" t="str">
        <x:v>2000556245-V113</x:v>
      </x:c>
      <x:c r="C183" s="16" t="str">
        <x:v>ОЛОВО ПТ О1 8ММ ГОСТ860-75</x:v>
      </x:c>
      <x:c r="D183" s="16" t="str">
        <x:v>М/прокат цветной</x:v>
      </x:c>
      <x:c r="E183" s="16" t="str">
        <x:v>КГ</x:v>
      </x:c>
      <x:c r="F183" s="21" t="n">
        <x:v>0</x:v>
      </x:c>
      <x:c r="G183" s="17" t="n">
        <x:v>2318</x:v>
      </x:c>
      <x:c r="H183" s="17" t="n">
        <x:f>G183*F183</x:f>
        <x:v>0</x:v>
      </x:c>
      <x:c r="I183" s="22" t="str">
        <x:f>HYPERLINK("https://etp-aktiv.ru/catalog/materialy/metalloprodukciya/2000556245-V113/","Открыть позицию")</x:f>
        <x:v>Открыть позицию</x:v>
      </x:c>
    </x:row>
    <x:row r="184" ht="28" customHeight="1">
      <x:c r="A184" s="16" t="str">
        <x:v>Красноярская ТЭЦ-2</x:v>
      </x:c>
      <x:c r="B184" s="16" t="str">
        <x:v>2000556285-V113</x:v>
      </x:c>
      <x:c r="C184" s="16" t="str">
        <x:v>ПРОВОЛОКА С-2 D3ММ ТУ48-21-792-85</x:v>
      </x:c>
      <x:c r="D184" s="16" t="str">
        <x:v>М/прокат цветной</x:v>
      </x:c>
      <x:c r="E184" s="16" t="str">
        <x:v>КГ</x:v>
      </x:c>
      <x:c r="F184" s="21" t="n">
        <x:v>1</x:v>
      </x:c>
      <x:c r="G184" s="17" t="n">
        <x:v>122</x:v>
      </x:c>
      <x:c r="H184" s="17" t="n">
        <x:f>G184*F184</x:f>
        <x:v>122</x:v>
      </x:c>
      <x:c r="I184" s="22" t="str">
        <x:f>HYPERLINK("https://etp-aktiv.ru/catalog/materialy/metalloprodukciya/2000556285-V113/","Открыть позицию")</x:f>
        <x:v>Открыть позицию</x:v>
      </x:c>
    </x:row>
    <x:row r="185" ht="28" customHeight="1">
      <x:c r="A185" s="16" t="str">
        <x:v>Красноярская ТЭЦ-2</x:v>
      </x:c>
      <x:c r="B185" s="16" t="str">
        <x:v>2000546353-V113</x:v>
      </x:c>
      <x:c r="C185" s="16" t="str">
        <x:v>ПРОВОЛОКА СВ04Х19Н11М3 D2ММ ГОСТ2246-70</x:v>
      </x:c>
      <x:c r="D185" s="16" t="str">
        <x:v>Сварочные электроды</x:v>
      </x:c>
      <x:c r="E185" s="16" t="str">
        <x:v>КГ</x:v>
      </x:c>
      <x:c r="F185" s="21" t="n">
        <x:v>30</x:v>
      </x:c>
      <x:c r="G185" s="17" t="n">
        <x:v>510.98479999999995</x:v>
      </x:c>
      <x:c r="H185" s="17" t="n">
        <x:f>G185*F185</x:f>
        <x:v>15329.543999999998</x:v>
      </x:c>
      <x:c r="I185" s="22" t="str">
        <x:f>HYPERLINK("https://etp-aktiv.ru/catalog/materialy/svarochnye-ehlektrody/2000546353-V113/","Открыть позицию")</x:f>
        <x:v>Открыть позицию</x:v>
      </x:c>
    </x:row>
    <x:row r="186" ht="28" customHeight="1">
      <x:c r="A186" s="16" t="str">
        <x:v>Красноярская ТЭЦ-2</x:v>
      </x:c>
      <x:c r="B186" s="16" t="str">
        <x:v>2000546356-V113</x:v>
      </x:c>
      <x:c r="C186" s="16" t="str">
        <x:v>ПРОВОЛОКА СВ07Х25Н13 D2ММ ГОСТ2246-70</x:v>
      </x:c>
      <x:c r="D186" s="16" t="str">
        <x:v>Сварочные электроды</x:v>
      </x:c>
      <x:c r="E186" s="16" t="str">
        <x:v>КГ</x:v>
      </x:c>
      <x:c r="F186" s="26" t="n">
        <x:v>13.8</x:v>
      </x:c>
      <x:c r="G186" s="17" t="n">
        <x:v>869.7014</x:v>
      </x:c>
      <x:c r="H186" s="17" t="n">
        <x:f>G186*F186</x:f>
        <x:v>12001.879320000002</x:v>
      </x:c>
      <x:c r="I186" s="22" t="str">
        <x:f>HYPERLINK("https://etp-aktiv.ru/catalog/materialy/svarochnye-ehlektrody/2000546356-V113/","Открыть позицию")</x:f>
        <x:v>Открыть позицию</x:v>
      </x:c>
    </x:row>
    <x:row r="187" ht="28" customHeight="1">
      <x:c r="A187" s="16" t="str">
        <x:v>Красноярская ТЭЦ-2</x:v>
      </x:c>
      <x:c r="B187" s="16" t="str">
        <x:v>2000546359-V113</x:v>
      </x:c>
      <x:c r="C187" s="16" t="str">
        <x:v>ПРОВОЛОКА СВ08Х19Н10Г2Б D2ММ ГОСТ2246-70</x:v>
      </x:c>
      <x:c r="D187" s="16" t="str">
        <x:v>Сварочные электроды</x:v>
      </x:c>
      <x:c r="E187" s="16" t="str">
        <x:v>КГ</x:v>
      </x:c>
      <x:c r="F187" s="21" t="n">
        <x:v>34</x:v>
      </x:c>
      <x:c r="G187" s="17" t="n">
        <x:v>438.651</x:v>
      </x:c>
      <x:c r="H187" s="17" t="n">
        <x:f>G187*F187</x:f>
        <x:v>14914.134</x:v>
      </x:c>
      <x:c r="I187" s="22" t="str">
        <x:f>HYPERLINK("https://etp-aktiv.ru/catalog/materialy/svarochnye-ehlektrody/2000546359-V113/","Открыть позицию")</x:f>
        <x:v>Открыть позицию</x:v>
      </x:c>
    </x:row>
    <x:row r="188" ht="28" customHeight="1">
      <x:c r="A188" s="16" t="str">
        <x:v>Красноярская ТЭЦ-2</x:v>
      </x:c>
      <x:c r="B188" s="16" t="str">
        <x:v>2000556328-V113</x:v>
      </x:c>
      <x:c r="C188" s="16" t="str">
        <x:v>ПРУТОК Д16.Т КР60 ГОСТ21488-97</x:v>
      </x:c>
      <x:c r="D188" s="16" t="str">
        <x:v>М/прокат цветной</x:v>
      </x:c>
      <x:c r="E188" s="16" t="str">
        <x:v>КГ</x:v>
      </x:c>
      <x:c r="F188" s="26" t="n">
        <x:v>23.4</x:v>
      </x:c>
      <x:c r="G188" s="17" t="n">
        <x:v>230.57999999999998</x:v>
      </x:c>
      <x:c r="H188" s="17" t="n">
        <x:f>G188*F188</x:f>
        <x:v>5395.571999999999</x:v>
      </x:c>
      <x:c r="I188" s="22" t="str">
        <x:f>HYPERLINK("https://etp-aktiv.ru/catalog/materialy/metalloprodukciya/2000556328-V113/","Открыть позицию")</x:f>
        <x:v>Открыть позицию</x:v>
      </x:c>
    </x:row>
    <x:row r="189" ht="28" customHeight="1">
      <x:c r="A189" s="16" t="str">
        <x:v>Красноярская ТЭЦ-2</x:v>
      </x:c>
      <x:c r="B189" s="16" t="str">
        <x:v>2000556391-V113</x:v>
      </x:c>
      <x:c r="C189" s="16" t="str">
        <x:v>ПРУТОК М1 D4ММ ГОСТ1535-2006</x:v>
      </x:c>
      <x:c r="D189" s="16" t="str">
        <x:v>М/прокат цветной</x:v>
      </x:c>
      <x:c r="E189" s="16" t="str">
        <x:v>КГ</x:v>
      </x:c>
      <x:c r="F189" s="21" t="n">
        <x:v>0</x:v>
      </x:c>
      <x:c r="G189" s="17" t="n">
        <x:v>1000.4</x:v>
      </x:c>
      <x:c r="H189" s="17" t="n">
        <x:f>G189*F189</x:f>
        <x:v>0</x:v>
      </x:c>
      <x:c r="I189" s="22" t="str">
        <x:f>HYPERLINK("https://etp-aktiv.ru/catalog/materialy/metalloprodukciya/2000556391-V113/","Открыть позицию")</x:f>
        <x:v>Открыть позицию</x:v>
      </x:c>
    </x:row>
    <x:row r="190" ht="28" customHeight="1">
      <x:c r="A190" s="16" t="str">
        <x:v>Красноярская ТЭЦ-2</x:v>
      </x:c>
      <x:c r="B190" s="16" t="str">
        <x:v>2000045310-V113</x:v>
      </x:c>
      <x:c r="C190" s="16" t="str">
        <x:v>ШАЙБА М36 65Г ГРОВЕР ГОСТ6402-70</x:v>
      </x:c>
      <x:c r="D190" s="16" t="str">
        <x:v>Метизы Спец</x:v>
      </x:c>
      <x:c r="E190" s="16" t="str">
        <x:v>Т</x:v>
      </x:c>
      <x:c r="F190" s="30" t="n">
        <x:v>0.006</x:v>
      </x:c>
      <x:c r="G190" s="17" t="n">
        <x:v>100329.75</x:v>
      </x:c>
      <x:c r="H190" s="17" t="n">
        <x:f>G190*F190</x:f>
        <x:v>601.9785</x:v>
      </x:c>
      <x:c r="I190" s="22" t="str">
        <x:f>HYPERLINK("https://etp-aktiv.ru/catalog/materialy/metizy/2000045310-V113/","Открыть позицию")</x:f>
        <x:v>Открыть позицию</x:v>
      </x:c>
    </x:row>
    <x:row r="191" ht="28" customHeight="1">
      <x:c r="A191" s="16" t="str">
        <x:v>Красноярская ТЭЦ-2</x:v>
      </x:c>
      <x:c r="B191" s="16" t="str">
        <x:v>2000276128-V113</x:v>
      </x:c>
      <x:c r="C191" s="16" t="str">
        <x:v>ШАЙБА ПЛОСКАЯ М5 8.8 ОЦИНК DIN125</x:v>
      </x:c>
      <x:c r="D191" s="16" t="str">
        <x:v>Метизы Спец</x:v>
      </x:c>
      <x:c r="E191" s="16" t="str">
        <x:v>КГ</x:v>
      </x:c>
      <x:c r="F191" s="21" t="n">
        <x:v>1</x:v>
      </x:c>
      <x:c r="G191" s="17" t="n">
        <x:v>97.24619999999999</x:v>
      </x:c>
      <x:c r="H191" s="17" t="n">
        <x:f>G191*F191</x:f>
        <x:v>97.24619999999999</x:v>
      </x:c>
      <x:c r="I191" s="22" t="str">
        <x:f>HYPERLINK("https://etp-aktiv.ru/catalog/materialy/metizy/2000276128-V113/","Открыть позицию")</x:f>
        <x:v>Открыть позицию</x:v>
      </x:c>
    </x:row>
    <x:row r="192" ht="28" customHeight="1">
      <x:c r="A192" s="16" t="str">
        <x:v>Красноярская ТЭЦ-2</x:v>
      </x:c>
      <x:c r="B192" s="16" t="str">
        <x:v>2000555837-V113</x:v>
      </x:c>
      <x:c r="C192" s="16" t="str">
        <x:v>ШЕСТИГРАННИК СТ20 12ММ ГОСТ2879-2006</x:v>
      </x:c>
      <x:c r="D192" s="16" t="str">
        <x:v>М/прокат прочий</x:v>
      </x:c>
      <x:c r="E192" s="16" t="str">
        <x:v>Т</x:v>
      </x:c>
      <x:c r="F192" s="30" t="n">
        <x:v>0.121</x:v>
      </x:c>
      <x:c r="G192" s="17" t="n">
        <x:v>78747.1936</x:v>
      </x:c>
      <x:c r="H192" s="17" t="n">
        <x:f>G192*F192</x:f>
        <x:v>9528.4104256</x:v>
      </x:c>
      <x:c r="I192" s="22" t="str">
        <x:f>HYPERLINK("https://etp-aktiv.ru/catalog/materialy/metalloprodukciya/2000555837-V113/","Открыть позицию")</x:f>
        <x:v>Открыть позицию</x:v>
      </x:c>
    </x:row>
    <x:row r="193" ht="28" customHeight="1">
      <x:c r="A193" s="16" t="str">
        <x:v>Красноярская ТЭЦ-3</x:v>
      </x:c>
      <x:c r="B193" s="16" t="str">
        <x:v>2000184153-V114</x:v>
      </x:c>
      <x:c r="C193" s="16" t="str">
        <x:v>БАЛКА СТ3ПС5 36М ГОСТ19425-74</x:v>
      </x:c>
      <x:c r="D193" s="16" t="str">
        <x:v>М/прокат черный</x:v>
      </x:c>
      <x:c r="E193" s="16" t="str">
        <x:v>Т</x:v>
      </x:c>
      <x:c r="F193" s="30" t="n">
        <x:v>0.228</x:v>
      </x:c>
      <x:c r="G193" s="17" t="n">
        <x:v>50839.6936</x:v>
      </x:c>
      <x:c r="H193" s="17" t="n">
        <x:f>G193*F193</x:f>
        <x:v>11591.4501408</x:v>
      </x:c>
      <x:c r="I193" s="22" t="str">
        <x:f>HYPERLINK("https://etp-aktiv.ru/catalog/materialy/metalloprodukciya/2000184153-V114/","Открыть позицию")</x:f>
        <x:v>Открыть позицию</x:v>
      </x:c>
    </x:row>
    <x:row r="194" ht="28" customHeight="1">
      <x:c r="A194" s="16" t="str">
        <x:v>Красноярская ТЭЦ-3</x:v>
      </x:c>
      <x:c r="B194" s="16" t="str">
        <x:v>2000150088-V114</x:v>
      </x:c>
      <x:c r="C194" s="16" t="str">
        <x:v>ГАЙКА М18 ГОСТ5927-70</x:v>
      </x:c>
      <x:c r="D194" s="16" t="str">
        <x:v>Метизы</x:v>
      </x:c>
      <x:c r="E194" s="16" t="str">
        <x:v>КГ</x:v>
      </x:c>
      <x:c r="F194" s="26" t="n">
        <x:v>1.1</x:v>
      </x:c>
      <x:c r="G194" s="17" t="n">
        <x:v>287.0904</x:v>
      </x:c>
      <x:c r="H194" s="17" t="n">
        <x:f>G194*F194</x:f>
        <x:v>315.79944</x:v>
      </x:c>
      <x:c r="I194" s="22" t="str">
        <x:f>HYPERLINK("https://etp-aktiv.ru/catalog/materialy/metizy/2000150088-V114/","Открыть позицию")</x:f>
        <x:v>Открыть позицию</x:v>
      </x:c>
    </x:row>
    <x:row r="195" ht="28" customHeight="1">
      <x:c r="A195" s="16" t="str">
        <x:v>Красноярская ТЭЦ-3</x:v>
      </x:c>
      <x:c r="B195" s="16" t="str">
        <x:v>2000467528-V114</x:v>
      </x:c>
      <x:c r="C195" s="16" t="str">
        <x:v>ГАЙКА М48 ГОСТ5915-70</x:v>
      </x:c>
      <x:c r="D195" s="16" t="str">
        <x:v>Метизы</x:v>
      </x:c>
      <x:c r="E195" s="16" t="str">
        <x:v>КГ</x:v>
      </x:c>
      <x:c r="F195" s="26" t="n">
        <x:v>48.6</x:v>
      </x:c>
      <x:c r="G195" s="17" t="n">
        <x:v>327.6432</x:v>
      </x:c>
      <x:c r="H195" s="17" t="n">
        <x:f>G195*F195</x:f>
        <x:v>15923.45952</x:v>
      </x:c>
      <x:c r="I195" s="22" t="str">
        <x:f>HYPERLINK("https://etp-aktiv.ru/catalog/materialy/metizy/2000467528-V114/","Открыть позицию")</x:f>
        <x:v>Открыть позицию</x:v>
      </x:c>
    </x:row>
    <x:row r="196" ht="28" customHeight="1">
      <x:c r="A196" s="16" t="str">
        <x:v>Красноярская ТЭЦ-3</x:v>
      </x:c>
      <x:c r="B196" s="16" t="str">
        <x:v>2000208374-V114</x:v>
      </x:c>
      <x:c r="C196" s="16" t="str">
        <x:v>ГАЙКА М6 8.8 ОЦИНК DIN934</x:v>
      </x:c>
      <x:c r="D196" s="16" t="str">
        <x:v>Метизы</x:v>
      </x:c>
      <x:c r="E196" s="16" t="str">
        <x:v>КГ</x:v>
      </x:c>
      <x:c r="F196" s="26" t="n">
        <x:v>66.887</x:v>
      </x:c>
      <x:c r="G196" s="17" t="n">
        <x:v>173.0082</x:v>
      </x:c>
      <x:c r="H196" s="17" t="n">
        <x:f>G196*F196</x:f>
        <x:v>11571.9994734</x:v>
      </x:c>
      <x:c r="I196" s="22" t="str">
        <x:f>HYPERLINK("https://etp-aktiv.ru/catalog/materialy/metizy/2000208374-V114/","Открыть позицию")</x:f>
        <x:v>Открыть позицию</x:v>
      </x:c>
    </x:row>
    <x:row r="197" ht="28" customHeight="1">
      <x:c r="A197" s="16" t="str">
        <x:v>Красноярская ТЭЦ-3</x:v>
      </x:c>
      <x:c r="B197" s="16" t="str">
        <x:v>2000457367-V114</x:v>
      </x:c>
      <x:c r="C197" s="16" t="str">
        <x:v>ДВУТАВР С255 35Б1 ГОСТ27772-88</x:v>
      </x:c>
      <x:c r="D197" s="16" t="str">
        <x:v>М/прокат черный</x:v>
      </x:c>
      <x:c r="E197" s="16" t="str">
        <x:v>Т</x:v>
      </x:c>
      <x:c r="F197" s="30" t="n">
        <x:v>0.263</x:v>
      </x:c>
      <x:c r="G197" s="17" t="n">
        <x:v>38509.0194</x:v>
      </x:c>
      <x:c r="H197" s="17" t="n">
        <x:f>G197*F197</x:f>
        <x:v>10127.872102199999</x:v>
      </x:c>
      <x:c r="I197" s="22" t="str">
        <x:f>HYPERLINK("https://etp-aktiv.ru/catalog/materialy/metalloprodukciya/2000457367-V114/","Открыть позицию")</x:f>
        <x:v>Открыть позицию</x:v>
      </x:c>
    </x:row>
    <x:row r="198" ht="28" customHeight="1">
      <x:c r="A198" s="16" t="str">
        <x:v>Красноярская ТЭЦ-3</x:v>
      </x:c>
      <x:c r="B198" s="16" t="str">
        <x:v>2000556211-V114</x:v>
      </x:c>
      <x:c r="C198" s="16" t="str">
        <x:v>ЛИСТ ГПРНМ М1 2*600*1500 ГОСТ1173-06</x:v>
      </x:c>
      <x:c r="D198" s="16" t="str">
        <x:v>М/прокат цветной</x:v>
      </x:c>
      <x:c r="E198" s="16" t="str">
        <x:v>КГ</x:v>
      </x:c>
      <x:c r="F198" s="26" t="n">
        <x:v>46.6</x:v>
      </x:c>
      <x:c r="G198" s="17" t="n">
        <x:v>1037</x:v>
      </x:c>
      <x:c r="H198" s="17" t="n">
        <x:f>G198*F198</x:f>
        <x:v>48324.200000000004</x:v>
      </x:c>
      <x:c r="I198" s="22" t="str">
        <x:f>HYPERLINK("https://etp-aktiv.ru/catalog/materialy/metalloprodukciya/2000556211-V114/","Открыть позицию")</x:f>
        <x:v>Открыть позицию</x:v>
      </x:c>
    </x:row>
    <x:row r="199" ht="28" customHeight="1">
      <x:c r="A199" s="16" t="str">
        <x:v>Красноярская ТЭЦ-3</x:v>
      </x:c>
      <x:c r="B199" s="16" t="str">
        <x:v>2000556220-V114</x:v>
      </x:c>
      <x:c r="C199" s="16" t="str">
        <x:v>ЛИСТ ДПРНМ М1 2*600*1500 ГОСТ1173-06</x:v>
      </x:c>
      <x:c r="D199" s="16" t="str">
        <x:v>М/прокат цветной</x:v>
      </x:c>
      <x:c r="E199" s="16" t="str">
        <x:v>КГ</x:v>
      </x:c>
      <x:c r="F199" s="26" t="n">
        <x:v>74.6</x:v>
      </x:c>
      <x:c r="G199" s="17" t="n">
        <x:v>1037</x:v>
      </x:c>
      <x:c r="H199" s="17" t="n">
        <x:f>G199*F199</x:f>
        <x:v>77360.2</x:v>
      </x:c>
      <x:c r="I199" s="22" t="str">
        <x:f>HYPERLINK("https://etp-aktiv.ru/catalog/materialy/metalloprodukciya/2000556220-V114/","Открыть позицию")</x:f>
        <x:v>Открыть позицию</x:v>
      </x:c>
    </x:row>
    <x:row r="200" ht="28" customHeight="1">
      <x:c r="A200" s="16" t="str">
        <x:v>Красноярская ТЭЦ-3</x:v>
      </x:c>
      <x:c r="B200" s="16" t="str">
        <x:v>2000067875-V114</x:v>
      </x:c>
      <x:c r="C200" s="16" t="str">
        <x:v>ЛИСТ М1 2*600*1500 ГОСТ1173-06</x:v>
      </x:c>
      <x:c r="D200" s="16" t="str">
        <x:v>М/прокат цветной</x:v>
      </x:c>
      <x:c r="E200" s="16" t="str">
        <x:v>КГ</x:v>
      </x:c>
      <x:c r="F200" s="21" t="n">
        <x:v>50</x:v>
      </x:c>
      <x:c r="G200" s="17" t="n">
        <x:v>1037</x:v>
      </x:c>
      <x:c r="H200" s="17" t="n">
        <x:f>G200*F200</x:f>
        <x:v>51850</x:v>
      </x:c>
      <x:c r="I200" s="22" t="str">
        <x:f>HYPERLINK("https://etp-aktiv.ru/catalog/materialy/metalloprodukciya/2000067875-V114/","Открыть позицию")</x:f>
        <x:v>Открыть позицию</x:v>
      </x:c>
    </x:row>
    <x:row r="201" ht="28" customHeight="1">
      <x:c r="A201" s="16" t="str">
        <x:v>Красноярская ТЭЦ-3</x:v>
      </x:c>
      <x:c r="B201" s="16" t="str">
        <x:v>2000730851-V114</x:v>
      </x:c>
      <x:c r="C201" s="16" t="str">
        <x:v>ЛИСТ ОЦ 08КП 0,8*800*1000 ГОСТ14918-80</x:v>
      </x:c>
      <x:c r="D201" s="16" t="str">
        <x:v>М/прокат черный</x:v>
      </x:c>
      <x:c r="E201" s="16" t="str">
        <x:v>Т</x:v>
      </x:c>
      <x:c r="F201" s="30" t="n">
        <x:v>0.191</x:v>
      </x:c>
      <x:c r="G201" s="17" t="n">
        <x:v>118829.84219999998</x:v>
      </x:c>
      <x:c r="H201" s="17" t="n">
        <x:f>G201*F201</x:f>
        <x:v>22696.499860199998</x:v>
      </x:c>
      <x:c r="I201" s="22" t="str">
        <x:f>HYPERLINK("https://etp-aktiv.ru/catalog/materialy/metalloprodukciya/2000730851-V114/","Открыть позицию")</x:f>
        <x:v>Открыть позицию</x:v>
      </x:c>
    </x:row>
    <x:row r="202" ht="28" customHeight="1">
      <x:c r="A202" s="16" t="str">
        <x:v>Красноярская ТЭЦ-3</x:v>
      </x:c>
      <x:c r="B202" s="16" t="str">
        <x:v>2000609503-V114</x:v>
      </x:c>
      <x:c r="C202" s="16" t="str">
        <x:v>ПРИПОЙ HTS-528 460*3</x:v>
      </x:c>
      <x:c r="D202" s="16" t="str">
        <x:v>М/прокат цветной</x:v>
      </x:c>
      <x:c r="E202" s="16" t="str">
        <x:v>ШТ</x:v>
      </x:c>
      <x:c r="F202" s="21" t="n">
        <x:v>81</x:v>
      </x:c>
      <x:c r="G202" s="17" t="n">
        <x:v>266.63100000000003</x:v>
      </x:c>
      <x:c r="H202" s="17" t="n">
        <x:f>G202*F202</x:f>
        <x:v>21597.111</x:v>
      </x:c>
      <x:c r="I202" s="22" t="str">
        <x:f>HYPERLINK("https://etp-aktiv.ru/catalog/materialy/metalloprodukciya/2000609503-V114/","Открыть позицию")</x:f>
        <x:v>Открыть позицию</x:v>
      </x:c>
    </x:row>
    <x:row r="203" ht="28" customHeight="1">
      <x:c r="A203" s="16" t="str">
        <x:v>Красноярская ТЭЦ-3</x:v>
      </x:c>
      <x:c r="B203" s="16" t="str">
        <x:v>2000330125-V114</x:v>
      </x:c>
      <x:c r="C203" s="16" t="str">
        <x:v>ПРИПОЙ АЛЮМИНИЯ HTS-2000</x:v>
      </x:c>
      <x:c r="D203" s="16" t="str">
        <x:v>М/прокат цветной</x:v>
      </x:c>
      <x:c r="E203" s="16" t="str">
        <x:v>ШТ</x:v>
      </x:c>
      <x:c r="F203" s="21" t="n">
        <x:v>9</x:v>
      </x:c>
      <x:c r="G203" s="17" t="n">
        <x:v>144.5578</x:v>
      </x:c>
      <x:c r="H203" s="17" t="n">
        <x:f>G203*F203</x:f>
        <x:v>1301.0202</x:v>
      </x:c>
      <x:c r="I203" s="22" t="str">
        <x:f>HYPERLINK("https://etp-aktiv.ru/catalog/materialy/metalloprodukciya/2000330125-V114/","Открыть позицию")</x:f>
        <x:v>Открыть позицию</x:v>
      </x:c>
    </x:row>
    <x:row r="204" ht="28" customHeight="1">
      <x:c r="A204" s="16" t="str">
        <x:v>Красноярская ТЭЦ-3</x:v>
      </x:c>
      <x:c r="B204" s="16" t="str">
        <x:v>2000556256-V114</x:v>
      </x:c>
      <x:c r="C204" s="16" t="str">
        <x:v>ПРИПОЙ ПМФОЦР 6-4-0,03 3,0ММ ТУ48-21-663</x:v>
      </x:c>
      <x:c r="D204" s="16" t="str">
        <x:v>М/прокат цветной</x:v>
      </x:c>
      <x:c r="E204" s="16" t="str">
        <x:v>КГ</x:v>
      </x:c>
      <x:c r="F204" s="26" t="n">
        <x:v>1.075</x:v>
      </x:c>
      <x:c r="G204" s="17" t="n">
        <x:v>6182.7526</x:v>
      </x:c>
      <x:c r="H204" s="17" t="n">
        <x:f>G204*F204</x:f>
        <x:v>6646.459045</x:v>
      </x:c>
      <x:c r="I204" s="22" t="str">
        <x:f>HYPERLINK("https://etp-aktiv.ru/catalog/materialy/metalloprodukciya/2000556256-V114/","Открыть позицию")</x:f>
        <x:v>Открыть позицию</x:v>
      </x:c>
    </x:row>
    <x:row r="205" ht="28" customHeight="1">
      <x:c r="A205" s="16" t="str">
        <x:v>Красноярская ТЭЦ-3</x:v>
      </x:c>
      <x:c r="B205" s="16" t="str">
        <x:v>2000546374-V114</x:v>
      </x:c>
      <x:c r="C205" s="16" t="str">
        <x:v>ПРОВОЛОКА СВ08Г2С-О D2ММ ГОСТ2246-70</x:v>
      </x:c>
      <x:c r="D205" s="16" t="str">
        <x:v>Сварочные электроды</x:v>
      </x:c>
      <x:c r="E205" s="16" t="str">
        <x:v>КГ</x:v>
      </x:c>
      <x:c r="F205" s="30" t="n">
        <x:v>0.2</x:v>
      </x:c>
      <x:c r="G205" s="17" t="n">
        <x:v>289.445</x:v>
      </x:c>
      <x:c r="H205" s="17" t="n">
        <x:f>G205*F205</x:f>
        <x:v>57.889</x:v>
      </x:c>
      <x:c r="I205" s="22" t="str">
        <x:f>HYPERLINK("https://etp-aktiv.ru/catalog/materialy/svarochnye-ehlektrody/2000546374-V114/","Открыть позицию")</x:f>
        <x:v>Открыть позицию</x:v>
      </x:c>
    </x:row>
    <x:row r="206" ht="28" customHeight="1">
      <x:c r="A206" s="16" t="str">
        <x:v>Красноярская ТЭЦ-3</x:v>
      </x:c>
      <x:c r="B206" s="16" t="str">
        <x:v>2000190445-V114</x:v>
      </x:c>
      <x:c r="C206" s="16" t="str">
        <x:v>РЕДУКТОР КИСЛОРОДНЫЙ БКО-50-КР1</x:v>
      </x:c>
      <x:c r="D206" s="16" t="str">
        <x:v>Компл,ЗЧ свароч обор</x:v>
      </x:c>
      <x:c r="E206" s="16" t="str">
        <x:v>ШТ</x:v>
      </x:c>
      <x:c r="F206" s="21" t="n">
        <x:v>1</x:v>
      </x:c>
      <x:c r="G206" s="17" t="n">
        <x:v>787.5831999999999</x:v>
      </x:c>
      <x:c r="H206" s="17" t="n">
        <x:f>G206*F206</x:f>
        <x:v>787.5831999999999</x:v>
      </x:c>
      <x:c r="I206" s="22" t="str">
        <x:f>HYPERLINK("https://etp-aktiv.ru/catalog/materialy/zapasnye-chasti-promyshlennogo-oborudovaniya/2000190445-V114/","Открыть позицию")</x:f>
        <x:v>Открыть позицию</x:v>
      </x:c>
    </x:row>
    <x:row r="207" ht="28" customHeight="1">
      <x:c r="A207" s="16" t="str">
        <x:v>Красноярская ТЭЦ-3</x:v>
      </x:c>
      <x:c r="B207" s="16" t="str">
        <x:v>2000007958-V114</x:v>
      </x:c>
      <x:c r="C207" s="16" t="str">
        <x:v>СЕТКА ТКАНАЯ 1*1*0,4 ГОСТ3826-82</x:v>
      </x:c>
      <x:c r="D207" s="16" t="str">
        <x:v>Метизы Спец</x:v>
      </x:c>
      <x:c r="E207" s="16" t="str">
        <x:v>М2</x:v>
      </x:c>
      <x:c r="F207" s="26" t="n">
        <x:v>35.75</x:v>
      </x:c>
      <x:c r="G207" s="17" t="n">
        <x:v>2000.0924</x:v>
      </x:c>
      <x:c r="H207" s="17" t="n">
        <x:f>G207*F207</x:f>
        <x:v>71503.3033</x:v>
      </x:c>
      <x:c r="I207" s="22" t="str">
        <x:f>HYPERLINK("https://etp-aktiv.ru/catalog/materialy/metizy/2000007958-V114/","Открыть позицию")</x:f>
        <x:v>Открыть позицию</x:v>
      </x:c>
    </x:row>
    <x:row r="208" ht="28" customHeight="1">
      <x:c r="A208" s="16" t="str">
        <x:v>Красноярская ТЭЦ-3</x:v>
      </x:c>
      <x:c r="B208" s="16" t="str">
        <x:v>2000785334-V114</x:v>
      </x:c>
      <x:c r="C208" s="16" t="str">
        <x:v>ШАЙБА 52.20.III.4.029 ГОСТ9065-75</x:v>
      </x:c>
      <x:c r="D208" s="16" t="str">
        <x:v>Метизы</x:v>
      </x:c>
      <x:c r="E208" s="16" t="str">
        <x:v>КГ</x:v>
      </x:c>
      <x:c r="F208" s="26" t="n">
        <x:v>38.22</x:v>
      </x:c>
      <x:c r="G208" s="17" t="n">
        <x:v>906.5576</x:v>
      </x:c>
      <x:c r="H208" s="17" t="n">
        <x:f>G208*F208</x:f>
        <x:v>34648.631472</x:v>
      </x:c>
      <x:c r="I208" s="22" t="str">
        <x:f>HYPERLINK("https://etp-aktiv.ru/catalog/materialy/metizy/2000785334-V114/","Открыть позицию")</x:f>
        <x:v>Открыть позицию</x:v>
      </x:c>
    </x:row>
    <x:row r="209" ht="28" customHeight="1">
      <x:c r="A209" s="16" t="str">
        <x:v>Красноярская ТЭЦ-3</x:v>
      </x:c>
      <x:c r="B209" s="16" t="str">
        <x:v>2000330598-V114</x:v>
      </x:c>
      <x:c r="C209" s="16" t="str">
        <x:v>ШАЙБА А10.01.08.КП.16 ГОСТ11371-78</x:v>
      </x:c>
      <x:c r="D209" s="16" t="str">
        <x:v>Метизы</x:v>
      </x:c>
      <x:c r="E209" s="16" t="str">
        <x:v>КГ</x:v>
      </x:c>
      <x:c r="F209" s="30" t="n">
        <x:v>0.02</x:v>
      </x:c>
      <x:c r="G209" s="17" t="n">
        <x:v>104.9932</x:v>
      </x:c>
      <x:c r="H209" s="17" t="n">
        <x:f>G209*F209</x:f>
        <x:v>2.099864</x:v>
      </x:c>
      <x:c r="I209" s="22" t="str">
        <x:f>HYPERLINK("https://etp-aktiv.ru/catalog/materialy/metizy/2000330598-V114/","Открыть позицию")</x:f>
        <x:v>Открыть позицию</x:v>
      </x:c>
    </x:row>
    <x:row r="210" ht="28" customHeight="1">
      <x:c r="A210" s="16" t="str">
        <x:v>Красноярская ТЭЦ-3</x:v>
      </x:c>
      <x:c r="B210" s="16" t="str">
        <x:v>2000998087-V114</x:v>
      </x:c>
      <x:c r="C210" s="16" t="str">
        <x:v>ШАЙБА Н70.01 08КП 05 ГОСТ11872-89</x:v>
      </x:c>
      <x:c r="D210" s="16" t="str">
        <x:v>Метизы</x:v>
      </x:c>
      <x:c r="E210" s="16" t="str">
        <x:v>КГ</x:v>
      </x:c>
      <x:c r="F210" s="26" t="n">
        <x:v>1.02</x:v>
      </x:c>
      <x:c r="G210" s="17" t="n">
        <x:v>2104.8903999999998</x:v>
      </x:c>
      <x:c r="H210" s="17" t="n">
        <x:f>G210*F210</x:f>
        <x:v>2146.9882079999998</x:v>
      </x:c>
      <x:c r="I210" s="22" t="str">
        <x:f>HYPERLINK("https://etp-aktiv.ru/catalog/materialy/metizy/2000998087-V114/","Открыть позицию")</x:f>
        <x:v>Открыть позицию</x:v>
      </x:c>
    </x:row>
    <x:row r="211" ht="28" customHeight="1">
      <x:c r="A211" s="16" t="str">
        <x:v>Красноярская ТЭЦ-3</x:v>
      </x:c>
      <x:c r="B211" s="16" t="str">
        <x:v>2000485047-V114</x:v>
      </x:c>
      <x:c r="C211" s="16" t="str">
        <x:v>ШАЙБА ПЛОСКАЯ M10 8.8 A2 DIN125</x:v>
      </x:c>
      <x:c r="D211" s="16" t="str">
        <x:v>Метизы Спец</x:v>
      </x:c>
      <x:c r="E211" s="16" t="str">
        <x:v>КГ</x:v>
      </x:c>
      <x:c r="F211" s="21" t="n">
        <x:v>2</x:v>
      </x:c>
      <x:c r="G211" s="17" t="n">
        <x:v>1073.3072</x:v>
      </x:c>
      <x:c r="H211" s="17" t="n">
        <x:f>G211*F211</x:f>
        <x:v>2146.6144</x:v>
      </x:c>
      <x:c r="I211" s="22" t="str">
        <x:f>HYPERLINK("https://etp-aktiv.ru/catalog/materialy/metizy/2000485047-V114/","Открыть позицию")</x:f>
        <x:v>Открыть позицию</x:v>
      </x:c>
    </x:row>
    <x:row r="212" ht="28" customHeight="1">
      <x:c r="A212" s="16" t="str">
        <x:v>Красноярская ТЭЦ-3</x:v>
      </x:c>
      <x:c r="B212" s="16" t="str">
        <x:v>2000289281-V114</x:v>
      </x:c>
      <x:c r="C212" s="16" t="str">
        <x:v>ШАЙБА ПЛОСКАЯ ОЦИНК М16 ГОСТ11371-78</x:v>
      </x:c>
      <x:c r="D212" s="16" t="str">
        <x:v>Метизы Спец</x:v>
      </x:c>
      <x:c r="E212" s="16" t="str">
        <x:v>КГ</x:v>
      </x:c>
      <x:c r="F212" s="26" t="n">
        <x:v>9.888</x:v>
      </x:c>
      <x:c r="G212" s="17" t="n">
        <x:v>93.5008</x:v>
      </x:c>
      <x:c r="H212" s="17" t="n">
        <x:f>G212*F212</x:f>
        <x:v>924.5359103999999</x:v>
      </x:c>
      <x:c r="I212" s="22" t="str">
        <x:f>HYPERLINK("https://etp-aktiv.ru/catalog/materialy/metizy/2000289281-V114/","Открыть позицию")</x:f>
        <x:v>Открыть позицию</x:v>
      </x:c>
    </x:row>
    <x:row r="213" ht="28" customHeight="1">
      <x:c r="A213" s="16" t="str">
        <x:v>Красноярская ТЭЦ-3</x:v>
      </x:c>
      <x:c r="B213" s="16" t="str">
        <x:v>2000996577-V114</x:v>
      </x:c>
      <x:c r="C213" s="16" t="str">
        <x:v>ШАЙБА СТОПОРНАЯ Н100.02.08КП05 ГОСТ11872</x:v>
      </x:c>
      <x:c r="D213" s="16" t="str">
        <x:v>Метизы</x:v>
      </x:c>
      <x:c r="E213" s="16" t="str">
        <x:v>КГ</x:v>
      </x:c>
      <x:c r="F213" s="30" t="n">
        <x:v>0.38</x:v>
      </x:c>
      <x:c r="G213" s="17" t="n">
        <x:v>2335.69</x:v>
      </x:c>
      <x:c r="H213" s="17" t="n">
        <x:f>G213*F213</x:f>
        <x:v>887.5622000000001</x:v>
      </x:c>
      <x:c r="I213" s="22" t="str">
        <x:f>HYPERLINK("https://etp-aktiv.ru/catalog/materialy/metizy/2000996577-V114/","Открыть позицию")</x:f>
        <x:v>Открыть позицию</x:v>
      </x:c>
    </x:row>
    <x:row r="214" ht="28" customHeight="1">
      <x:c r="A214" s="16" t="str">
        <x:v>Красноярская ТЭЦ-3</x:v>
      </x:c>
      <x:c r="B214" s="16" t="str">
        <x:v>2000530383-V114</x:v>
      </x:c>
      <x:c r="C214" s="16" t="str">
        <x:v>ШПИЛЬКА 2М18-6G*200 58 ГОСТ22042-76</x:v>
      </x:c>
      <x:c r="D214" s="16" t="str">
        <x:v>Метизы</x:v>
      </x:c>
      <x:c r="E214" s="16" t="str">
        <x:v>КГ</x:v>
      </x:c>
      <x:c r="F214" s="26" t="n">
        <x:v>12.83</x:v>
      </x:c>
      <x:c r="G214" s="17" t="n">
        <x:v>879.2418</x:v>
      </x:c>
      <x:c r="H214" s="17" t="n">
        <x:f>G214*F214</x:f>
        <x:v>11280.672294</x:v>
      </x:c>
      <x:c r="I214" s="22" t="str">
        <x:f>HYPERLINK("https://etp-aktiv.ru/catalog/materialy/metizy/2000530383-V114/","Открыть позицию")</x:f>
        <x:v>Открыть позицию</x:v>
      </x:c>
    </x:row>
    <x:row r="215" ht="28" customHeight="1">
      <x:c r="A215" s="16" t="str">
        <x:v>Красноярская ТЭЦ-3</x:v>
      </x:c>
      <x:c r="B215" s="16" t="str">
        <x:v>2000697475-V114</x:v>
      </x:c>
      <x:c r="C215" s="16" t="str">
        <x:v>ШПИЛЬКА М20-6G*50.46 ГОСТ22032-76</x:v>
      </x:c>
      <x:c r="D215" s="16" t="str">
        <x:v>Метизы</x:v>
      </x:c>
      <x:c r="E215" s="16" t="str">
        <x:v>КГ</x:v>
      </x:c>
      <x:c r="F215" s="26" t="n">
        <x:v>1.58</x:v>
      </x:c>
      <x:c r="G215" s="17" t="n">
        <x:v>454.98679999999996</x:v>
      </x:c>
      <x:c r="H215" s="17" t="n">
        <x:f>G215*F215</x:f>
        <x:v>718.879144</x:v>
      </x:c>
      <x:c r="I215" s="22" t="str">
        <x:f>HYPERLINK("https://etp-aktiv.ru/catalog/materialy/metizy/2000697475-V114/","Открыть позицию")</x:f>
        <x:v>Открыть позицию</x:v>
      </x:c>
    </x:row>
    <x:row r="216" ht="28" customHeight="1">
      <x:c r="A216" s="16" t="str">
        <x:v>Красноярская ТЭЦ-3</x:v>
      </x:c>
      <x:c r="B216" s="16" t="str">
        <x:v>2000546312-V114</x:v>
      </x:c>
      <x:c r="C216" s="16" t="str">
        <x:v>ЭЛЕКТРОД УОНИ 13/НЖ 3ММ ГОСТ9466-75</x:v>
      </x:c>
      <x:c r="D216" s="16" t="str">
        <x:v>Сварочные электроды</x:v>
      </x:c>
      <x:c r="E216" s="16" t="str">
        <x:v>Т</x:v>
      </x:c>
      <x:c r="F216" s="30" t="n">
        <x:v>0.01</x:v>
      </x:c>
      <x:c r="G216" s="17" t="n">
        <x:v>566156.25</x:v>
      </x:c>
      <x:c r="H216" s="17" t="n">
        <x:f>G216*F216</x:f>
        <x:v>5661.5625</x:v>
      </x:c>
      <x:c r="I216" s="22" t="str">
        <x:f>HYPERLINK("https://etp-aktiv.ru/catalog/materialy/svarochnye-ehlektrody/2000546312-V114/","Открыть позицию")</x:f>
        <x:v>Открыть позицию</x:v>
      </x:c>
    </x:row>
    <x:row r="217" ht="28" customHeight="1">
      <x:c r="A217" s="16" t="str">
        <x:v>Красноярская ТЭЦ-3</x:v>
      </x:c>
      <x:c r="B217" s="16" t="str">
        <x:v>2000546319-V114</x:v>
      </x:c>
      <x:c r="C217" s="16" t="str">
        <x:v>ЭЛЕКТРОД ЦЛ-39 2,5ММ ГОСТ9466-75</x:v>
      </x:c>
      <x:c r="D217" s="16" t="str">
        <x:v>Сварочные электроды</x:v>
      </x:c>
      <x:c r="E217" s="16" t="str">
        <x:v>КГ</x:v>
      </x:c>
      <x:c r="F217" s="26" t="n">
        <x:v>2.963</x:v>
      </x:c>
      <x:c r="G217" s="17" t="n">
        <x:v>151.6582</x:v>
      </x:c>
      <x:c r="H217" s="17" t="n">
        <x:f>G217*F217</x:f>
        <x:v>449.36324659999997</x:v>
      </x:c>
      <x:c r="I217" s="22" t="str">
        <x:f>HYPERLINK("https://etp-aktiv.ru/catalog/materialy/svarochnye-ehlektrody/2000546319-V114/","Открыть позицию")</x:f>
        <x:v>Открыть позицию</x:v>
      </x:c>
    </x:row>
    <x:row r="218" ht="28" customHeight="1">
      <x:c r="A218" s="16" t="str">
        <x:v>Красноярская ТЭЦ-3</x:v>
      </x:c>
      <x:c r="B218" s="16" t="str">
        <x:v>2000018273-V114</x:v>
      </x:c>
      <x:c r="C218" s="16" t="str">
        <x:v>ЭЛЕКТРОД ЦЧ-4 4ММ ГОСТ9466-75</x:v>
      </x:c>
      <x:c r="D218" s="16" t="str">
        <x:v>Сварочные электроды</x:v>
      </x:c>
      <x:c r="E218" s="16" t="str">
        <x:v>Т</x:v>
      </x:c>
      <x:c r="F218" s="30" t="n">
        <x:v>0.005</x:v>
      </x:c>
      <x:c r="G218" s="17" t="n">
        <x:v>433435.5</x:v>
      </x:c>
      <x:c r="H218" s="17" t="n">
        <x:f>G218*F218</x:f>
        <x:v>2167.1775000000002</x:v>
      </x:c>
      <x:c r="I218" s="22" t="str">
        <x:f>HYPERLINK("https://etp-aktiv.ru/catalog/materialy/svarochnye-ehlektrody/2000018273-V114/","Открыть позицию")</x:f>
        <x:v>Открыть позицию</x:v>
      </x:c>
    </x:row>
    <x:row r="219" ht="28" customHeight="1">
      <x:c r="A219" s="16" t="str">
        <x:v>Красноярская теплосеть</x:v>
      </x:c>
      <x:c r="B219" s="16" t="str">
        <x:v>2000225400-V122</x:v>
      </x:c>
      <x:c r="C219" s="16" t="str">
        <x:v>ГАЙКА М4 8.8 ОЦИНК DIN934 ШТ</x:v>
      </x:c>
      <x:c r="D219" s="16" t="str">
        <x:v>Метизы Спец</x:v>
      </x:c>
      <x:c r="E219" s="16" t="str">
        <x:v>ШТ</x:v>
      </x:c>
      <x:c r="F219" s="21" t="n">
        <x:v>100</x:v>
      </x:c>
      <x:c r="G219" s="17" t="n">
        <x:v>0.183</x:v>
      </x:c>
      <x:c r="H219" s="17" t="n">
        <x:f>G219*F219</x:f>
        <x:v>18.3</x:v>
      </x:c>
      <x:c r="I219" s="22" t="str">
        <x:f>HYPERLINK("https://etp-aktiv.ru/catalog/materialy/metizy/2000225400-V122/","Открыть позицию")</x:f>
        <x:v>Открыть позицию</x:v>
      </x:c>
    </x:row>
    <x:row r="220" ht="28" customHeight="1">
      <x:c r="A220" s="16" t="str">
        <x:v>Красноярская теплосеть</x:v>
      </x:c>
      <x:c r="B220" s="16" t="str">
        <x:v>2000148560-V122</x:v>
      </x:c>
      <x:c r="C220" s="16" t="str">
        <x:v>ЛИСТ Г/К СТ3СП5 4ММ ГОСТ19903-74</x:v>
      </x:c>
      <x:c r="D220" s="16" t="str">
        <x:v>М/прокат черный</x:v>
      </x:c>
      <x:c r="E220" s="16" t="str">
        <x:v>Т</x:v>
      </x:c>
      <x:c r="F220" s="30" t="n">
        <x:v>0.296</x:v>
      </x:c>
      <x:c r="G220" s="17" t="n">
        <x:v>18300</x:v>
      </x:c>
      <x:c r="H220" s="17" t="n">
        <x:f>G220*F220</x:f>
        <x:v>5416.8</x:v>
      </x:c>
      <x:c r="I220" s="22" t="str">
        <x:f>HYPERLINK("https://etp-aktiv.ru/catalog/materialy/metalloprodukciya/2000148560-V122/","Открыть позицию")</x:f>
        <x:v>Открыть позицию</x:v>
      </x:c>
    </x:row>
    <x:row r="221" ht="28" customHeight="1">
      <x:c r="A221" s="16" t="str">
        <x:v>Красноярская теплосеть</x:v>
      </x:c>
      <x:c r="B221" s="16" t="str">
        <x:v>2000530147-V122</x:v>
      </x:c>
      <x:c r="C221" s="16" t="str">
        <x:v>ПРОВОЛОКА 1,2 О СВЕТЛАЯ ГОСТ3282-74</x:v>
      </x:c>
      <x:c r="D221" s="16" t="str">
        <x:v>Метизы Спец</x:v>
      </x:c>
      <x:c r="E221" s="16" t="str">
        <x:v>Т</x:v>
      </x:c>
      <x:c r="F221" s="26" t="n">
        <x:v>1.006</x:v>
      </x:c>
      <x:c r="G221" s="17" t="n">
        <x:v>48998.25</x:v>
      </x:c>
      <x:c r="H221" s="17" t="n">
        <x:f>G221*F221</x:f>
        <x:v>49292.2395</x:v>
      </x:c>
      <x:c r="I221" s="22" t="str">
        <x:f>HYPERLINK("https://etp-aktiv.ru/catalog/materialy/metizy/2000530147-V122/","Открыть позицию")</x:f>
        <x:v>Открыть позицию</x:v>
      </x:c>
    </x:row>
    <x:row r="222" ht="28" customHeight="1">
      <x:c r="A222" s="16" t="str">
        <x:v>Минусинская ТЭЦ</x:v>
      </x:c>
      <x:c r="B222" s="16" t="str">
        <x:v>2000228350-V112</x:v>
      </x:c>
      <x:c r="C222" s="16" t="str">
        <x:v>БОЛТ АНКЕРНЫЙ 10*95 ГОСТ24379.1-80</x:v>
      </x:c>
      <x:c r="D222" s="16" t="str">
        <x:v>Метизы</x:v>
      </x:c>
      <x:c r="E222" s="16" t="str">
        <x:v>КГ</x:v>
      </x:c>
      <x:c r="F222" s="26" t="n">
        <x:v>2.9</x:v>
      </x:c>
      <x:c r="G222" s="17" t="n">
        <x:v>400.3186</x:v>
      </x:c>
      <x:c r="H222" s="17" t="n">
        <x:f>G222*F222</x:f>
        <x:v>1160.92394</x:v>
      </x:c>
      <x:c r="I222" s="22" t="str">
        <x:f>HYPERLINK("https://etp-aktiv.ru/catalog/materialy/metizy/2000228350-V112/","Открыть позицию")</x:f>
        <x:v>Открыть позицию</x:v>
      </x:c>
    </x:row>
    <x:row r="223" ht="28" customHeight="1">
      <x:c r="A223" s="16" t="str">
        <x:v>Минусинская ТЭЦ</x:v>
      </x:c>
      <x:c r="B223" s="16" t="str">
        <x:v>2000504117-V112</x:v>
      </x:c>
      <x:c r="C223" s="16" t="str">
        <x:v>БОЛТ М12-6G*65.88.016 ГОСТ7798-70</x:v>
      </x:c>
      <x:c r="D223" s="16" t="str">
        <x:v>Метизы Спец</x:v>
      </x:c>
      <x:c r="E223" s="16" t="str">
        <x:v>КГ</x:v>
      </x:c>
      <x:c r="F223" s="26" t="n">
        <x:v>1.5</x:v>
      </x:c>
      <x:c r="G223" s="17" t="n">
        <x:v>215.5496</x:v>
      </x:c>
      <x:c r="H223" s="17" t="n">
        <x:f>G223*F223</x:f>
        <x:v>323.32439999999997</x:v>
      </x:c>
      <x:c r="I223" s="22" t="str">
        <x:f>HYPERLINK("https://etp-aktiv.ru/catalog/materialy/metizy/2000504117-V112/","Открыть позицию")</x:f>
        <x:v>Открыть позицию</x:v>
      </x:c>
    </x:row>
    <x:row r="224" ht="28" customHeight="1">
      <x:c r="A224" s="16" t="str">
        <x:v>Минусинская ТЭЦ</x:v>
      </x:c>
      <x:c r="B224" s="16" t="str">
        <x:v>2000142910-V112</x:v>
      </x:c>
      <x:c r="C224" s="16" t="str">
        <x:v>БОЛТ М18*100 ГОСТ7798-70</x:v>
      </x:c>
      <x:c r="D224" s="16" t="str">
        <x:v>Метизы</x:v>
      </x:c>
      <x:c r="E224" s="16" t="str">
        <x:v>КГ</x:v>
      </x:c>
      <x:c r="F224" s="26" t="n">
        <x:v>5.36</x:v>
      </x:c>
      <x:c r="G224" s="17" t="n">
        <x:v>125.7942</x:v>
      </x:c>
      <x:c r="H224" s="17" t="n">
        <x:f>G224*F224</x:f>
        <x:v>674.256912</x:v>
      </x:c>
      <x:c r="I224" s="22" t="str">
        <x:f>HYPERLINK("https://etp-aktiv.ru/catalog/materialy/metizy/2000142910-V112/","Открыть позицию")</x:f>
        <x:v>Открыть позицию</x:v>
      </x:c>
    </x:row>
    <x:row r="225" ht="28" customHeight="1">
      <x:c r="A225" s="16" t="str">
        <x:v>Минусинская ТЭЦ</x:v>
      </x:c>
      <x:c r="B225" s="16" t="str">
        <x:v>2000142914-V112</x:v>
      </x:c>
      <x:c r="C225" s="16" t="str">
        <x:v>БОЛТ М22*110 ГОСТ7798-70</x:v>
      </x:c>
      <x:c r="D225" s="16" t="str">
        <x:v>Метизы</x:v>
      </x:c>
      <x:c r="E225" s="16" t="str">
        <x:v>КГ</x:v>
      </x:c>
      <x:c r="F225" s="21" t="n">
        <x:v>50</x:v>
      </x:c>
      <x:c r="G225" s="17" t="n">
        <x:v>131.5282</x:v>
      </x:c>
      <x:c r="H225" s="17" t="n">
        <x:f>G225*F225</x:f>
        <x:v>6576.41</x:v>
      </x:c>
      <x:c r="I225" s="22" t="str">
        <x:f>HYPERLINK("https://etp-aktiv.ru/catalog/materialy/metizy/2000142914-V112/","Открыть позицию")</x:f>
        <x:v>Открыть позицию</x:v>
      </x:c>
    </x:row>
    <x:row r="226" ht="28" customHeight="1">
      <x:c r="A226" s="16" t="str">
        <x:v>Минусинская ТЭЦ</x:v>
      </x:c>
      <x:c r="B226" s="16" t="str">
        <x:v>2000068476-V112</x:v>
      </x:c>
      <x:c r="C226" s="16" t="str">
        <x:v>ГАЙКА М18 ГОСТ5915-70</x:v>
      </x:c>
      <x:c r="D226" s="16" t="str">
        <x:v>Метизы</x:v>
      </x:c>
      <x:c r="E226" s="16" t="str">
        <x:v>КГ</x:v>
      </x:c>
      <x:c r="F226" s="26" t="n">
        <x:v>11.757</x:v>
      </x:c>
      <x:c r="G226" s="17" t="n">
        <x:v>125.81859999999999</x:v>
      </x:c>
      <x:c r="H226" s="17" t="n">
        <x:f>G226*F226</x:f>
        <x:v>1479.2492802</x:v>
      </x:c>
      <x:c r="I226" s="22" t="str">
        <x:f>HYPERLINK("https://etp-aktiv.ru/catalog/materialy/metizy/2000068476-V112/","Открыть позицию")</x:f>
        <x:v>Открыть позицию</x:v>
      </x:c>
    </x:row>
    <x:row r="227" ht="28" customHeight="1">
      <x:c r="A227" s="16" t="str">
        <x:v>Минусинская ТЭЦ</x:v>
      </x:c>
      <x:c r="B227" s="16" t="str">
        <x:v>2000530066-V112</x:v>
      </x:c>
      <x:c r="C227" s="16" t="str">
        <x:v>ГАЙКА М22 ГОСТ22356-77</x:v>
      </x:c>
      <x:c r="D227" s="16" t="str">
        <x:v>Метизы</x:v>
      </x:c>
      <x:c r="E227" s="16" t="str">
        <x:v>КГ</x:v>
      </x:c>
      <x:c r="F227" s="21" t="n">
        <x:v>20</x:v>
      </x:c>
      <x:c r="G227" s="17" t="n">
        <x:v>263.0686</x:v>
      </x:c>
      <x:c r="H227" s="17" t="n">
        <x:f>G227*F227</x:f>
        <x:v>5261.372</x:v>
      </x:c>
      <x:c r="I227" s="22" t="str">
        <x:f>HYPERLINK("https://etp-aktiv.ru/catalog/materialy/metizy/2000530066-V112/","Открыть позицию")</x:f>
        <x:v>Открыть позицию</x:v>
      </x:c>
    </x:row>
    <x:row r="228" ht="28" customHeight="1">
      <x:c r="A228" s="16" t="str">
        <x:v>Минусинская ТЭЦ</x:v>
      </x:c>
      <x:c r="B228" s="16" t="str">
        <x:v>2000028668-V112</x:v>
      </x:c>
      <x:c r="C228" s="16" t="str">
        <x:v>КРУГ 12Х18Н10Т D16ММ ГОСТ5949-75</x:v>
      </x:c>
      <x:c r="D228" s="16" t="str">
        <x:v>М/прокат нерж сталь</x:v>
      </x:c>
      <x:c r="E228" s="16" t="str">
        <x:v>Т</x:v>
      </x:c>
      <x:c r="F228" s="30" t="n">
        <x:v>0.112</x:v>
      </x:c>
      <x:c r="G228" s="17" t="n">
        <x:v>178425</x:v>
      </x:c>
      <x:c r="H228" s="17" t="n">
        <x:f>G228*F228</x:f>
        <x:v>19983.600000000002</x:v>
      </x:c>
      <x:c r="I228" s="22" t="str">
        <x:f>HYPERLINK("https://etp-aktiv.ru/catalog/materialy/metalloprodukciya/2000028668-V112/","Открыть позицию")</x:f>
        <x:v>Открыть позицию</x:v>
      </x:c>
    </x:row>
    <x:row r="229" ht="28" customHeight="1">
      <x:c r="A229" s="16" t="str">
        <x:v>Минусинская ТЭЦ</x:v>
      </x:c>
      <x:c r="B229" s="16" t="str">
        <x:v>2000028669-V112</x:v>
      </x:c>
      <x:c r="C229" s="16" t="str">
        <x:v>КРУГ 12Х18Н10Т D30ММ ГОСТ5949-75</x:v>
      </x:c>
      <x:c r="D229" s="16" t="str">
        <x:v>М/прокат нерж сталь</x:v>
      </x:c>
      <x:c r="E229" s="16" t="str">
        <x:v>Т</x:v>
      </x:c>
      <x:c r="F229" s="30" t="n">
        <x:v>0.065</x:v>
      </x:c>
      <x:c r="G229" s="17" t="n">
        <x:v>448479.7958</x:v>
      </x:c>
      <x:c r="H229" s="17" t="n">
        <x:f>G229*F229</x:f>
        <x:v>29151.186727000004</x:v>
      </x:c>
      <x:c r="I229" s="22" t="str">
        <x:f>HYPERLINK("https://etp-aktiv.ru/catalog/materialy/metalloprodukciya/2000028669-V112/","Открыть позицию")</x:f>
        <x:v>Открыть позицию</x:v>
      </x:c>
    </x:row>
    <x:row r="230" ht="28" customHeight="1">
      <x:c r="A230" s="16" t="str">
        <x:v>Минусинская ТЭЦ</x:v>
      </x:c>
      <x:c r="B230" s="16" t="str">
        <x:v>2000015037-V112</x:v>
      </x:c>
      <x:c r="C230" s="16" t="str">
        <x:v>КРУГ СТ3 D18ММ ГОСТ2590-2006</x:v>
      </x:c>
      <x:c r="D230" s="16" t="str">
        <x:v>М/прокат черный</x:v>
      </x:c>
      <x:c r="E230" s="16" t="str">
        <x:v>Т</x:v>
      </x:c>
      <x:c r="F230" s="30" t="n">
        <x:v>0.106</x:v>
      </x:c>
      <x:c r="G230" s="17" t="n">
        <x:v>42991.1652</x:v>
      </x:c>
      <x:c r="H230" s="17" t="n">
        <x:f>G230*F230</x:f>
        <x:v>4557.0635112</x:v>
      </x:c>
      <x:c r="I230" s="22" t="str">
        <x:f>HYPERLINK("https://etp-aktiv.ru/catalog/materialy/metalloprodukciya/2000015037-V112/","Открыть позицию")</x:f>
        <x:v>Открыть позицию</x:v>
      </x:c>
    </x:row>
    <x:row r="231" ht="28" customHeight="1">
      <x:c r="A231" s="16" t="str">
        <x:v>Минусинская ТЭЦ</x:v>
      </x:c>
      <x:c r="B231" s="16" t="str">
        <x:v>2000576762-V112</x:v>
      </x:c>
      <x:c r="C231" s="16" t="str">
        <x:v>ЛИСТ ПВЛ 508 С235 5*1000*3000</x:v>
      </x:c>
      <x:c r="D231" s="16" t="str">
        <x:v>М/прокат черный</x:v>
      </x:c>
      <x:c r="E231" s="16" t="str">
        <x:v>Т</x:v>
      </x:c>
      <x:c r="F231" s="30" t="n">
        <x:v>0.41</x:v>
      </x:c>
      <x:c r="G231" s="17" t="n">
        <x:v>47835.6022</x:v>
      </x:c>
      <x:c r="H231" s="17" t="n">
        <x:f>G231*F231</x:f>
        <x:v>19612.596901999997</x:v>
      </x:c>
      <x:c r="I231" s="22" t="str">
        <x:f>HYPERLINK("https://etp-aktiv.ru/catalog/materialy/metalloprodukciya/2000576762-V112/","Открыть позицию")</x:f>
        <x:v>Открыть позицию</x:v>
      </x:c>
    </x:row>
    <x:row r="232" ht="28" customHeight="1">
      <x:c r="A232" s="16" t="str">
        <x:v>Минусинская ТЭЦ</x:v>
      </x:c>
      <x:c r="B232" s="16" t="str">
        <x:v>2000555980-V112</x:v>
      </x:c>
      <x:c r="C232" s="16" t="str">
        <x:v>ЛИСТ СТ3СП5 ПВ1 406 1250*2500 ГОСТ380-05</x:v>
      </x:c>
      <x:c r="D232" s="16" t="str">
        <x:v>М/прокат черный</x:v>
      </x:c>
      <x:c r="E232" s="16" t="str">
        <x:v>Т</x:v>
      </x:c>
      <x:c r="F232" s="30" t="n">
        <x:v>0.1</x:v>
      </x:c>
      <x:c r="G232" s="17" t="n">
        <x:v>45750.024399999995</x:v>
      </x:c>
      <x:c r="H232" s="17" t="n">
        <x:f>G232*F232</x:f>
        <x:v>4575.002439999999</x:v>
      </x:c>
      <x:c r="I232" s="22" t="str">
        <x:f>HYPERLINK("https://etp-aktiv.ru/catalog/materialy/metalloprodukciya/2000555980-V112/","Открыть позицию")</x:f>
        <x:v>Открыть позицию</x:v>
      </x:c>
    </x:row>
    <x:row r="233" ht="28" customHeight="1">
      <x:c r="A233" s="16" t="str">
        <x:v>Минусинская ТЭЦ</x:v>
      </x:c>
      <x:c r="B233" s="16" t="str">
        <x:v>2000556256-V112</x:v>
      </x:c>
      <x:c r="C233" s="16" t="str">
        <x:v>ПРИПОЙ ПМФОЦР 6-4-0,03 3,0ММ ТУ48-21-663</x:v>
      </x:c>
      <x:c r="D233" s="16" t="str">
        <x:v>М/прокат цветной</x:v>
      </x:c>
      <x:c r="E233" s="16" t="str">
        <x:v>КГ</x:v>
      </x:c>
      <x:c r="F233" s="30" t="n">
        <x:v>0.37</x:v>
      </x:c>
      <x:c r="G233" s="17" t="n">
        <x:v>3499.875</x:v>
      </x:c>
      <x:c r="H233" s="17" t="n">
        <x:f>G233*F233</x:f>
        <x:v>1294.95375</x:v>
      </x:c>
      <x:c r="I233" s="22" t="str">
        <x:f>HYPERLINK("https://etp-aktiv.ru/catalog/materialy/metalloprodukciya/2000556256-V112/","Открыть позицию")</x:f>
        <x:v>Открыть позицию</x:v>
      </x:c>
    </x:row>
    <x:row r="234" ht="28" customHeight="1">
      <x:c r="A234" s="16" t="str">
        <x:v>Минусинская ТЭЦ</x:v>
      </x:c>
      <x:c r="B234" s="16" t="str">
        <x:v>2000631655-V112</x:v>
      </x:c>
      <x:c r="C234" s="16" t="str">
        <x:v>ПРОВОЛОКА WS ER70S-6 1,6ММ</x:v>
      </x:c>
      <x:c r="D234" s="16" t="str">
        <x:v>Сварочные электроды</x:v>
      </x:c>
      <x:c r="E234" s="16" t="str">
        <x:v>КГ</x:v>
      </x:c>
      <x:c r="F234" s="21" t="n">
        <x:v>15</x:v>
      </x:c>
      <x:c r="G234" s="17" t="n">
        <x:v>202.99579999999997</x:v>
      </x:c>
      <x:c r="H234" s="17" t="n">
        <x:f>G234*F234</x:f>
        <x:v>3044.9369999999994</x:v>
      </x:c>
      <x:c r="I234" s="22" t="str">
        <x:f>HYPERLINK("https://etp-aktiv.ru/catalog/materialy/svarochnye-ehlektrody/2000631655-V112/","Открыть позицию")</x:f>
        <x:v>Открыть позицию</x:v>
      </x:c>
    </x:row>
    <x:row r="235" ht="28" customHeight="1">
      <x:c r="A235" s="16" t="str">
        <x:v>Минусинская ТЭЦ</x:v>
      </x:c>
      <x:c r="B235" s="16" t="str">
        <x:v>2000959033-V112</x:v>
      </x:c>
      <x:c r="C235" s="16" t="str">
        <x:v>ПРУТОК ER70S-6 2,4ММ AWS A5.18</x:v>
      </x:c>
      <x:c r="D235" s="16" t="str">
        <x:v>Сварочные электроды</x:v>
      </x:c>
      <x:c r="E235" s="16" t="str">
        <x:v>КГ</x:v>
      </x:c>
      <x:c r="F235" s="21" t="n">
        <x:v>5</x:v>
      </x:c>
      <x:c r="G235" s="17" t="n">
        <x:v>171.5686</x:v>
      </x:c>
      <x:c r="H235" s="17" t="n">
        <x:f>G235*F235</x:f>
        <x:v>857.8430000000001</x:v>
      </x:c>
      <x:c r="I235" s="22" t="str">
        <x:f>HYPERLINK("https://etp-aktiv.ru/catalog/materialy/svarochnye-ehlektrody/2000959033-V112/","Открыть позицию")</x:f>
        <x:v>Открыть позицию</x:v>
      </x:c>
    </x:row>
    <x:row r="236" ht="28" customHeight="1">
      <x:c r="A236" s="16" t="str">
        <x:v>Минусинская ТЭЦ</x:v>
      </x:c>
      <x:c r="B236" s="16" t="str">
        <x:v>2000580844-V112</x:v>
      </x:c>
      <x:c r="C236" s="16" t="str">
        <x:v>ПРУТОК TIG ALSI5 ER-4043 2,0*1000ММ 5КГ</x:v>
      </x:c>
      <x:c r="D236" s="16" t="str">
        <x:v>Компл,ЗЧ свароч обор</x:v>
      </x:c>
      <x:c r="E236" s="16" t="str">
        <x:v>УПК</x:v>
      </x:c>
      <x:c r="F236" s="21" t="n">
        <x:v>1</x:v>
      </x:c>
      <x:c r="G236" s="17" t="n">
        <x:v>2737.3628</x:v>
      </x:c>
      <x:c r="H236" s="17" t="n">
        <x:f>G236*F236</x:f>
        <x:v>2737.3628</x:v>
      </x:c>
      <x:c r="I236" s="22" t="str">
        <x:f>HYPERLINK("https://etp-aktiv.ru/catalog/materialy/zapasnye-chasti-promyshlennogo-oborudovaniya/2000580844-V112/","Открыть позицию")</x:f>
        <x:v>Открыть позицию</x:v>
      </x:c>
    </x:row>
    <x:row r="237" ht="28" customHeight="1">
      <x:c r="A237" s="16" t="str">
        <x:v>Минусинская ТЭЦ</x:v>
      </x:c>
      <x:c r="B237" s="16" t="str">
        <x:v>2000571431-V112</x:v>
      </x:c>
      <x:c r="C237" s="16" t="str">
        <x:v>ПРУТОК АЛЮМ TIG ALSI5 ER-4043 3,2*1000ММ</x:v>
      </x:c>
      <x:c r="D237" s="16" t="str">
        <x:v>Компл,ЗЧ свароч обор</x:v>
      </x:c>
      <x:c r="E237" s="16" t="str">
        <x:v>КГ</x:v>
      </x:c>
      <x:c r="F237" s="21" t="n">
        <x:v>5</x:v>
      </x:c>
      <x:c r="G237" s="17" t="n">
        <x:v>633.0214</x:v>
      </x:c>
      <x:c r="H237" s="17" t="n">
        <x:f>G237*F237</x:f>
        <x:v>3165.107</x:v>
      </x:c>
      <x:c r="I237" s="22" t="str">
        <x:f>HYPERLINK("https://etp-aktiv.ru/catalog/materialy/zapasnye-chasti-promyshlennogo-oborudovaniya/2000571431-V112/","Открыть позицию")</x:f>
        <x:v>Открыть позицию</x:v>
      </x:c>
    </x:row>
    <x:row r="238" ht="28" customHeight="1">
      <x:c r="A238" s="16" t="str">
        <x:v>Минусинская ТЭЦ</x:v>
      </x:c>
      <x:c r="B238" s="16" t="str">
        <x:v>2000858520-V112</x:v>
      </x:c>
      <x:c r="C238" s="16" t="str">
        <x:v>ПРУТОК СВАРОЧНЫЙ ER308L 2ММ AWS A5.9</x:v>
      </x:c>
      <x:c r="D238" s="16" t="str">
        <x:v>Свар электроды спец</x:v>
      </x:c>
      <x:c r="E238" s="16" t="str">
        <x:v>КГ</x:v>
      </x:c>
      <x:c r="F238" s="21" t="n">
        <x:v>5</x:v>
      </x:c>
      <x:c r="G238" s="17" t="n">
        <x:v>624.4936</x:v>
      </x:c>
      <x:c r="H238" s="17" t="n">
        <x:f>G238*F238</x:f>
        <x:v>3122.468</x:v>
      </x:c>
      <x:c r="I238" s="22" t="str">
        <x:f>HYPERLINK("https://etp-aktiv.ru/catalog/materialy/svarochnye-ehlektrody/2000858520-V112/","Открыть позицию")</x:f>
        <x:v>Открыть позицию</x:v>
      </x:c>
    </x:row>
    <x:row r="239" ht="28" customHeight="1">
      <x:c r="A239" s="16" t="str">
        <x:v>Минусинская ТЭЦ</x:v>
      </x:c>
      <x:c r="B239" s="16" t="str">
        <x:v>2000148212-V112</x:v>
      </x:c>
      <x:c r="C239" s="16" t="str">
        <x:v>ШВЕЛЛЕР СТ3 12П ГОСТ8240-97</x:v>
      </x:c>
      <x:c r="D239" s="16" t="str">
        <x:v>М/прокат черный</x:v>
      </x:c>
      <x:c r="E239" s="16" t="str">
        <x:v>Т</x:v>
      </x:c>
      <x:c r="F239" s="30" t="n">
        <x:v>0.02</x:v>
      </x:c>
      <x:c r="G239" s="17" t="n">
        <x:v>39916.7652</x:v>
      </x:c>
      <x:c r="H239" s="17" t="n">
        <x:f>G239*F239</x:f>
        <x:v>798.3353040000001</x:v>
      </x:c>
      <x:c r="I239" s="22" t="str">
        <x:f>HYPERLINK("https://etp-aktiv.ru/catalog/materialy/metalloprodukciya/2000148212-V112/","Открыть позицию")</x:f>
        <x:v>Открыть позицию</x:v>
      </x:c>
    </x:row>
    <x:row r="240" ht="28" customHeight="1">
      <x:c r="A240" s="16" t="str">
        <x:v>Минусинская ТЭЦ</x:v>
      </x:c>
      <x:c r="B240" s="16" t="str">
        <x:v>2000223037-V112</x:v>
      </x:c>
      <x:c r="C240" s="16" t="str">
        <x:v>ЭЛЕКТРОД ОК 53.70 2,5ММ ГОСТ9467-75</x:v>
      </x:c>
      <x:c r="D240" s="16" t="str">
        <x:v>Сварочные электроды</x:v>
      </x:c>
      <x:c r="E240" s="16" t="str">
        <x:v>Т</x:v>
      </x:c>
      <x:c r="F240" s="30" t="n">
        <x:v>0.018</x:v>
      </x:c>
      <x:c r="G240" s="17" t="n">
        <x:v>303614.5436</x:v>
      </x:c>
      <x:c r="H240" s="17" t="n">
        <x:f>G240*F240</x:f>
        <x:v>5465.061784799999</x:v>
      </x:c>
      <x:c r="I240" s="22" t="str">
        <x:f>HYPERLINK("https://etp-aktiv.ru/catalog/materialy/svarochnye-ehlektrody/2000223037-V112/","Открыть позицию")</x:f>
        <x:v>Открыть позицию</x:v>
      </x:c>
    </x:row>
    <x:row r="241" ht="28" customHeight="1">
      <x:c r="A241" s="16" t="str">
        <x:v>Минусинская ТЭЦ</x:v>
      </x:c>
      <x:c r="B241" s="16" t="str">
        <x:v>2000825980-V112</x:v>
      </x:c>
      <x:c r="C241" s="16" t="str">
        <x:v>ЭЛЕКТРОД ОК 53.70 3,2ММ ГОСТ9467-75</x:v>
      </x:c>
      <x:c r="D241" s="16" t="str">
        <x:v>Сварочные электроды</x:v>
      </x:c>
      <x:c r="E241" s="16" t="str">
        <x:v>КГ</x:v>
      </x:c>
      <x:c r="F241" s="21" t="n">
        <x:v>9</x:v>
      </x:c>
      <x:c r="G241" s="17" t="n">
        <x:v>260.104</x:v>
      </x:c>
      <x:c r="H241" s="17" t="n">
        <x:f>G241*F241</x:f>
        <x:v>2340.9359999999997</x:v>
      </x:c>
      <x:c r="I241" s="22" t="str">
        <x:f>HYPERLINK("https://etp-aktiv.ru/catalog/materialy/svarochnye-ehlektrody/2000825980-V112/","Открыть позицию")</x:f>
        <x:v>Открыть позицию</x:v>
      </x:c>
    </x:row>
    <x:row r="242" ht="28" customHeight="1">
      <x:c r="A242" s="16" t="str">
        <x:v>Минусинская ТЭЦ</x:v>
      </x:c>
      <x:c r="B242" s="16" t="str">
        <x:v>2000142150-V112</x:v>
      </x:c>
      <x:c r="C242" s="16" t="str">
        <x:v>ЭЛЕКТРОД ОК-53.70 4ММ ГОСТ9467-75</x:v>
      </x:c>
      <x:c r="D242" s="16" t="str">
        <x:v>Сварочные электроды</x:v>
      </x:c>
      <x:c r="E242" s="16" t="str">
        <x:v>Т</x:v>
      </x:c>
      <x:c r="F242" s="30" t="n">
        <x:v>0.018</x:v>
      </x:c>
      <x:c r="G242" s="17" t="n">
        <x:v>266419.025</x:v>
      </x:c>
      <x:c r="H242" s="17" t="n">
        <x:f>G242*F242</x:f>
        <x:v>4795.54245</x:v>
      </x:c>
      <x:c r="I242" s="22" t="str">
        <x:f>HYPERLINK("https://etp-aktiv.ru/catalog/materialy/svarochnye-ehlektrody/2000142150-V112/","Открыть позицию")</x:f>
        <x:v>Открыть позицию</x:v>
      </x:c>
    </x:row>
    <x:row r="243" ht="28" customHeight="1">
      <x:c r="A243" s="16" t="str">
        <x:v>Минусинская ТЭЦ</x:v>
      </x:c>
      <x:c r="B243" s="16" t="str">
        <x:v>2000016862-V112</x:v>
      </x:c>
      <x:c r="C243" s="16" t="str">
        <x:v>ЭЛЕКТРОД Т-590 5ММ ГОСТ9466-75</x:v>
      </x:c>
      <x:c r="D243" s="16" t="str">
        <x:v>Сварочные электроды</x:v>
      </x:c>
      <x:c r="E243" s="16" t="str">
        <x:v>Т</x:v>
      </x:c>
      <x:c r="F243" s="30" t="n">
        <x:v>0.002</x:v>
      </x:c>
      <x:c r="G243" s="17" t="n">
        <x:v>113756.2282</x:v>
      </x:c>
      <x:c r="H243" s="17" t="n">
        <x:f>G243*F243</x:f>
        <x:v>227.5124564</x:v>
      </x:c>
      <x:c r="I243" s="22" t="str">
        <x:f>HYPERLINK("https://etp-aktiv.ru/catalog/materialy/svarochnye-ehlektrody/2000016862-V112/","Открыть позицию")</x:f>
        <x:v>Открыть позицию</x:v>
      </x:c>
    </x:row>
    <x:row r="244" ht="28" customHeight="1">
      <x:c r="A244" s="16" t="str">
        <x:v>Минусинская ТЭЦ</x:v>
      </x:c>
      <x:c r="B244" s="16" t="str">
        <x:v>2000546326-V112</x:v>
      </x:c>
      <x:c r="C244" s="16" t="str">
        <x:v>ЭЛЕКТРОД ЦТ-15 3ММ ГОСТ9466-75</x:v>
      </x:c>
      <x:c r="D244" s="16" t="str">
        <x:v>Сварочные электроды</x:v>
      </x:c>
      <x:c r="E244" s="16" t="str">
        <x:v>КГ</x:v>
      </x:c>
      <x:c r="F244" s="30" t="n">
        <x:v>0.9</x:v>
      </x:c>
      <x:c r="G244" s="17" t="n">
        <x:v>438.6022</x:v>
      </x:c>
      <x:c r="H244" s="17" t="n">
        <x:f>G244*F244</x:f>
        <x:v>394.74198</x:v>
      </x:c>
      <x:c r="I244" s="22" t="str">
        <x:f>HYPERLINK("https://etp-aktiv.ru/catalog/materialy/svarochnye-ehlektrody/2000546326-V112/","Открыть позицию")</x:f>
        <x:v>Открыть позицию</x:v>
      </x:c>
    </x:row>
    <x:row r="245" ht="28" customHeight="1">
      <x:c r="A245" s="16" t="str">
        <x:v>Назаровская ГРЭС</x:v>
      </x:c>
      <x:c r="B245" s="16" t="str">
        <x:v>2000079748-V311</x:v>
      </x:c>
      <x:c r="C245" s="16" t="str">
        <x:v>@#ПРОВОЛОКА ВОЛЬФРАМОВАЯ D3ММ</x:v>
      </x:c>
      <x:c r="D245" s="16" t="str">
        <x:v>М/прокат цветной</x:v>
      </x:c>
      <x:c r="E245" s="16" t="str">
        <x:v>Т</x:v>
      </x:c>
      <x:c r="F245" s="21" t="n">
        <x:v>0</x:v>
      </x:c>
      <x:c r="G245" s="17" t="n">
        <x:v>1493008.0742000001</x:v>
      </x:c>
      <x:c r="H245" s="17" t="n">
        <x:f>G245*F245</x:f>
        <x:v>0</x:v>
      </x:c>
      <x:c r="I245" s="22" t="str">
        <x:f>HYPERLINK("https://etp-aktiv.ru/catalog/materialy/metalloprodukciya/2000079748-V311/","Открыть позицию")</x:f>
        <x:v>Открыть позицию</x:v>
      </x:c>
    </x:row>
    <x:row r="246" ht="28" customHeight="1">
      <x:c r="A246" s="16" t="str">
        <x:v>Назаровская ГРЭС</x:v>
      </x:c>
      <x:c r="B246" s="16" t="str">
        <x:v>5000046416-V311</x:v>
      </x:c>
      <x:c r="C246" s="16" t="str">
        <x:v>АППАРАТ СВАРОЧНЫЙ ELITECH ИС 180</x:v>
      </x:c>
      <x:c r="D246" s="16" t="str">
        <x:v>Газосвароч агрегаты</x:v>
      </x:c>
      <x:c r="E246" s="16" t="str">
        <x:v>ШТ</x:v>
      </x:c>
      <x:c r="F246" s="21" t="n">
        <x:v>1</x:v>
      </x:c>
      <x:c r="G246" s="17" t="n">
        <x:v>14553.160399999999</x:v>
      </x:c>
      <x:c r="H246" s="17" t="n">
        <x:f>G246*F246</x:f>
        <x:v>14553.160399999999</x:v>
      </x:c>
      <x:c r="I246" s="22" t="str">
        <x:f>HYPERLINK("https://etp-aktiv.ru/catalog/materialy/zapasnye-chasti-promyshlennogo-oborudovaniya/5000046416-V311/","Открыть позицию")</x:f>
        <x:v>Открыть позицию</x:v>
      </x:c>
    </x:row>
    <x:row r="247" ht="28" customHeight="1">
      <x:c r="A247" s="16" t="str">
        <x:v>Назаровская ГРЭС</x:v>
      </x:c>
      <x:c r="B247" s="16" t="str">
        <x:v>5000037983-V311</x:v>
      </x:c>
      <x:c r="C247" s="16" t="str">
        <x:v>АППАРАТ СВАРОЧНЫЙ KEMPPI MINARC EVO 180</x:v>
      </x:c>
      <x:c r="D247" s="16" t="str">
        <x:v>Э/свароч,газопл обор</x:v>
      </x:c>
      <x:c r="E247" s="16" t="str">
        <x:v>ШТ</x:v>
      </x:c>
      <x:c r="F247" s="21" t="n">
        <x:v>1</x:v>
      </x:c>
      <x:c r="G247" s="17" t="n">
        <x:v>43462.5</x:v>
      </x:c>
      <x:c r="H247" s="17" t="n">
        <x:f>G247*F247</x:f>
        <x:v>43462.5</x:v>
      </x:c>
      <x:c r="I247" s="22" t="str">
        <x:f>HYPERLINK("https://etp-aktiv.ru/catalog/materialy/zapasnye-chasti-promyshlennogo-oborudovaniya/5000037983-V311/","Открыть позицию")</x:f>
        <x:v>Открыть позицию</x:v>
      </x:c>
    </x:row>
    <x:row r="248" ht="28" customHeight="1">
      <x:c r="A248" s="16" t="str">
        <x:v>Назаровская ГРЭС</x:v>
      </x:c>
      <x:c r="B248" s="16" t="str">
        <x:v>2000245247-V311</x:v>
      </x:c>
      <x:c r="C248" s="16" t="str">
        <x:v>БАЛКА ДВУТАВР СТ3СП5 40Б1 ГОСТ535-05</x:v>
      </x:c>
      <x:c r="D248" s="16" t="str">
        <x:v>М/прокат черный</x:v>
      </x:c>
      <x:c r="E248" s="16" t="str">
        <x:v>Т</x:v>
      </x:c>
      <x:c r="F248" s="21" t="n">
        <x:v>0</x:v>
      </x:c>
      <x:c r="G248" s="17" t="n">
        <x:v>39805.2572</x:v>
      </x:c>
      <x:c r="H248" s="17" t="n">
        <x:f>G248*F248</x:f>
        <x:v>0</x:v>
      </x:c>
      <x:c r="I248" s="22" t="str">
        <x:f>HYPERLINK("https://etp-aktiv.ru/catalog/materialy/metalloprodukciya/2000245247-V311/","Открыть позицию")</x:f>
        <x:v>Открыть позицию</x:v>
      </x:c>
    </x:row>
    <x:row r="249" ht="28" customHeight="1">
      <x:c r="A249" s="16" t="str">
        <x:v>Назаровская ГРЭС</x:v>
      </x:c>
      <x:c r="B249" s="16" t="str">
        <x:v>2000016059-V311</x:v>
      </x:c>
      <x:c r="C249" s="16" t="str">
        <x:v>БАЛКА СТ3 40Б1 СТО АСЧМ20-93</x:v>
      </x:c>
      <x:c r="D249" s="16" t="str">
        <x:v>М/прокат черный</x:v>
      </x:c>
      <x:c r="E249" s="16" t="str">
        <x:v>Т</x:v>
      </x:c>
      <x:c r="F249" s="30" t="n">
        <x:v>0.565</x:v>
      </x:c>
      <x:c r="G249" s="17" t="n">
        <x:v>61762.5</x:v>
      </x:c>
      <x:c r="H249" s="17" t="n">
        <x:f>G249*F249</x:f>
        <x:v>34895.8125</x:v>
      </x:c>
      <x:c r="I249" s="22" t="str">
        <x:f>HYPERLINK("https://etp-aktiv.ru/catalog/materialy/metalloprodukciya/2000016059-V311/","Открыть позицию")</x:f>
        <x:v>Открыть позицию</x:v>
      </x:c>
    </x:row>
    <x:row r="250" ht="28" customHeight="1">
      <x:c r="A250" s="16" t="str">
        <x:v>Назаровская ГРЭС</x:v>
      </x:c>
      <x:c r="B250" s="16" t="str">
        <x:v>2000262486-V311</x:v>
      </x:c>
      <x:c r="C250" s="16" t="str">
        <x:v>БАЛКА СТ3СП5 40К1 ГОСТ26020-83</x:v>
      </x:c>
      <x:c r="D250" s="16" t="str">
        <x:v>М/прокат черный</x:v>
      </x:c>
      <x:c r="E250" s="16" t="str">
        <x:v>Т</x:v>
      </x:c>
      <x:c r="F250" s="21" t="n">
        <x:v>0</x:v>
      </x:c>
      <x:c r="G250" s="17" t="n">
        <x:v>43778.8338</x:v>
      </x:c>
      <x:c r="H250" s="17" t="n">
        <x:f>G250*F250</x:f>
        <x:v>0</x:v>
      </x:c>
      <x:c r="I250" s="22" t="str">
        <x:f>HYPERLINK("https://etp-aktiv.ru/catalog/materialy/metalloprodukciya/2000262486-V311/","Открыть позицию")</x:f>
        <x:v>Открыть позицию</x:v>
      </x:c>
    </x:row>
    <x:row r="251" ht="28" customHeight="1">
      <x:c r="A251" s="16" t="str">
        <x:v>Назаровская ГРЭС</x:v>
      </x:c>
      <x:c r="B251" s="16" t="str">
        <x:v>2000956760-V311</x:v>
      </x:c>
      <x:c r="C251" s="16" t="str">
        <x:v>БОЛТ 1.2 М36*1500 СТ3ПС2 ГОСТ24379.1-12</x:v>
      </x:c>
      <x:c r="D251" s="16" t="str">
        <x:v>Метизы</x:v>
      </x:c>
      <x:c r="E251" s="16" t="str">
        <x:v>КГ</x:v>
      </x:c>
      <x:c r="F251" s="21" t="n">
        <x:v>668</x:v>
      </x:c>
      <x:c r="G251" s="17" t="n">
        <x:v>89.69439999999999</x:v>
      </x:c>
      <x:c r="H251" s="17" t="n">
        <x:f>G251*F251</x:f>
        <x:v>59915.85919999999</x:v>
      </x:c>
      <x:c r="I251" s="22" t="str">
        <x:f>HYPERLINK("https://etp-aktiv.ru/catalog/materialy/metizy/2000956760-V311/","Открыть позицию")</x:f>
        <x:v>Открыть позицию</x:v>
      </x:c>
    </x:row>
    <x:row r="252" ht="28" customHeight="1">
      <x:c r="A252" s="16" t="str">
        <x:v>Назаровская ГРЭС</x:v>
      </x:c>
      <x:c r="B252" s="16" t="str">
        <x:v>2000957066-V311</x:v>
      </x:c>
      <x:c r="C252" s="16" t="str">
        <x:v>БОЛТ 1.2 М36*2000 СТ3ПС2 ГОСТ24379.1-12</x:v>
      </x:c>
      <x:c r="D252" s="16" t="str">
        <x:v>Метизы</x:v>
      </x:c>
      <x:c r="E252" s="16" t="str">
        <x:v>КГ</x:v>
      </x:c>
      <x:c r="F252" s="21" t="n">
        <x:v>547</x:v>
      </x:c>
      <x:c r="G252" s="17" t="n">
        <x:v>89.69439999999999</x:v>
      </x:c>
      <x:c r="H252" s="17" t="n">
        <x:f>G252*F252</x:f>
        <x:v>49062.83679999999</x:v>
      </x:c>
      <x:c r="I252" s="22" t="str">
        <x:f>HYPERLINK("https://etp-aktiv.ru/catalog/materialy/metizy/2000957066-V311/","Открыть позицию")</x:f>
        <x:v>Открыть позицию</x:v>
      </x:c>
    </x:row>
    <x:row r="253" ht="28" customHeight="1">
      <x:c r="A253" s="16" t="str">
        <x:v>Назаровская ГРЭС</x:v>
      </x:c>
      <x:c r="B253" s="16" t="str">
        <x:v>2000146907-V311</x:v>
      </x:c>
      <x:c r="C253" s="16" t="str">
        <x:v>БОЛТ АНКЕРНЫЙ М6*50 ГОСТ20700-75</x:v>
      </x:c>
      <x:c r="D253" s="16" t="str">
        <x:v>Метизы</x:v>
      </x:c>
      <x:c r="E253" s="16" t="str">
        <x:v>КГ</x:v>
      </x:c>
      <x:c r="F253" s="26" t="n">
        <x:v>52.174</x:v>
      </x:c>
      <x:c r="G253" s="17" t="n">
        <x:v>162.138</x:v>
      </x:c>
      <x:c r="H253" s="17" t="n">
        <x:f>G253*F253</x:f>
        <x:v>8459.388012</x:v>
      </x:c>
      <x:c r="I253" s="22" t="str">
        <x:f>HYPERLINK("https://etp-aktiv.ru/catalog/materialy/metizy/2000146907-V311/","Открыть позицию")</x:f>
        <x:v>Открыть позицию</x:v>
      </x:c>
    </x:row>
    <x:row r="254" ht="28" customHeight="1">
      <x:c r="A254" s="16" t="str">
        <x:v>Назаровская ГРЭС</x:v>
      </x:c>
      <x:c r="B254" s="16" t="str">
        <x:v>2000452863-V311</x:v>
      </x:c>
      <x:c r="C254" s="16" t="str">
        <x:v>БОЛТ АНКЕРНЫЙ М6*85 СТ3 5.8 ГОСТ20700-75</x:v>
      </x:c>
      <x:c r="D254" s="16" t="str">
        <x:v>Метизы Спец</x:v>
      </x:c>
      <x:c r="E254" s="16" t="str">
        <x:v>ШТ</x:v>
      </x:c>
      <x:c r="F254" s="21" t="n">
        <x:v>40</x:v>
      </x:c>
      <x:c r="G254" s="17" t="n">
        <x:v>6.3073999999999995</x:v>
      </x:c>
      <x:c r="H254" s="17" t="n">
        <x:f>G254*F254</x:f>
        <x:v>252.296</x:v>
      </x:c>
      <x:c r="I254" s="22" t="str">
        <x:f>HYPERLINK("https://etp-aktiv.ru/catalog/materialy/metizy/2000452863-V311/","Открыть позицию")</x:f>
        <x:v>Открыть позицию</x:v>
      </x:c>
    </x:row>
    <x:row r="255" ht="28" customHeight="1">
      <x:c r="A255" s="16" t="str">
        <x:v>Назаровская ГРЭС</x:v>
      </x:c>
      <x:c r="B255" s="16" t="str">
        <x:v>2000255644-V311</x:v>
      </x:c>
      <x:c r="C255" s="16" t="str">
        <x:v>БОЛТ АНКЕРНЫЙ М8*65 ГОСТ20700-75</x:v>
      </x:c>
      <x:c r="D255" s="16" t="str">
        <x:v>Метизы Спец</x:v>
      </x:c>
      <x:c r="E255" s="16" t="str">
        <x:v>ШТ</x:v>
      </x:c>
      <x:c r="F255" s="21" t="n">
        <x:v>2</x:v>
      </x:c>
      <x:c r="G255" s="17" t="n">
        <x:v>4.087</x:v>
      </x:c>
      <x:c r="H255" s="17" t="n">
        <x:f>G255*F255</x:f>
        <x:v>8.174</x:v>
      </x:c>
      <x:c r="I255" s="22" t="str">
        <x:f>HYPERLINK("https://etp-aktiv.ru/catalog/materialy/metizy/2000255644-V311/","Открыть позицию")</x:f>
        <x:v>Открыть позицию</x:v>
      </x:c>
    </x:row>
    <x:row r="256" ht="28" customHeight="1">
      <x:c r="A256" s="16" t="str">
        <x:v>Назаровская ГРЭС</x:v>
      </x:c>
      <x:c r="B256" s="16" t="str">
        <x:v>2000209383-V311</x:v>
      </x:c>
      <x:c r="C256" s="16" t="str">
        <x:v>БОЛТ М10*50 8.8 ОЦИНК DIN933</x:v>
      </x:c>
      <x:c r="D256" s="16" t="str">
        <x:v>Метизы Спец</x:v>
      </x:c>
      <x:c r="E256" s="16" t="str">
        <x:v>КГ</x:v>
      </x:c>
      <x:c r="F256" s="21" t="n">
        <x:v>1</x:v>
      </x:c>
      <x:c r="G256" s="17" t="n">
        <x:v>111.52019999999999</x:v>
      </x:c>
      <x:c r="H256" s="17" t="n">
        <x:f>G256*F256</x:f>
        <x:v>111.52019999999999</x:v>
      </x:c>
      <x:c r="I256" s="22" t="str">
        <x:f>HYPERLINK("https://etp-aktiv.ru/catalog/materialy/metizy/2000209383-V311/","Открыть позицию")</x:f>
        <x:v>Открыть позицию</x:v>
      </x:c>
    </x:row>
    <x:row r="257" ht="28" customHeight="1">
      <x:c r="A257" s="16" t="str">
        <x:v>Назаровская ГРЭС</x:v>
      </x:c>
      <x:c r="B257" s="16" t="str">
        <x:v>2000130116-V311</x:v>
      </x:c>
      <x:c r="C257" s="16" t="str">
        <x:v>БОЛТ М10*70 ГОСТ7798-70</x:v>
      </x:c>
      <x:c r="D257" s="16" t="str">
        <x:v>Метизы</x:v>
      </x:c>
      <x:c r="E257" s="16" t="str">
        <x:v>КГ</x:v>
      </x:c>
      <x:c r="F257" s="26" t="n">
        <x:v>14.29</x:v>
      </x:c>
      <x:c r="G257" s="17" t="n">
        <x:v>133.834</x:v>
      </x:c>
      <x:c r="H257" s="17" t="n">
        <x:f>G257*F257</x:f>
        <x:v>1912.48786</x:v>
      </x:c>
      <x:c r="I257" s="22" t="str">
        <x:f>HYPERLINK("https://etp-aktiv.ru/catalog/materialy/metizy/2000130116-V311/","Открыть позицию")</x:f>
        <x:v>Открыть позицию</x:v>
      </x:c>
    </x:row>
    <x:row r="258" ht="28" customHeight="1">
      <x:c r="A258" s="16" t="str">
        <x:v>Назаровская ГРЭС</x:v>
      </x:c>
      <x:c r="B258" s="16" t="str">
        <x:v>2000209385-V311</x:v>
      </x:c>
      <x:c r="C258" s="16" t="str">
        <x:v>БОЛТ М12*30 8.8 ОЦИНК DIN933</x:v>
      </x:c>
      <x:c r="D258" s="16" t="str">
        <x:v>Метизы Спец</x:v>
      </x:c>
      <x:c r="E258" s="16" t="str">
        <x:v>КГ</x:v>
      </x:c>
      <x:c r="F258" s="26" t="n">
        <x:v>14.978</x:v>
      </x:c>
      <x:c r="G258" s="17" t="n">
        <x:v>129.78359999999998</x:v>
      </x:c>
      <x:c r="H258" s="17" t="n">
        <x:f>G258*F258</x:f>
        <x:v>1943.8987607999995</x:v>
      </x:c>
      <x:c r="I258" s="22" t="str">
        <x:f>HYPERLINK("https://etp-aktiv.ru/catalog/materialy/metizy/2000209385-V311/","Открыть позицию")</x:f>
        <x:v>Открыть позицию</x:v>
      </x:c>
    </x:row>
    <x:row r="259" ht="28" customHeight="1">
      <x:c r="A259" s="16" t="str">
        <x:v>Назаровская ГРЭС</x:v>
      </x:c>
      <x:c r="B259" s="16" t="str">
        <x:v>2000169844-V311</x:v>
      </x:c>
      <x:c r="C259" s="16" t="str">
        <x:v>БОЛТ М14*100 ГОСТ7798-70</x:v>
      </x:c>
      <x:c r="D259" s="16" t="str">
        <x:v>Метизы</x:v>
      </x:c>
      <x:c r="E259" s="16" t="str">
        <x:v>КГ</x:v>
      </x:c>
      <x:c r="F259" s="30" t="n">
        <x:v>0.005</x:v>
      </x:c>
      <x:c r="G259" s="17" t="n">
        <x:v>107.05499999999999</x:v>
      </x:c>
      <x:c r="H259" s="17" t="n">
        <x:f>G259*F259</x:f>
        <x:v>0.535275</x:v>
      </x:c>
      <x:c r="I259" s="22" t="str">
        <x:f>HYPERLINK("https://etp-aktiv.ru/catalog/materialy/metizy/2000169844-V311/","Открыть позицию")</x:f>
        <x:v>Открыть позицию</x:v>
      </x:c>
    </x:row>
    <x:row r="260" ht="28" customHeight="1">
      <x:c r="A260" s="16" t="str">
        <x:v>Назаровская ГРЭС</x:v>
      </x:c>
      <x:c r="B260" s="16" t="str">
        <x:v>2000068294-V311</x:v>
      </x:c>
      <x:c r="C260" s="16" t="str">
        <x:v>БОЛТ М14*70 ГОСТ7805-70</x:v>
      </x:c>
      <x:c r="D260" s="16" t="str">
        <x:v>Метизы Спец</x:v>
      </x:c>
      <x:c r="E260" s="16" t="str">
        <x:v>КГ</x:v>
      </x:c>
      <x:c r="F260" s="30" t="n">
        <x:v>0.2</x:v>
      </x:c>
      <x:c r="G260" s="17" t="n">
        <x:v>107.1282</x:v>
      </x:c>
      <x:c r="H260" s="17" t="n">
        <x:f>G260*F260</x:f>
        <x:v>21.42564</x:v>
      </x:c>
      <x:c r="I260" s="22" t="str">
        <x:f>HYPERLINK("https://etp-aktiv.ru/catalog/materialy/metizy/2000068294-V311/","Открыть позицию")</x:f>
        <x:v>Открыть позицию</x:v>
      </x:c>
    </x:row>
    <x:row r="261" ht="28" customHeight="1">
      <x:c r="A261" s="16" t="str">
        <x:v>Назаровская ГРЭС</x:v>
      </x:c>
      <x:c r="B261" s="16" t="str">
        <x:v>2000247035-V311</x:v>
      </x:c>
      <x:c r="C261" s="16" t="str">
        <x:v>БОЛТ М16*20 ГОСТ7805-77</x:v>
      </x:c>
      <x:c r="D261" s="16" t="str">
        <x:v>Метизы</x:v>
      </x:c>
      <x:c r="E261" s="16" t="str">
        <x:v>КГ</x:v>
      </x:c>
      <x:c r="F261" s="26" t="n">
        <x:v>232.3</x:v>
      </x:c>
      <x:c r="G261" s="17" t="n">
        <x:v>108.5068</x:v>
      </x:c>
      <x:c r="H261" s="17" t="n">
        <x:f>G261*F261</x:f>
        <x:v>25206.12964</x:v>
      </x:c>
      <x:c r="I261" s="22" t="str">
        <x:f>HYPERLINK("https://etp-aktiv.ru/catalog/materialy/metizy/2000247035-V311/","Открыть позицию")</x:f>
        <x:v>Открыть позицию</x:v>
      </x:c>
    </x:row>
    <x:row r="262" ht="28" customHeight="1">
      <x:c r="A262" s="16" t="str">
        <x:v>Назаровская ГРЭС</x:v>
      </x:c>
      <x:c r="B262" s="16" t="str">
        <x:v>2000068352-V311</x:v>
      </x:c>
      <x:c r="C262" s="16" t="str">
        <x:v>БОЛТ М16*40 ГОСТ7798-70</x:v>
      </x:c>
      <x:c r="D262" s="16" t="str">
        <x:v>Метизы</x:v>
      </x:c>
      <x:c r="E262" s="16" t="str">
        <x:v>КГ</x:v>
      </x:c>
      <x:c r="F262" s="30" t="n">
        <x:v>0.7</x:v>
      </x:c>
      <x:c r="G262" s="17" t="n">
        <x:v>86.5102</x:v>
      </x:c>
      <x:c r="H262" s="17" t="n">
        <x:f>G262*F262</x:f>
        <x:v>60.55714</x:v>
      </x:c>
      <x:c r="I262" s="22" t="str">
        <x:f>HYPERLINK("https://etp-aktiv.ru/catalog/materialy/metizy/2000068352-V311/","Открыть позицию")</x:f>
        <x:v>Открыть позицию</x:v>
      </x:c>
    </x:row>
    <x:row r="263" ht="28" customHeight="1">
      <x:c r="A263" s="16" t="str">
        <x:v>Назаровская ГРЭС</x:v>
      </x:c>
      <x:c r="B263" s="16" t="str">
        <x:v>2000248768-V311</x:v>
      </x:c>
      <x:c r="C263" s="16" t="str">
        <x:v>БОЛТ М16-6G*60 S24 ОЦИНК ГОСТ7805-70</x:v>
      </x:c>
      <x:c r="D263" s="16" t="str">
        <x:v>Метизы</x:v>
      </x:c>
      <x:c r="E263" s="16" t="str">
        <x:v>КГ</x:v>
      </x:c>
      <x:c r="F263" s="26" t="n">
        <x:v>65.328</x:v>
      </x:c>
      <x:c r="G263" s="17" t="n">
        <x:v>72.9316</x:v>
      </x:c>
      <x:c r="H263" s="17" t="n">
        <x:f>G263*F263</x:f>
        <x:v>4764.4755648</x:v>
      </x:c>
      <x:c r="I263" s="22" t="str">
        <x:f>HYPERLINK("https://etp-aktiv.ru/catalog/materialy/metizy/2000248768-V311/","Открыть позицию")</x:f>
        <x:v>Открыть позицию</x:v>
      </x:c>
    </x:row>
    <x:row r="264" ht="28" customHeight="1">
      <x:c r="A264" s="16" t="str">
        <x:v>Назаровская ГРЭС</x:v>
      </x:c>
      <x:c r="B264" s="16" t="str">
        <x:v>2000068312-V311</x:v>
      </x:c>
      <x:c r="C264" s="16" t="str">
        <x:v>БОЛТ М30*100 ГОСТ7798-70</x:v>
      </x:c>
      <x:c r="D264" s="16" t="str">
        <x:v>Метизы</x:v>
      </x:c>
      <x:c r="E264" s="16" t="str">
        <x:v>КГ</x:v>
      </x:c>
      <x:c r="F264" s="26" t="n">
        <x:v>25.6</x:v>
      </x:c>
      <x:c r="G264" s="17" t="n">
        <x:v>118.9988</x:v>
      </x:c>
      <x:c r="H264" s="17" t="n">
        <x:f>G264*F264</x:f>
        <x:v>3046.3692800000003</x:v>
      </x:c>
      <x:c r="I264" s="22" t="str">
        <x:f>HYPERLINK("https://etp-aktiv.ru/catalog/materialy/metizy/2000068312-V311/","Открыть позицию")</x:f>
        <x:v>Открыть позицию</x:v>
      </x:c>
    </x:row>
    <x:row r="265" ht="28" customHeight="1">
      <x:c r="A265" s="16" t="str">
        <x:v>Назаровская ГРЭС</x:v>
      </x:c>
      <x:c r="B265" s="16" t="str">
        <x:v>2000182247-V311</x:v>
      </x:c>
      <x:c r="C265" s="16" t="str">
        <x:v>БОЛТ М6*10 ГОСТ7805-70</x:v>
      </x:c>
      <x:c r="D265" s="16" t="str">
        <x:v>Метизы</x:v>
      </x:c>
      <x:c r="E265" s="16" t="str">
        <x:v>КГ</x:v>
      </x:c>
      <x:c r="F265" s="26" t="n">
        <x:v>4.56</x:v>
      </x:c>
      <x:c r="G265" s="17" t="n">
        <x:v>88.64519999999999</x:v>
      </x:c>
      <x:c r="H265" s="17" t="n">
        <x:f>G265*F265</x:f>
        <x:v>404.2221119999999</x:v>
      </x:c>
      <x:c r="I265" s="22" t="str">
        <x:f>HYPERLINK("https://etp-aktiv.ru/catalog/materialy/metizy/2000182247-V311/","Открыть позицию")</x:f>
        <x:v>Открыть позицию</x:v>
      </x:c>
    </x:row>
    <x:row r="266" ht="28" customHeight="1">
      <x:c r="A266" s="16" t="str">
        <x:v>Назаровская ГРЭС</x:v>
      </x:c>
      <x:c r="B266" s="16" t="str">
        <x:v>2000068368-V311</x:v>
      </x:c>
      <x:c r="C266" s="16" t="str">
        <x:v>БОЛТ М8*20 ГОСТ7798-70</x:v>
      </x:c>
      <x:c r="D266" s="16" t="str">
        <x:v>Метизы</x:v>
      </x:c>
      <x:c r="E266" s="16" t="str">
        <x:v>КГ</x:v>
      </x:c>
      <x:c r="F266" s="26" t="n">
        <x:v>4.26</x:v>
      </x:c>
      <x:c r="G266" s="17" t="n">
        <x:v>86.2174</x:v>
      </x:c>
      <x:c r="H266" s="17" t="n">
        <x:f>G266*F266</x:f>
        <x:v>367.286124</x:v>
      </x:c>
      <x:c r="I266" s="22" t="str">
        <x:f>HYPERLINK("https://etp-aktiv.ru/catalog/materialy/metizy/2000068368-V311/","Открыть позицию")</x:f>
        <x:v>Открыть позицию</x:v>
      </x:c>
    </x:row>
    <x:row r="267" ht="28" customHeight="1">
      <x:c r="A267" s="16" t="str">
        <x:v>Назаровская ГРЭС</x:v>
      </x:c>
      <x:c r="B267" s="16" t="str">
        <x:v>2000729656-V311</x:v>
      </x:c>
      <x:c r="C267" s="16" t="str">
        <x:v>БОЛТ М8*25 ОЦИНКОВАННЫЙ DIN933</x:v>
      </x:c>
      <x:c r="D267" s="16" t="str">
        <x:v>Метизы</x:v>
      </x:c>
      <x:c r="E267" s="16" t="str">
        <x:v>КГ</x:v>
      </x:c>
      <x:c r="F267" s="26" t="n">
        <x:v>7.777</x:v>
      </x:c>
      <x:c r="G267" s="17" t="n">
        <x:v>128.344</x:v>
      </x:c>
      <x:c r="H267" s="17" t="n">
        <x:f>G267*F267</x:f>
        <x:v>998.1312879999999</x:v>
      </x:c>
      <x:c r="I267" s="22" t="str">
        <x:f>HYPERLINK("https://etp-aktiv.ru/catalog/materialy/metizy/2000729656-V311/","Открыть позицию")</x:f>
        <x:v>Открыть позицию</x:v>
      </x:c>
    </x:row>
    <x:row r="268" ht="28" customHeight="1">
      <x:c r="A268" s="16" t="str">
        <x:v>Назаровская ГРЭС</x:v>
      </x:c>
      <x:c r="B268" s="16" t="str">
        <x:v>2000321467-V311</x:v>
      </x:c>
      <x:c r="C268" s="16" t="str">
        <x:v>ВИНТ M3*30 4.8 ОЦИНК DIN7985</x:v>
      </x:c>
      <x:c r="D268" s="16" t="str">
        <x:v>Метизы</x:v>
      </x:c>
      <x:c r="E268" s="16" t="str">
        <x:v>ШТ</x:v>
      </x:c>
      <x:c r="F268" s="21" t="n">
        <x:v>144</x:v>
      </x:c>
      <x:c r="G268" s="17" t="n">
        <x:v>0.6466000000000001</x:v>
      </x:c>
      <x:c r="H268" s="17" t="n">
        <x:f>G268*F268</x:f>
        <x:v>93.11040000000001</x:v>
      </x:c>
      <x:c r="I268" s="22" t="str">
        <x:f>HYPERLINK("https://etp-aktiv.ru/catalog/materialy/metizy/2000321467-V311/","Открыть позицию")</x:f>
        <x:v>Открыть позицию</x:v>
      </x:c>
    </x:row>
    <x:row r="269" ht="28" customHeight="1">
      <x:c r="A269" s="16" t="str">
        <x:v>Назаровская ГРЭС</x:v>
      </x:c>
      <x:c r="B269" s="16" t="str">
        <x:v>2000530023-V311</x:v>
      </x:c>
      <x:c r="C269" s="16" t="str">
        <x:v>ВИНТ А.М6-6G*8.48 ГОСТ17475-80</x:v>
      </x:c>
      <x:c r="D269" s="16" t="str">
        <x:v>Метизы</x:v>
      </x:c>
      <x:c r="E269" s="16" t="str">
        <x:v>КГ</x:v>
      </x:c>
      <x:c r="F269" s="21" t="n">
        <x:v>5</x:v>
      </x:c>
      <x:c r="G269" s="17" t="n">
        <x:v>42.6878</x:v>
      </x:c>
      <x:c r="H269" s="17" t="n">
        <x:f>G269*F269</x:f>
        <x:v>213.43900000000002</x:v>
      </x:c>
      <x:c r="I269" s="22" t="str">
        <x:f>HYPERLINK("https://etp-aktiv.ru/catalog/materialy/metizy/2000530023-V311/","Открыть позицию")</x:f>
        <x:v>Открыть позицию</x:v>
      </x:c>
    </x:row>
    <x:row r="270" ht="28" customHeight="1">
      <x:c r="A270" s="16" t="str">
        <x:v>Назаровская ГРЭС</x:v>
      </x:c>
      <x:c r="B270" s="16" t="str">
        <x:v>2000590428-V311</x:v>
      </x:c>
      <x:c r="C270" s="16" t="str">
        <x:v>ВИНТ М12*50.129 DIN912</x:v>
      </x:c>
      <x:c r="D270" s="16" t="str">
        <x:v>Метизы Спец</x:v>
      </x:c>
      <x:c r="E270" s="16" t="str">
        <x:v>ШТ</x:v>
      </x:c>
      <x:c r="F270" s="21" t="n">
        <x:v>4</x:v>
      </x:c>
      <x:c r="G270" s="17" t="n">
        <x:v>33.0864</x:v>
      </x:c>
      <x:c r="H270" s="17" t="n">
        <x:f>G270*F270</x:f>
        <x:v>132.3456</x:v>
      </x:c>
      <x:c r="I270" s="22" t="str">
        <x:f>HYPERLINK("https://etp-aktiv.ru/catalog/materialy/metizy/2000590428-V311/","Открыть позицию")</x:f>
        <x:v>Открыть позицию</x:v>
      </x:c>
    </x:row>
    <x:row r="271" ht="28" customHeight="1">
      <x:c r="A271" s="16" t="str">
        <x:v>Назаровская ГРЭС</x:v>
      </x:c>
      <x:c r="B271" s="16" t="str">
        <x:v>2000864594-V311</x:v>
      </x:c>
      <x:c r="C271" s="16" t="str">
        <x:v>ВИНТ М6*12 8.8 ОЦИНК DIN916</x:v>
      </x:c>
      <x:c r="D271" s="16" t="str">
        <x:v>Метизы</x:v>
      </x:c>
      <x:c r="E271" s="16" t="str">
        <x:v>КГ</x:v>
      </x:c>
      <x:c r="F271" s="30" t="n">
        <x:v>0.03</x:v>
      </x:c>
      <x:c r="G271" s="17" t="n">
        <x:v>1199.1136</x:v>
      </x:c>
      <x:c r="H271" s="17" t="n">
        <x:f>G271*F271</x:f>
        <x:v>35.973408</x:v>
      </x:c>
      <x:c r="I271" s="22" t="str">
        <x:f>HYPERLINK("https://etp-aktiv.ru/catalog/materialy/metizy/2000864594-V311/","Открыть позицию")</x:f>
        <x:v>Открыть позицию</x:v>
      </x:c>
    </x:row>
    <x:row r="272" ht="28" customHeight="1">
      <x:c r="A272" s="16" t="str">
        <x:v>Назаровская ГРЭС</x:v>
      </x:c>
      <x:c r="B272" s="16" t="str">
        <x:v>2000152076-V311</x:v>
      </x:c>
      <x:c r="C272" s="16" t="str">
        <x:v>ВТУЛКА СЧ26 650*500*90</x:v>
      </x:c>
      <x:c r="D272" s="16" t="str">
        <x:v>М/прокат черный</x:v>
      </x:c>
      <x:c r="E272" s="16" t="str">
        <x:v>ШТ</x:v>
      </x:c>
      <x:c r="F272" s="21" t="n">
        <x:v>29</x:v>
      </x:c>
      <x:c r="G272" s="17" t="n">
        <x:v>2045.9522</x:v>
      </x:c>
      <x:c r="H272" s="17" t="n">
        <x:f>G272*F272</x:f>
        <x:v>59332.6138</x:v>
      </x:c>
      <x:c r="I272" s="22" t="str">
        <x:f>HYPERLINK("https://etp-aktiv.ru/catalog/materialy/metalloprodukciya/2000152076-V311/","Открыть позицию")</x:f>
        <x:v>Открыть позицию</x:v>
      </x:c>
    </x:row>
    <x:row r="273" ht="28" customHeight="1">
      <x:c r="A273" s="16" t="str">
        <x:v>Назаровская ГРЭС</x:v>
      </x:c>
      <x:c r="B273" s="16" t="str">
        <x:v>2000485096-V311</x:v>
      </x:c>
      <x:c r="C273" s="16" t="str">
        <x:v>ГАЙКА M4 8.8 ОЦИНК DIN934</x:v>
      </x:c>
      <x:c r="D273" s="16" t="str">
        <x:v>Метизы</x:v>
      </x:c>
      <x:c r="E273" s="16" t="str">
        <x:v>КГ</x:v>
      </x:c>
      <x:c r="F273" s="30" t="n">
        <x:v>0.82</x:v>
      </x:c>
      <x:c r="G273" s="17" t="n">
        <x:v>109.84880000000001</x:v>
      </x:c>
      <x:c r="H273" s="17" t="n">
        <x:f>G273*F273</x:f>
        <x:v>90.07601600000001</x:v>
      </x:c>
      <x:c r="I273" s="22" t="str">
        <x:f>HYPERLINK("https://etp-aktiv.ru/catalog/materialy/metizy/2000485096-V311/","Открыть позицию")</x:f>
        <x:v>Открыть позицию</x:v>
      </x:c>
    </x:row>
    <x:row r="274" ht="28" customHeight="1">
      <x:c r="A274" s="16" t="str">
        <x:v>Назаровская ГРЭС</x:v>
      </x:c>
      <x:c r="B274" s="16" t="str">
        <x:v>2000530049-V311</x:v>
      </x:c>
      <x:c r="C274" s="16" t="str">
        <x:v>ГАЙКА М12-6H.04 S18 ГОСТ5916-70</x:v>
      </x:c>
      <x:c r="D274" s="16" t="str">
        <x:v>Метизы</x:v>
      </x:c>
      <x:c r="E274" s="16" t="str">
        <x:v>ШТ</x:v>
      </x:c>
      <x:c r="F274" s="30" t="n">
        <x:v>0.5</x:v>
      </x:c>
      <x:c r="G274" s="17" t="n">
        <x:v>29.7802</x:v>
      </x:c>
      <x:c r="H274" s="17" t="n">
        <x:f>G274*F274</x:f>
        <x:v>14.8901</x:v>
      </x:c>
      <x:c r="I274" s="22" t="str">
        <x:f>HYPERLINK("https://etp-aktiv.ru/catalog/materialy/metizy/2000530049-V311/","Открыть позицию")</x:f>
        <x:v>Открыть позицию</x:v>
      </x:c>
    </x:row>
    <x:row r="275" ht="28" customHeight="1">
      <x:c r="A275" s="16" t="str">
        <x:v>Назаровская ГРЭС</x:v>
      </x:c>
      <x:c r="B275" s="16" t="str">
        <x:v>2000630108-V311</x:v>
      </x:c>
      <x:c r="C275" s="16" t="str">
        <x:v>ГАЙКА М24 5 ГОСТ Р ИСО4032-2014</x:v>
      </x:c>
      <x:c r="D275" s="16" t="str">
        <x:v>Метизы Спец</x:v>
      </x:c>
      <x:c r="E275" s="16" t="str">
        <x:v>КГ</x:v>
      </x:c>
      <x:c r="F275" s="30" t="n">
        <x:v>0.2</x:v>
      </x:c>
      <x:c r="G275" s="17" t="n">
        <x:v>96.075</x:v>
      </x:c>
      <x:c r="H275" s="17" t="n">
        <x:f>G275*F275</x:f>
        <x:v>19.215000000000003</x:v>
      </x:c>
      <x:c r="I275" s="22" t="str">
        <x:f>HYPERLINK("https://etp-aktiv.ru/catalog/materialy/metizy/2000630108-V311/","Открыть позицию")</x:f>
        <x:v>Открыть позицию</x:v>
      </x:c>
    </x:row>
    <x:row r="276" ht="28" customHeight="1">
      <x:c r="A276" s="16" t="str">
        <x:v>Назаровская ГРЭС</x:v>
      </x:c>
      <x:c r="B276" s="16" t="str">
        <x:v>2000530068-V311</x:v>
      </x:c>
      <x:c r="C276" s="16" t="str">
        <x:v>ГАЙКА М24 ГОСТ5935-73</x:v>
      </x:c>
      <x:c r="D276" s="16" t="str">
        <x:v>Метизы</x:v>
      </x:c>
      <x:c r="E276" s="16" t="str">
        <x:v>КГ</x:v>
      </x:c>
      <x:c r="F276" s="26" t="n">
        <x:v>2.522</x:v>
      </x:c>
      <x:c r="G276" s="17" t="n">
        <x:v>91.683</x:v>
      </x:c>
      <x:c r="H276" s="17" t="n">
        <x:f>G276*F276</x:f>
        <x:v>231.224526</x:v>
      </x:c>
      <x:c r="I276" s="22" t="str">
        <x:f>HYPERLINK("https://etp-aktiv.ru/catalog/materialy/metizy/2000530068-V311/","Открыть позицию")</x:f>
        <x:v>Открыть позицию</x:v>
      </x:c>
    </x:row>
    <x:row r="277" ht="28" customHeight="1">
      <x:c r="A277" s="16" t="str">
        <x:v>Назаровская ГРЭС</x:v>
      </x:c>
      <x:c r="B277" s="16" t="str">
        <x:v>2000257671-V311</x:v>
      </x:c>
      <x:c r="C277" s="16" t="str">
        <x:v>ГАЙКА М30-6Н.5 S46 ГОСТ5915-70</x:v>
      </x:c>
      <x:c r="D277" s="16" t="str">
        <x:v>Метизы Спец</x:v>
      </x:c>
      <x:c r="E277" s="16" t="str">
        <x:v>КГ</x:v>
      </x:c>
      <x:c r="F277" s="30" t="n">
        <x:v>0.1</x:v>
      </x:c>
      <x:c r="G277" s="17" t="n">
        <x:v>116.937</x:v>
      </x:c>
      <x:c r="H277" s="17" t="n">
        <x:f>G277*F277</x:f>
        <x:v>11.6937</x:v>
      </x:c>
      <x:c r="I277" s="22" t="str">
        <x:f>HYPERLINK("https://etp-aktiv.ru/catalog/materialy/metizy/2000257671-V311/","Открыть позицию")</x:f>
        <x:v>Открыть позицию</x:v>
      </x:c>
    </x:row>
    <x:row r="278" ht="28" customHeight="1">
      <x:c r="A278" s="16" t="str">
        <x:v>Назаровская ГРЭС</x:v>
      </x:c>
      <x:c r="B278" s="16" t="str">
        <x:v>2000530080-V311</x:v>
      </x:c>
      <x:c r="C278" s="16" t="str">
        <x:v>ГАЙКА М36-6H.05 S55 036 ГОСТ5916-70</x:v>
      </x:c>
      <x:c r="D278" s="16" t="str">
        <x:v>Метизы</x:v>
      </x:c>
      <x:c r="E278" s="16" t="str">
        <x:v>КГ</x:v>
      </x:c>
      <x:c r="F278" s="26" t="n">
        <x:v>3.42</x:v>
      </x:c>
      <x:c r="G278" s="17" t="n">
        <x:v>398.3788</x:v>
      </x:c>
      <x:c r="H278" s="17" t="n">
        <x:f>G278*F278</x:f>
        <x:v>1362.455496</x:v>
      </x:c>
      <x:c r="I278" s="22" t="str">
        <x:f>HYPERLINK("https://etp-aktiv.ru/catalog/materialy/metizy/2000530080-V311/","Открыть позицию")</x:f>
        <x:v>Открыть позицию</x:v>
      </x:c>
    </x:row>
    <x:row r="279" ht="28" customHeight="1">
      <x:c r="A279" s="16" t="str">
        <x:v>Назаровская ГРЭС</x:v>
      </x:c>
      <x:c r="B279" s="16" t="str">
        <x:v>2000150090-V311</x:v>
      </x:c>
      <x:c r="C279" s="16" t="str">
        <x:v>ГАЙКА М4 ГОСТ5927-70</x:v>
      </x:c>
      <x:c r="D279" s="16" t="str">
        <x:v>Метизы</x:v>
      </x:c>
      <x:c r="E279" s="16" t="str">
        <x:v>КГ</x:v>
      </x:c>
      <x:c r="F279" s="30" t="n">
        <x:v>0.01</x:v>
      </x:c>
      <x:c r="G279" s="17" t="n">
        <x:v>225.09</x:v>
      </x:c>
      <x:c r="H279" s="17" t="n">
        <x:f>G279*F279</x:f>
        <x:v>2.2509</x:v>
      </x:c>
      <x:c r="I279" s="22" t="str">
        <x:f>HYPERLINK("https://etp-aktiv.ru/catalog/materialy/metizy/2000150090-V311/","Открыть позицию")</x:f>
        <x:v>Открыть позицию</x:v>
      </x:c>
    </x:row>
    <x:row r="280" ht="28" customHeight="1">
      <x:c r="A280" s="16" t="str">
        <x:v>Назаровская ГРЭС</x:v>
      </x:c>
      <x:c r="B280" s="16" t="str">
        <x:v>2000327712-V311</x:v>
      </x:c>
      <x:c r="C280" s="16" t="str">
        <x:v>ГАЙКА М5 8.8 ОЦИНК DIN934</x:v>
      </x:c>
      <x:c r="D280" s="16" t="str">
        <x:v>Метизы Спец</x:v>
      </x:c>
      <x:c r="E280" s="16" t="str">
        <x:v>КГ</x:v>
      </x:c>
      <x:c r="F280" s="30" t="n">
        <x:v>0.271</x:v>
      </x:c>
      <x:c r="G280" s="17" t="n">
        <x:v>178.9862</x:v>
      </x:c>
      <x:c r="H280" s="17" t="n">
        <x:f>G280*F280</x:f>
        <x:v>48.5052602</x:v>
      </x:c>
      <x:c r="I280" s="22" t="str">
        <x:f>HYPERLINK("https://etp-aktiv.ru/catalog/materialy/metizy/2000327712-V311/","Открыть позицию")</x:f>
        <x:v>Открыть позицию</x:v>
      </x:c>
    </x:row>
    <x:row r="281" ht="28" customHeight="1">
      <x:c r="A281" s="16" t="str">
        <x:v>Назаровская ГРЭС</x:v>
      </x:c>
      <x:c r="B281" s="16" t="str">
        <x:v>2000375996-V311</x:v>
      </x:c>
      <x:c r="C281" s="16" t="str">
        <x:v>ГАЙКА М6 5 DIN6923</x:v>
      </x:c>
      <x:c r="D281" s="16" t="str">
        <x:v>Метизы</x:v>
      </x:c>
      <x:c r="E281" s="16" t="str">
        <x:v>КГ</x:v>
      </x:c>
      <x:c r="F281" s="30" t="n">
        <x:v>0.004</x:v>
      </x:c>
      <x:c r="G281" s="17" t="n">
        <x:v>301.95</x:v>
      </x:c>
      <x:c r="H281" s="17" t="n">
        <x:f>G281*F281</x:f>
        <x:v>1.2078</x:v>
      </x:c>
      <x:c r="I281" s="22" t="str">
        <x:f>HYPERLINK("https://etp-aktiv.ru/catalog/materialy/metizy/2000375996-V311/","Открыть позицию")</x:f>
        <x:v>Открыть позицию</x:v>
      </x:c>
    </x:row>
    <x:row r="282" ht="28" customHeight="1">
      <x:c r="A282" s="16" t="str">
        <x:v>Назаровская ГРЭС</x:v>
      </x:c>
      <x:c r="B282" s="16" t="str">
        <x:v>2000208374-V311</x:v>
      </x:c>
      <x:c r="C282" s="16" t="str">
        <x:v>ГАЙКА М6 8.8 ОЦИНК DIN934</x:v>
      </x:c>
      <x:c r="D282" s="16" t="str">
        <x:v>Метизы</x:v>
      </x:c>
      <x:c r="E282" s="16" t="str">
        <x:v>КГ</x:v>
      </x:c>
      <x:c r="F282" s="26" t="n">
        <x:v>15.785</x:v>
      </x:c>
      <x:c r="G282" s="17" t="n">
        <x:v>66.49</x:v>
      </x:c>
      <x:c r="H282" s="17" t="n">
        <x:f>G282*F282</x:f>
        <x:v>1049.5446499999998</x:v>
      </x:c>
      <x:c r="I282" s="22" t="str">
        <x:f>HYPERLINK("https://etp-aktiv.ru/catalog/materialy/metizy/2000208374-V311/","Открыть позицию")</x:f>
        <x:v>Открыть позицию</x:v>
      </x:c>
    </x:row>
    <x:row r="283" ht="28" customHeight="1">
      <x:c r="A283" s="16" t="str">
        <x:v>Назаровская ГРЭС</x:v>
      </x:c>
      <x:c r="B283" s="16" t="str">
        <x:v>2000068470-V311</x:v>
      </x:c>
      <x:c r="C283" s="16" t="str">
        <x:v>ГАЙКА М6 ГОСТ5915-70 (КГ)</x:v>
      </x:c>
      <x:c r="D283" s="16" t="str">
        <x:v>Метизы</x:v>
      </x:c>
      <x:c r="E283" s="16" t="str">
        <x:v>КГ</x:v>
      </x:c>
      <x:c r="F283" s="26" t="n">
        <x:v>35.687</x:v>
      </x:c>
      <x:c r="G283" s="17" t="n">
        <x:v>55.9492</x:v>
      </x:c>
      <x:c r="H283" s="17" t="n">
        <x:f>G283*F283</x:f>
        <x:v>1996.6591003999997</x:v>
      </x:c>
      <x:c r="I283" s="22" t="str">
        <x:f>HYPERLINK("https://etp-aktiv.ru/catalog/materialy/metizy/2000068470-V311/","Открыть позицию")</x:f>
        <x:v>Открыть позицию</x:v>
      </x:c>
    </x:row>
    <x:row r="284" ht="28" customHeight="1">
      <x:c r="A284" s="16" t="str">
        <x:v>Назаровская ГРЭС</x:v>
      </x:c>
      <x:c r="B284" s="16" t="str">
        <x:v>2000156436-V311</x:v>
      </x:c>
      <x:c r="C284" s="16" t="str">
        <x:v>ГАЙКА М6 ОЦИНК ГОСТ5915-70</x:v>
      </x:c>
      <x:c r="D284" s="16" t="str">
        <x:v>Метизы Спец</x:v>
      </x:c>
      <x:c r="E284" s="16" t="str">
        <x:v>ШТ</x:v>
      </x:c>
      <x:c r="F284" s="21" t="n">
        <x:v>90</x:v>
      </x:c>
      <x:c r="G284" s="17" t="n">
        <x:v>0.2928</x:v>
      </x:c>
      <x:c r="H284" s="17" t="n">
        <x:f>G284*F284</x:f>
        <x:v>26.352</x:v>
      </x:c>
      <x:c r="I284" s="22" t="str">
        <x:f>HYPERLINK("https://etp-aktiv.ru/catalog/materialy/metizy/2000156436-V311/","Открыть позицию")</x:f>
        <x:v>Открыть позицию</x:v>
      </x:c>
    </x:row>
    <x:row r="285" ht="28" customHeight="1">
      <x:c r="A285" s="16" t="str">
        <x:v>Назаровская ГРЭС</x:v>
      </x:c>
      <x:c r="B285" s="16" t="str">
        <x:v>2000208376-V311</x:v>
      </x:c>
      <x:c r="C285" s="16" t="str">
        <x:v>ГАЙКА М8 8.8 ОЦИНК DIN934</x:v>
      </x:c>
      <x:c r="D285" s="16" t="str">
        <x:v>Метизы</x:v>
      </x:c>
      <x:c r="E285" s="16" t="str">
        <x:v>КГ</x:v>
      </x:c>
      <x:c r="F285" s="26" t="n">
        <x:v>3.227</x:v>
      </x:c>
      <x:c r="G285" s="17" t="n">
        <x:v>105.835</x:v>
      </x:c>
      <x:c r="H285" s="17" t="n">
        <x:f>G285*F285</x:f>
        <x:v>341.529545</x:v>
      </x:c>
      <x:c r="I285" s="22" t="str">
        <x:f>HYPERLINK("https://etp-aktiv.ru/catalog/materialy/metizy/2000208376-V311/","Открыть позицию")</x:f>
        <x:v>Открыть позицию</x:v>
      </x:c>
    </x:row>
    <x:row r="286" ht="28" customHeight="1">
      <x:c r="A286" s="16" t="str">
        <x:v>Назаровская ГРЭС</x:v>
      </x:c>
      <x:c r="B286" s="16" t="str">
        <x:v>2000068534-V311</x:v>
      </x:c>
      <x:c r="C286" s="16" t="str">
        <x:v>ГВОЗДЬ 1,2*20 ГОСТ4028-63</x:v>
      </x:c>
      <x:c r="D286" s="16" t="str">
        <x:v>Метизы</x:v>
      </x:c>
      <x:c r="E286" s="16" t="str">
        <x:v>КГ</x:v>
      </x:c>
      <x:c r="F286" s="30" t="n">
        <x:v>0.5</x:v>
      </x:c>
      <x:c r="G286" s="17" t="n">
        <x:v>81.5814</x:v>
      </x:c>
      <x:c r="H286" s="17" t="n">
        <x:f>G286*F286</x:f>
        <x:v>40.7907</x:v>
      </x:c>
      <x:c r="I286" s="22" t="str">
        <x:f>HYPERLINK("https://etp-aktiv.ru/catalog/materialy/metizy/2000068534-V311/","Открыть позицию")</x:f>
        <x:v>Открыть позицию</x:v>
      </x:c>
    </x:row>
    <x:row r="287" ht="28" customHeight="1">
      <x:c r="A287" s="16" t="str">
        <x:v>Назаровская ГРЭС</x:v>
      </x:c>
      <x:c r="B287" s="16" t="str">
        <x:v>2000068546-V311</x:v>
      </x:c>
      <x:c r="C287" s="16" t="str">
        <x:v>ГВОЗДЬ 5*120 ГОСТ4028-63</x:v>
      </x:c>
      <x:c r="D287" s="16" t="str">
        <x:v>Метизы</x:v>
      </x:c>
      <x:c r="E287" s="16" t="str">
        <x:v>КГ</x:v>
      </x:c>
      <x:c r="F287" s="21" t="n">
        <x:v>8</x:v>
      </x:c>
      <x:c r="G287" s="17" t="n">
        <x:v>46.9578</x:v>
      </x:c>
      <x:c r="H287" s="17" t="n">
        <x:f>G287*F287</x:f>
        <x:v>375.6624</x:v>
      </x:c>
      <x:c r="I287" s="22" t="str">
        <x:f>HYPERLINK("https://etp-aktiv.ru/catalog/materialy/metizy/2000068546-V311/","Открыть позицию")</x:f>
        <x:v>Открыть позицию</x:v>
      </x:c>
    </x:row>
    <x:row r="288" ht="28" customHeight="1">
      <x:c r="A288" s="16" t="str">
        <x:v>Назаровская ГРЭС</x:v>
      </x:c>
      <x:c r="B288" s="16" t="str">
        <x:v>2000068547-V311</x:v>
      </x:c>
      <x:c r="C288" s="16" t="str">
        <x:v>ГВОЗДЬ 5*150 ГОСТ4028-63</x:v>
      </x:c>
      <x:c r="D288" s="16" t="str">
        <x:v>Метизы</x:v>
      </x:c>
      <x:c r="E288" s="16" t="str">
        <x:v>КГ</x:v>
      </x:c>
      <x:c r="F288" s="21" t="n">
        <x:v>15</x:v>
      </x:c>
      <x:c r="G288" s="17" t="n">
        <x:v>85.1926</x:v>
      </x:c>
      <x:c r="H288" s="17" t="n">
        <x:f>G288*F288</x:f>
        <x:v>1277.889</x:v>
      </x:c>
      <x:c r="I288" s="22" t="str">
        <x:f>HYPERLINK("https://etp-aktiv.ru/catalog/materialy/metizy/2000068547-V311/","Открыть позицию")</x:f>
        <x:v>Открыть позицию</x:v>
      </x:c>
    </x:row>
    <x:row r="289" ht="28" customHeight="1">
      <x:c r="A289" s="16" t="str">
        <x:v>Назаровская ГРЭС</x:v>
      </x:c>
      <x:c r="B289" s="16" t="str">
        <x:v>2000555677-V311</x:v>
      </x:c>
      <x:c r="C289" s="16" t="str">
        <x:v>ДВУТАВР СТ3ПС5 16 ГОСТ8239-89</x:v>
      </x:c>
      <x:c r="D289" s="16" t="str">
        <x:v>М/прокат черный</x:v>
      </x:c>
      <x:c r="E289" s="16" t="str">
        <x:v>Т</x:v>
      </x:c>
      <x:c r="F289" s="30" t="n">
        <x:v>0.642</x:v>
      </x:c>
      <x:c r="G289" s="17" t="n">
        <x:v>79666.32939999999</x:v>
      </x:c>
      <x:c r="H289" s="17" t="n">
        <x:f>G289*F289</x:f>
        <x:v>51145.783474799995</x:v>
      </x:c>
      <x:c r="I289" s="22" t="str">
        <x:f>HYPERLINK("https://etp-aktiv.ru/catalog/materialy/metalloprodukciya/2000555677-V311/","Открыть позицию")</x:f>
        <x:v>Открыть позицию</x:v>
      </x:c>
    </x:row>
    <x:row r="290" ht="28" customHeight="1">
      <x:c r="A290" s="16" t="str">
        <x:v>Назаровская ГРЭС</x:v>
      </x:c>
      <x:c r="B290" s="16" t="str">
        <x:v>2000443582-V311</x:v>
      </x:c>
      <x:c r="C290" s="16" t="str">
        <x:v>ДЮБЕЛЬ 4,5*50 СТЗ ГОСТ10618-80 (ШТ)</x:v>
      </x:c>
      <x:c r="D290" s="16" t="str">
        <x:v>Метизы</x:v>
      </x:c>
      <x:c r="E290" s="16" t="str">
        <x:v>ШТ</x:v>
      </x:c>
      <x:c r="F290" s="21" t="n">
        <x:v>50</x:v>
      </x:c>
      <x:c r="G290" s="17" t="n">
        <x:v>1.9642000000000002</x:v>
      </x:c>
      <x:c r="H290" s="17" t="n">
        <x:f>G290*F290</x:f>
        <x:v>98.21000000000001</x:v>
      </x:c>
      <x:c r="I290" s="22" t="str">
        <x:f>HYPERLINK("https://etp-aktiv.ru/catalog/materialy/metizy/2000443582-V311/","Открыть позицию")</x:f>
        <x:v>Открыть позицию</x:v>
      </x:c>
    </x:row>
    <x:row r="291" ht="28" customHeight="1">
      <x:c r="A291" s="16" t="str">
        <x:v>Назаровская ГРЭС</x:v>
      </x:c>
      <x:c r="B291" s="16" t="str">
        <x:v>2000603659-V311</x:v>
      </x:c>
      <x:c r="C291" s="16" t="str">
        <x:v>ДЮБЕЛЬ ПЛАСТМАССОВЫЙ (100ШТ) 12*70</x:v>
      </x:c>
      <x:c r="D291" s="16" t="str">
        <x:v>Метизы</x:v>
      </x:c>
      <x:c r="E291" s="16" t="str">
        <x:v>УПК</x:v>
      </x:c>
      <x:c r="F291" s="26" t="n">
        <x:v>2.39</x:v>
      </x:c>
      <x:c r="G291" s="17" t="n">
        <x:v>295.9476</x:v>
      </x:c>
      <x:c r="H291" s="17" t="n">
        <x:f>G291*F291</x:f>
        <x:v>707.3147640000001</x:v>
      </x:c>
      <x:c r="I291" s="22" t="str">
        <x:f>HYPERLINK("https://etp-aktiv.ru/catalog/materialy/metizy/2000603659-V311/","Открыть позицию")</x:f>
        <x:v>Открыть позицию</x:v>
      </x:c>
    </x:row>
    <x:row r="292" ht="28" customHeight="1">
      <x:c r="A292" s="16" t="str">
        <x:v>Назаровская ГРЭС</x:v>
      </x:c>
      <x:c r="B292" s="16" t="str">
        <x:v>2000230954-V311</x:v>
      </x:c>
      <x:c r="C292" s="16" t="str">
        <x:v>ЗАКЛЕПКА 4*10 ГОСТ10299-80</x:v>
      </x:c>
      <x:c r="D292" s="16" t="str">
        <x:v>Метизы Спец</x:v>
      </x:c>
      <x:c r="E292" s="16" t="str">
        <x:v>ШТ</x:v>
      </x:c>
      <x:c r="F292" s="21" t="n">
        <x:v>1340</x:v>
      </x:c>
      <x:c r="G292" s="17" t="n">
        <x:v>1.5493999999999999</x:v>
      </x:c>
      <x:c r="H292" s="17" t="n">
        <x:f>G292*F292</x:f>
        <x:v>2076.196</x:v>
      </x:c>
      <x:c r="I292" s="22" t="str">
        <x:f>HYPERLINK("https://etp-aktiv.ru/catalog/materialy/metizy/2000230954-V311/","Открыть позицию")</x:f>
        <x:v>Открыть позицию</x:v>
      </x:c>
    </x:row>
    <x:row r="293" ht="28" customHeight="1">
      <x:c r="A293" s="16" t="str">
        <x:v>Назаровская ГРЭС</x:v>
      </x:c>
      <x:c r="B293" s="16" t="str">
        <x:v>2000851767-V311</x:v>
      </x:c>
      <x:c r="C293" s="16" t="str">
        <x:v>КОЛЬЦО А120 ГОСТ13943-86</x:v>
      </x:c>
      <x:c r="D293" s="16" t="str">
        <x:v>Метизы Спец</x:v>
      </x:c>
      <x:c r="E293" s="16" t="str">
        <x:v>ШТ</x:v>
      </x:c>
      <x:c r="F293" s="21" t="n">
        <x:v>6</x:v>
      </x:c>
      <x:c r="G293" s="17" t="n">
        <x:v>140.1292</x:v>
      </x:c>
      <x:c r="H293" s="17" t="n">
        <x:f>G293*F293</x:f>
        <x:v>840.7752</x:v>
      </x:c>
      <x:c r="I293" s="22" t="str">
        <x:f>HYPERLINK("https://etp-aktiv.ru/catalog/materialy/metizy/2000851767-V311/","Открыть позицию")</x:f>
        <x:v>Открыть позицию</x:v>
      </x:c>
    </x:row>
    <x:row r="294" ht="28" customHeight="1">
      <x:c r="A294" s="16" t="str">
        <x:v>Назаровская ГРЭС</x:v>
      </x:c>
      <x:c r="B294" s="16" t="str">
        <x:v>2000309376-V311</x:v>
      </x:c>
      <x:c r="C294" s="16" t="str">
        <x:v>КОЛЬЦО СТОПОРНОЕ А-140 ГОСТ13943-86</x:v>
      </x:c>
      <x:c r="D294" s="16" t="str">
        <x:v>Метизы Спец</x:v>
      </x:c>
      <x:c r="E294" s="16" t="str">
        <x:v>ШТ</x:v>
      </x:c>
      <x:c r="F294" s="21" t="n">
        <x:v>6</x:v>
      </x:c>
      <x:c r="G294" s="17" t="n">
        <x:v>196.9568</x:v>
      </x:c>
      <x:c r="H294" s="17" t="n">
        <x:f>G294*F294</x:f>
        <x:v>1181.7408</x:v>
      </x:c>
      <x:c r="I294" s="22" t="str">
        <x:f>HYPERLINK("https://etp-aktiv.ru/catalog/materialy/metizy/2000309376-V311/","Открыть позицию")</x:f>
        <x:v>Открыть позицию</x:v>
      </x:c>
    </x:row>
    <x:row r="295" ht="28" customHeight="1">
      <x:c r="A295" s="16" t="str">
        <x:v>Назаровская ГРЭС</x:v>
      </x:c>
      <x:c r="B295" s="16" t="str">
        <x:v>2000450506-V311</x:v>
      </x:c>
      <x:c r="C295" s="16" t="str">
        <x:v>КРУГ 09Г2С D75ММ ГОСТ2590-2006</x:v>
      </x:c>
      <x:c r="D295" s="16" t="str">
        <x:v>М/прокат черный</x:v>
      </x:c>
      <x:c r="E295" s="16" t="str">
        <x:v>Т</x:v>
      </x:c>
      <x:c r="F295" s="30" t="n">
        <x:v>0.004</x:v>
      </x:c>
      <x:c r="G295" s="17" t="n">
        <x:v>1209556.8</x:v>
      </x:c>
      <x:c r="H295" s="17" t="n">
        <x:f>G295*F295</x:f>
        <x:v>4838.2272</x:v>
      </x:c>
      <x:c r="I295" s="22" t="str">
        <x:f>HYPERLINK("https://etp-aktiv.ru/catalog/materialy/metalloprodukciya/2000450506-V311/","Открыть позицию")</x:f>
        <x:v>Открыть позицию</x:v>
      </x:c>
    </x:row>
    <x:row r="296" ht="28" customHeight="1">
      <x:c r="A296" s="16" t="str">
        <x:v>Назаровская ГРЭС</x:v>
      </x:c>
      <x:c r="B296" s="16" t="str">
        <x:v>2000148233-V311</x:v>
      </x:c>
      <x:c r="C296" s="16" t="str">
        <x:v>КРУГ 12Х18Н10Т D50ММ ГОСТ5949-75</x:v>
      </x:c>
      <x:c r="D296" s="16" t="str">
        <x:v>М/прокат нерж сталь</x:v>
      </x:c>
      <x:c r="E296" s="16" t="str">
        <x:v>Т</x:v>
      </x:c>
      <x:c r="F296" s="30" t="n">
        <x:v>0.007</x:v>
      </x:c>
      <x:c r="G296" s="17" t="n">
        <x:v>140734.991</x:v>
      </x:c>
      <x:c r="H296" s="17" t="n">
        <x:f>G296*F296</x:f>
        <x:v>985.1449370000001</x:v>
      </x:c>
      <x:c r="I296" s="22" t="str">
        <x:f>HYPERLINK("https://etp-aktiv.ru/catalog/materialy/metalloprodukciya/2000148233-V311/","Открыть позицию")</x:f>
        <x:v>Открыть позицию</x:v>
      </x:c>
    </x:row>
    <x:row r="297" ht="28" customHeight="1">
      <x:c r="A297" s="16" t="str">
        <x:v>Назаровская ГРЭС</x:v>
      </x:c>
      <x:c r="B297" s="16" t="str">
        <x:v>2000555555-V311</x:v>
      </x:c>
      <x:c r="C297" s="16" t="str">
        <x:v>КРУГ 12Х18Н10Т D5ММ ГОСТ5949-75</x:v>
      </x:c>
      <x:c r="D297" s="16" t="str">
        <x:v>М/прокат нерж сталь</x:v>
      </x:c>
      <x:c r="E297" s="16" t="str">
        <x:v>Т</x:v>
      </x:c>
      <x:c r="F297" s="30" t="n">
        <x:v>0.111</x:v>
      </x:c>
      <x:c r="G297" s="17" t="n">
        <x:v>235824.8654</x:v>
      </x:c>
      <x:c r="H297" s="17" t="n">
        <x:f>G297*F297</x:f>
        <x:v>26176.560059400003</x:v>
      </x:c>
      <x:c r="I297" s="22" t="str">
        <x:f>HYPERLINK("https://etp-aktiv.ru/catalog/materialy/metalloprodukciya/2000555555-V311/","Открыть позицию")</x:f>
        <x:v>Открыть позицию</x:v>
      </x:c>
    </x:row>
    <x:row r="298" ht="28" customHeight="1">
      <x:c r="A298" s="16" t="str">
        <x:v>Назаровская ГРЭС</x:v>
      </x:c>
      <x:c r="B298" s="16" t="str">
        <x:v>2000151046-V311</x:v>
      </x:c>
      <x:c r="C298" s="16" t="str">
        <x:v>КРУГ 12Х1МФ D12ММ ГОСТ20072-74</x:v>
      </x:c>
      <x:c r="D298" s="16" t="str">
        <x:v>М/прокат нерж сталь</x:v>
      </x:c>
      <x:c r="E298" s="16" t="str">
        <x:v>Т</x:v>
      </x:c>
      <x:c r="F298" s="30" t="n">
        <x:v>0.1</x:v>
      </x:c>
      <x:c r="G298" s="17" t="n">
        <x:v>145828.125</x:v>
      </x:c>
      <x:c r="H298" s="17" t="n">
        <x:f>G298*F298</x:f>
        <x:v>14582.8125</x:v>
      </x:c>
      <x:c r="I298" s="22" t="str">
        <x:f>HYPERLINK("https://etp-aktiv.ru/catalog/materialy/metalloprodukciya/2000151046-V311/","Открыть позицию")</x:f>
        <x:v>Открыть позицию</x:v>
      </x:c>
    </x:row>
    <x:row r="299" ht="28" customHeight="1">
      <x:c r="A299" s="16" t="str">
        <x:v>Назаровская ГРЭС</x:v>
      </x:c>
      <x:c r="B299" s="16" t="str">
        <x:v>2000555544-V311</x:v>
      </x:c>
      <x:c r="C299" s="16" t="str">
        <x:v>КРУГ 12Х1МФ D160ММ ГОСТ20072-74</x:v>
      </x:c>
      <x:c r="D299" s="16" t="str">
        <x:v>М/прокат нерж сталь</x:v>
      </x:c>
      <x:c r="E299" s="16" t="str">
        <x:v>Т</x:v>
      </x:c>
      <x:c r="F299" s="30" t="n">
        <x:v>0.02</x:v>
      </x:c>
      <x:c r="G299" s="17" t="n">
        <x:v>40090.2614</x:v>
      </x:c>
      <x:c r="H299" s="17" t="n">
        <x:f>G299*F299</x:f>
        <x:v>801.805228</x:v>
      </x:c>
      <x:c r="I299" s="22" t="str">
        <x:f>HYPERLINK("https://etp-aktiv.ru/catalog/materialy/metalloprodukciya/2000555544-V311/","Открыть позицию")</x:f>
        <x:v>Открыть позицию</x:v>
      </x:c>
    </x:row>
    <x:row r="300" ht="28" customHeight="1">
      <x:c r="A300" s="16" t="str">
        <x:v>Назаровская ГРЭС</x:v>
      </x:c>
      <x:c r="B300" s="16" t="str">
        <x:v>2000169824-V311</x:v>
      </x:c>
      <x:c r="C300" s="16" t="str">
        <x:v>КРУГ 12Х1МФ D16ММ ГОСТ20072-74</x:v>
      </x:c>
      <x:c r="D300" s="16" t="str">
        <x:v>М/прокат нерж сталь</x:v>
      </x:c>
      <x:c r="E300" s="16" t="str">
        <x:v>Т</x:v>
      </x:c>
      <x:c r="F300" s="30" t="n">
        <x:v>0.188</x:v>
      </x:c>
      <x:c r="G300" s="17" t="n">
        <x:v>159585.8332</x:v>
      </x:c>
      <x:c r="H300" s="17" t="n">
        <x:f>G300*F300</x:f>
        <x:v>30002.1366416</x:v>
      </x:c>
      <x:c r="I300" s="22" t="str">
        <x:f>HYPERLINK("https://etp-aktiv.ru/catalog/materialy/metalloprodukciya/2000169824-V311/","Открыть позицию")</x:f>
        <x:v>Открыть позицию</x:v>
      </x:c>
    </x:row>
    <x:row r="301" ht="28" customHeight="1">
      <x:c r="A301" s="16" t="str">
        <x:v>Назаровская ГРЭС</x:v>
      </x:c>
      <x:c r="B301" s="16" t="str">
        <x:v>2000590625-V311</x:v>
      </x:c>
      <x:c r="C301" s="16" t="str">
        <x:v>КРУГ 12Х1МФ D42ММ ГОСТ20072-74</x:v>
      </x:c>
      <x:c r="D301" s="16" t="str">
        <x:v>М/прокат нерж сталь</x:v>
      </x:c>
      <x:c r="E301" s="16" t="str">
        <x:v>Т</x:v>
      </x:c>
      <x:c r="F301" s="30" t="n">
        <x:v>0.212</x:v>
      </x:c>
      <x:c r="G301" s="17" t="n">
        <x:v>124245.5686</x:v>
      </x:c>
      <x:c r="H301" s="17" t="n">
        <x:f>G301*F301</x:f>
        <x:v>26340.060543199997</x:v>
      </x:c>
      <x:c r="I301" s="22" t="str">
        <x:f>HYPERLINK("https://etp-aktiv.ru/catalog/materialy/metalloprodukciya/2000590625-V311/","Открыть позицию")</x:f>
        <x:v>Открыть позицию</x:v>
      </x:c>
    </x:row>
    <x:row r="302" ht="28" customHeight="1">
      <x:c r="A302" s="16" t="str">
        <x:v>Назаровская ГРЭС</x:v>
      </x:c>
      <x:c r="B302" s="16" t="str">
        <x:v>2000555537-V311</x:v>
      </x:c>
      <x:c r="C302" s="16" t="str">
        <x:v>КРУГ 20Х13 D110ММ ГОСТ5949-75</x:v>
      </x:c>
      <x:c r="D302" s="16" t="str">
        <x:v>М/прокат нерж сталь</x:v>
      </x:c>
      <x:c r="E302" s="16" t="str">
        <x:v>Т</x:v>
      </x:c>
      <x:c r="F302" s="30" t="n">
        <x:v>0.081</x:v>
      </x:c>
      <x:c r="G302" s="17" t="n">
        <x:v>87752.91639999999</x:v>
      </x:c>
      <x:c r="H302" s="17" t="n">
        <x:f>G302*F302</x:f>
        <x:v>7107.986228399999</x:v>
      </x:c>
      <x:c r="I302" s="22" t="str">
        <x:f>HYPERLINK("https://etp-aktiv.ru/catalog/materialy/metalloprodukciya/2000555537-V311/","Открыть позицию")</x:f>
        <x:v>Открыть позицию</x:v>
      </x:c>
    </x:row>
    <x:row r="303" ht="28" customHeight="1">
      <x:c r="A303" s="16" t="str">
        <x:v>Назаровская ГРЭС</x:v>
      </x:c>
      <x:c r="B303" s="16" t="str">
        <x:v>2000555541-V311</x:v>
      </x:c>
      <x:c r="C303" s="16" t="str">
        <x:v>КРУГ 20Х13 D16ММ ГОСТ5949-75</x:v>
      </x:c>
      <x:c r="D303" s="16" t="str">
        <x:v>М/прокат нерж сталь</x:v>
      </x:c>
      <x:c r="E303" s="16" t="str">
        <x:v>Т</x:v>
      </x:c>
      <x:c r="F303" s="30" t="n">
        <x:v>0.002</x:v>
      </x:c>
      <x:c r="G303" s="17" t="n">
        <x:v>198788.71540000002</x:v>
      </x:c>
      <x:c r="H303" s="17" t="n">
        <x:f>G303*F303</x:f>
        <x:v>397.57743080000006</x:v>
      </x:c>
      <x:c r="I303" s="22" t="str">
        <x:f>HYPERLINK("https://etp-aktiv.ru/catalog/materialy/metalloprodukciya/2000555541-V311/","Открыть позицию")</x:f>
        <x:v>Открыть позицию</x:v>
      </x:c>
    </x:row>
    <x:row r="304" ht="28" customHeight="1">
      <x:c r="A304" s="16" t="str">
        <x:v>Назаровская ГРЭС</x:v>
      </x:c>
      <x:c r="B304" s="16" t="str">
        <x:v>2000162843-V311</x:v>
      </x:c>
      <x:c r="C304" s="16" t="str">
        <x:v>КРУГ 20Х23Н18 D12ММ ГОСТ5949-75</x:v>
      </x:c>
      <x:c r="D304" s="16" t="str">
        <x:v>М/прокат нерж сталь</x:v>
      </x:c>
      <x:c r="E304" s="16" t="str">
        <x:v>Т</x:v>
      </x:c>
      <x:c r="F304" s="30" t="n">
        <x:v>0.002</x:v>
      </x:c>
      <x:c r="G304" s="17" t="n">
        <x:v>361410.1282</x:v>
      </x:c>
      <x:c r="H304" s="17" t="n">
        <x:f>G304*F304</x:f>
        <x:v>722.8202564</x:v>
      </x:c>
      <x:c r="I304" s="22" t="str">
        <x:f>HYPERLINK("https://etp-aktiv.ru/catalog/materialy/metalloprodukciya/2000162843-V311/","Открыть позицию")</x:f>
        <x:v>Открыть позицию</x:v>
      </x:c>
    </x:row>
    <x:row r="305" ht="28" customHeight="1">
      <x:c r="A305" s="16" t="str">
        <x:v>Назаровская ГРЭС</x:v>
      </x:c>
      <x:c r="B305" s="16" t="str">
        <x:v>2000147428-V311</x:v>
      </x:c>
      <x:c r="C305" s="16" t="str">
        <x:v>КРУГ 30Х13 D40ММ ГОСТ5949-75</x:v>
      </x:c>
      <x:c r="D305" s="16" t="str">
        <x:v>М/прокат нерж сталь</x:v>
      </x:c>
      <x:c r="E305" s="16" t="str">
        <x:v>Т</x:v>
      </x:c>
      <x:c r="F305" s="30" t="n">
        <x:v>0.004</x:v>
      </x:c>
      <x:c r="G305" s="17" t="n">
        <x:v>208300.6406</x:v>
      </x:c>
      <x:c r="H305" s="17" t="n">
        <x:f>G305*F305</x:f>
        <x:v>833.2025624</x:v>
      </x:c>
      <x:c r="I305" s="22" t="str">
        <x:f>HYPERLINK("https://etp-aktiv.ru/catalog/materialy/metalloprodukciya/2000147428-V311/","Открыть позицию")</x:f>
        <x:v>Открыть позицию</x:v>
      </x:c>
    </x:row>
    <x:row r="306" ht="28" customHeight="1">
      <x:c r="A306" s="16" t="str">
        <x:v>Назаровская ГРЭС</x:v>
      </x:c>
      <x:c r="B306" s="16" t="str">
        <x:v>2000183919-V311</x:v>
      </x:c>
      <x:c r="C306" s="16" t="str">
        <x:v>КРУГ СТ20 D10ММ ГОСТ2590-2006</x:v>
      </x:c>
      <x:c r="D306" s="16" t="str">
        <x:v>М/прокат черный</x:v>
      </x:c>
      <x:c r="E306" s="16" t="str">
        <x:v>Т</x:v>
      </x:c>
      <x:c r="F306" s="30" t="n">
        <x:v>0.004</x:v>
      </x:c>
      <x:c r="G306" s="17" t="n">
        <x:v>54900</x:v>
      </x:c>
      <x:c r="H306" s="17" t="n">
        <x:f>G306*F306</x:f>
        <x:v>219.6</x:v>
      </x:c>
      <x:c r="I306" s="22" t="str">
        <x:f>HYPERLINK("https://etp-aktiv.ru/catalog/materialy/metalloprodukciya/2000183919-V311/","Открыть позицию")</x:f>
        <x:v>Открыть позицию</x:v>
      </x:c>
    </x:row>
    <x:row r="307" ht="28" customHeight="1">
      <x:c r="A307" s="16" t="str">
        <x:v>Назаровская ГРЭС</x:v>
      </x:c>
      <x:c r="B307" s="16" t="str">
        <x:v>2000555765-V311</x:v>
      </x:c>
      <x:c r="C307" s="16" t="str">
        <x:v>КРУГ СТ20 D140ММ ГОСТ2590-2006</x:v>
      </x:c>
      <x:c r="D307" s="16" t="str">
        <x:v>М/прокат черный</x:v>
      </x:c>
      <x:c r="E307" s="16" t="str">
        <x:v>Т</x:v>
      </x:c>
      <x:c r="F307" s="26" t="n">
        <x:v>1.172</x:v>
      </x:c>
      <x:c r="G307" s="17" t="n">
        <x:v>56336.952600000004</x:v>
      </x:c>
      <x:c r="H307" s="17" t="n">
        <x:f>G307*F307</x:f>
        <x:v>66026.9084472</x:v>
      </x:c>
      <x:c r="I307" s="22" t="str">
        <x:f>HYPERLINK("https://etp-aktiv.ru/catalog/materialy/metalloprodukciya/2000555765-V311/","Открыть позицию")</x:f>
        <x:v>Открыть позицию</x:v>
      </x:c>
    </x:row>
    <x:row r="308" ht="28" customHeight="1">
      <x:c r="A308" s="16" t="str">
        <x:v>Назаровская ГРЭС</x:v>
      </x:c>
      <x:c r="B308" s="16" t="str">
        <x:v>2000028682-V311</x:v>
      </x:c>
      <x:c r="C308" s="16" t="str">
        <x:v>КРУГ СТ20 D150ММ ГОСТ1050-88</x:v>
      </x:c>
      <x:c r="D308" s="16" t="str">
        <x:v>М/прокат черный</x:v>
      </x:c>
      <x:c r="E308" s="16" t="str">
        <x:v>Т</x:v>
      </x:c>
      <x:c r="F308" s="26" t="n">
        <x:v>2.897</x:v>
      </x:c>
      <x:c r="G308" s="17" t="n">
        <x:v>49368.141800000005</x:v>
      </x:c>
      <x:c r="H308" s="17" t="n">
        <x:f>G308*F308</x:f>
        <x:v>143019.5067946</x:v>
      </x:c>
      <x:c r="I308" s="22" t="str">
        <x:f>HYPERLINK("https://etp-aktiv.ru/catalog/materialy/metalloprodukciya/2000028682-V311/","Открыть позицию")</x:f>
        <x:v>Открыть позицию</x:v>
      </x:c>
    </x:row>
    <x:row r="309" ht="28" customHeight="1">
      <x:c r="A309" s="16" t="str">
        <x:v>Назаровская ГРЭС</x:v>
      </x:c>
      <x:c r="B309" s="16" t="str">
        <x:v>2000555780-V311</x:v>
      </x:c>
      <x:c r="C309" s="16" t="str">
        <x:v>КРУГ СТ20 D190ММ ГОСТ2590-2006</x:v>
      </x:c>
      <x:c r="D309" s="16" t="str">
        <x:v>М/прокат черный</x:v>
      </x:c>
      <x:c r="E309" s="16" t="str">
        <x:v>Т</x:v>
      </x:c>
      <x:c r="F309" s="26" t="n">
        <x:v>1.171</x:v>
      </x:c>
      <x:c r="G309" s="17" t="n">
        <x:v>46116.9516</x:v>
      </x:c>
      <x:c r="H309" s="17" t="n">
        <x:f>G309*F309</x:f>
        <x:v>54002.9503236</x:v>
      </x:c>
      <x:c r="I309" s="22" t="str">
        <x:f>HYPERLINK("https://etp-aktiv.ru/catalog/materialy/metalloprodukciya/2000555780-V311/","Открыть позицию")</x:f>
        <x:v>Открыть позицию</x:v>
      </x:c>
    </x:row>
    <x:row r="310" ht="28" customHeight="1">
      <x:c r="A310" s="16" t="str">
        <x:v>Назаровская ГРЭС</x:v>
      </x:c>
      <x:c r="B310" s="16" t="str">
        <x:v>2000148524-V311</x:v>
      </x:c>
      <x:c r="C310" s="16" t="str">
        <x:v>КРУГ СТ20 D24ММ ГОСТ2590-88</x:v>
      </x:c>
      <x:c r="D310" s="16" t="str">
        <x:v>М/прокат черный</x:v>
      </x:c>
      <x:c r="E310" s="16" t="str">
        <x:v>Т</x:v>
      </x:c>
      <x:c r="F310" s="30" t="n">
        <x:v>0.016</x:v>
      </x:c>
      <x:c r="G310" s="17" t="n">
        <x:v>50034.493599999994</x:v>
      </x:c>
      <x:c r="H310" s="17" t="n">
        <x:f>G310*F310</x:f>
        <x:v>800.5518976</x:v>
      </x:c>
      <x:c r="I310" s="22" t="str">
        <x:f>HYPERLINK("https://etp-aktiv.ru/catalog/materialy/metalloprodukciya/2000148524-V311/","Открыть позицию")</x:f>
        <x:v>Открыть позицию</x:v>
      </x:c>
    </x:row>
    <x:row r="311" ht="28" customHeight="1">
      <x:c r="A311" s="16" t="str">
        <x:v>Назаровская ГРЭС</x:v>
      </x:c>
      <x:c r="B311" s="16" t="str">
        <x:v>2000555792-V311</x:v>
      </x:c>
      <x:c r="C311" s="16" t="str">
        <x:v>КРУГ СТ20 D250ММ ГОСТ2590-2006</x:v>
      </x:c>
      <x:c r="D311" s="16" t="str">
        <x:v>М/прокат черный</x:v>
      </x:c>
      <x:c r="E311" s="16" t="str">
        <x:v>Т</x:v>
      </x:c>
      <x:c r="F311" s="26" t="n">
        <x:v>1.994</x:v>
      </x:c>
      <x:c r="G311" s="17" t="n">
        <x:v>74338.0282</x:v>
      </x:c>
      <x:c r="H311" s="17" t="n">
        <x:f>G311*F311</x:f>
        <x:v>148230.0282308</x:v>
      </x:c>
      <x:c r="I311" s="22" t="str">
        <x:f>HYPERLINK("https://etp-aktiv.ru/catalog/materialy/metalloprodukciya/2000555792-V311/","Открыть позицию")</x:f>
        <x:v>Открыть позицию</x:v>
      </x:c>
    </x:row>
    <x:row r="312" ht="28" customHeight="1">
      <x:c r="A312" s="16" t="str">
        <x:v>Назаровская ГРЭС</x:v>
      </x:c>
      <x:c r="B312" s="16" t="str">
        <x:v>2000164293-V311</x:v>
      </x:c>
      <x:c r="C312" s="16" t="str">
        <x:v>КРУГ СТ20 D280ММ ГОСТ1050-88</x:v>
      </x:c>
      <x:c r="D312" s="16" t="str">
        <x:v>М/прокат черный</x:v>
      </x:c>
      <x:c r="E312" s="16" t="str">
        <x:v>Т</x:v>
      </x:c>
      <x:c r="F312" s="26" t="n">
        <x:v>1.014</x:v>
      </x:c>
      <x:c r="G312" s="17" t="n">
        <x:v>45896.33899999999</x:v>
      </x:c>
      <x:c r="H312" s="17" t="n">
        <x:f>G312*F312</x:f>
        <x:v>46538.88774599999</x:v>
      </x:c>
      <x:c r="I312" s="22" t="str">
        <x:f>HYPERLINK("https://etp-aktiv.ru/catalog/materialy/metalloprodukciya/2000164293-V311/","Открыть позицию")</x:f>
        <x:v>Открыть позицию</x:v>
      </x:c>
    </x:row>
    <x:row r="313" ht="28" customHeight="1">
      <x:c r="A313" s="16" t="str">
        <x:v>Назаровская ГРЭС</x:v>
      </x:c>
      <x:c r="B313" s="16" t="str">
        <x:v>2000014870-V311</x:v>
      </x:c>
      <x:c r="C313" s="16" t="str">
        <x:v>КРУГ СТ20 D30ММ ГОСТ1050-88</x:v>
      </x:c>
      <x:c r="D313" s="16" t="str">
        <x:v>М/прокат черный</x:v>
      </x:c>
      <x:c r="E313" s="16" t="str">
        <x:v>Т</x:v>
      </x:c>
      <x:c r="F313" s="26" t="n">
        <x:v>16.493</x:v>
      </x:c>
      <x:c r="G313" s="17" t="n">
        <x:v>50778.6936</x:v>
      </x:c>
      <x:c r="H313" s="17" t="n">
        <x:f>G313*F313</x:f>
        <x:v>837492.9935447999</x:v>
      </x:c>
      <x:c r="I313" s="22" t="str">
        <x:f>HYPERLINK("https://etp-aktiv.ru/catalog/materialy/metalloprodukciya/2000014870-V311/","Открыть позицию")</x:f>
        <x:v>Открыть позицию</x:v>
      </x:c>
    </x:row>
    <x:row r="314" ht="28" customHeight="1">
      <x:c r="A314" s="16" t="str">
        <x:v>Назаровская ГРЭС</x:v>
      </x:c>
      <x:c r="B314" s="16" t="str">
        <x:v>2000014950-V311</x:v>
      </x:c>
      <x:c r="C314" s="16" t="str">
        <x:v>КРУГ СТ20 D90ММ ГОСТ1050-88</x:v>
      </x:c>
      <x:c r="D314" s="16" t="str">
        <x:v>М/прокат черный</x:v>
      </x:c>
      <x:c r="E314" s="16" t="str">
        <x:v>Т</x:v>
      </x:c>
      <x:c r="F314" s="30" t="n">
        <x:v>0.329</x:v>
      </x:c>
      <x:c r="G314" s="17" t="n">
        <x:v>48713.3434</x:v>
      </x:c>
      <x:c r="H314" s="17" t="n">
        <x:f>G314*F314</x:f>
        <x:v>16026.6899786</x:v>
      </x:c>
      <x:c r="I314" s="22" t="str">
        <x:f>HYPERLINK("https://etp-aktiv.ru/catalog/materialy/metalloprodukciya/2000014950-V311/","Открыть позицию")</x:f>
        <x:v>Открыть позицию</x:v>
      </x:c>
    </x:row>
    <x:row r="315" ht="28" customHeight="1">
      <x:c r="A315" s="16" t="str">
        <x:v>Назаровская ГРЭС</x:v>
      </x:c>
      <x:c r="B315" s="16" t="str">
        <x:v>2000014876-V311</x:v>
      </x:c>
      <x:c r="C315" s="16" t="str">
        <x:v>КРУГ СТ3 D100ММ ГОСТ2590-2006</x:v>
      </x:c>
      <x:c r="D315" s="16" t="str">
        <x:v>М/прокат черный</x:v>
      </x:c>
      <x:c r="E315" s="16" t="str">
        <x:v>Т</x:v>
      </x:c>
      <x:c r="F315" s="30" t="n">
        <x:v>0.041</x:v>
      </x:c>
      <x:c r="G315" s="17" t="n">
        <x:v>28687.2996</x:v>
      </x:c>
      <x:c r="H315" s="17" t="n">
        <x:f>G315*F315</x:f>
        <x:v>1176.1792836</x:v>
      </x:c>
      <x:c r="I315" s="22" t="str">
        <x:f>HYPERLINK("https://etp-aktiv.ru/catalog/materialy/metalloprodukciya/2000014876-V311/","Открыть позицию")</x:f>
        <x:v>Открыть позицию</x:v>
      </x:c>
    </x:row>
    <x:row r="316" ht="28" customHeight="1">
      <x:c r="A316" s="16" t="str">
        <x:v>Назаровская ГРЭС</x:v>
      </x:c>
      <x:c r="B316" s="16" t="str">
        <x:v>2000014883-V311</x:v>
      </x:c>
      <x:c r="C316" s="16" t="str">
        <x:v>КРУГ СТ3 D180ММ ГОСТ2590-2006</x:v>
      </x:c>
      <x:c r="D316" s="16" t="str">
        <x:v>М/прокат черный</x:v>
      </x:c>
      <x:c r="E316" s="16" t="str">
        <x:v>Т</x:v>
      </x:c>
      <x:c r="F316" s="21" t="n">
        <x:v>0</x:v>
      </x:c>
      <x:c r="G316" s="17" t="n">
        <x:v>35502.121999999996</x:v>
      </x:c>
      <x:c r="H316" s="17" t="n">
        <x:f>G316*F316</x:f>
        <x:v>0</x:v>
      </x:c>
      <x:c r="I316" s="22" t="str">
        <x:f>HYPERLINK("https://etp-aktiv.ru/catalog/materialy/metalloprodukciya/2000014883-V311/","Открыть позицию")</x:f>
        <x:v>Открыть позицию</x:v>
      </x:c>
    </x:row>
    <x:row r="317" ht="28" customHeight="1">
      <x:c r="A317" s="16" t="str">
        <x:v>Назаровская ГРЭС</x:v>
      </x:c>
      <x:c r="B317" s="16" t="str">
        <x:v>2000015202-V311</x:v>
      </x:c>
      <x:c r="C317" s="16" t="str">
        <x:v>КРУГ СТ3 D25ММ ГОСТ2590-2006</x:v>
      </x:c>
      <x:c r="D317" s="16" t="str">
        <x:v>М/прокат черный</x:v>
      </x:c>
      <x:c r="E317" s="16" t="str">
        <x:v>Т</x:v>
      </x:c>
      <x:c r="F317" s="30" t="n">
        <x:v>0.04</x:v>
      </x:c>
      <x:c r="G317" s="17" t="n">
        <x:v>43987.551400000004</x:v>
      </x:c>
      <x:c r="H317" s="17" t="n">
        <x:f>G317*F317</x:f>
        <x:v>1759.5020560000003</x:v>
      </x:c>
      <x:c r="I317" s="22" t="str">
        <x:f>HYPERLINK("https://etp-aktiv.ru/catalog/materialy/metalloprodukciya/2000015202-V311/","Открыть позицию")</x:f>
        <x:v>Открыть позицию</x:v>
      </x:c>
    </x:row>
    <x:row r="318" ht="28" customHeight="1">
      <x:c r="A318" s="16" t="str">
        <x:v>Назаровская ГРЭС</x:v>
      </x:c>
      <x:c r="B318" s="16" t="str">
        <x:v>2000014894-V311</x:v>
      </x:c>
      <x:c r="C318" s="16" t="str">
        <x:v>КРУГ СТ3 D60ММ ГОСТ2590-2006</x:v>
      </x:c>
      <x:c r="D318" s="16" t="str">
        <x:v>М/прокат черный</x:v>
      </x:c>
      <x:c r="E318" s="16" t="str">
        <x:v>Т</x:v>
      </x:c>
      <x:c r="F318" s="30" t="n">
        <x:v>0.045</x:v>
      </x:c>
      <x:c r="G318" s="17" t="n">
        <x:v>50063.615</x:v>
      </x:c>
      <x:c r="H318" s="17" t="n">
        <x:f>G318*F318</x:f>
        <x:v>2252.862675</x:v>
      </x:c>
      <x:c r="I318" s="22" t="str">
        <x:f>HYPERLINK("https://etp-aktiv.ru/catalog/materialy/metalloprodukciya/2000014894-V311/","Открыть позицию")</x:f>
        <x:v>Открыть позицию</x:v>
      </x:c>
    </x:row>
    <x:row r="319" ht="28" customHeight="1">
      <x:c r="A319" s="16" t="str">
        <x:v>Назаровская ГРЭС</x:v>
      </x:c>
      <x:c r="B319" s="16" t="str">
        <x:v>2000014895-V311</x:v>
      </x:c>
      <x:c r="C319" s="16" t="str">
        <x:v>КРУГ СТ3 D65ММ ГОСТ2590-2006</x:v>
      </x:c>
      <x:c r="D319" s="16" t="str">
        <x:v>М/прокат черный</x:v>
      </x:c>
      <x:c r="E319" s="16" t="str">
        <x:v>Т</x:v>
      </x:c>
      <x:c r="F319" s="30" t="n">
        <x:v>0.552</x:v>
      </x:c>
      <x:c r="G319" s="17" t="n">
        <x:v>44926.91479999999</x:v>
      </x:c>
      <x:c r="H319" s="17" t="n">
        <x:f>G319*F319</x:f>
        <x:v>24799.656969599997</x:v>
      </x:c>
      <x:c r="I319" s="22" t="str">
        <x:f>HYPERLINK("https://etp-aktiv.ru/catalog/materialy/metalloprodukciya/2000014895-V311/","Открыть позицию")</x:f>
        <x:v>Открыть позицию</x:v>
      </x:c>
    </x:row>
    <x:row r="320" ht="28" customHeight="1">
      <x:c r="A320" s="16" t="str">
        <x:v>Назаровская ГРЭС</x:v>
      </x:c>
      <x:c r="B320" s="16" t="str">
        <x:v>2000014897-V311</x:v>
      </x:c>
      <x:c r="C320" s="16" t="str">
        <x:v>КРУГ СТ3 D80ММ ГОСТ2590-2006</x:v>
      </x:c>
      <x:c r="D320" s="16" t="str">
        <x:v>М/прокат черный</x:v>
      </x:c>
      <x:c r="E320" s="16" t="str">
        <x:v>Т</x:v>
      </x:c>
      <x:c r="F320" s="30" t="n">
        <x:v>0.098</x:v>
      </x:c>
      <x:c r="G320" s="17" t="n">
        <x:v>54900</x:v>
      </x:c>
      <x:c r="H320" s="17" t="n">
        <x:f>G320*F320</x:f>
        <x:v>5380.2</x:v>
      </x:c>
      <x:c r="I320" s="22" t="str">
        <x:f>HYPERLINK("https://etp-aktiv.ru/catalog/materialy/metalloprodukciya/2000014897-V311/","Открыть позицию")</x:f>
        <x:v>Открыть позицию</x:v>
      </x:c>
    </x:row>
    <x:row r="321" ht="28" customHeight="1">
      <x:c r="A321" s="16" t="str">
        <x:v>Назаровская ГРЭС</x:v>
      </x:c>
      <x:c r="B321" s="16" t="str">
        <x:v>2000014898-V311</x:v>
      </x:c>
      <x:c r="C321" s="16" t="str">
        <x:v>КРУГ СТ3 D90ММ ГОСТ2590-2006</x:v>
      </x:c>
      <x:c r="D321" s="16" t="str">
        <x:v>М/прокат черный</x:v>
      </x:c>
      <x:c r="E321" s="16" t="str">
        <x:v>Т</x:v>
      </x:c>
      <x:c r="F321" s="21" t="n">
        <x:v>0</x:v>
      </x:c>
      <x:c r="G321" s="17" t="n">
        <x:v>33626.25</x:v>
      </x:c>
      <x:c r="H321" s="17" t="n">
        <x:f>G321*F321</x:f>
        <x:v>0</x:v>
      </x:c>
      <x:c r="I321" s="22" t="str">
        <x:f>HYPERLINK("https://etp-aktiv.ru/catalog/materialy/metalloprodukciya/2000014898-V311/","Открыть позицию")</x:f>
        <x:v>Открыть позицию</x:v>
      </x:c>
    </x:row>
    <x:row r="322" ht="28" customHeight="1">
      <x:c r="A322" s="16" t="str">
        <x:v>Назаровская ГРЭС</x:v>
      </x:c>
      <x:c r="B322" s="16" t="str">
        <x:v>2000150968-V311</x:v>
      </x:c>
      <x:c r="C322" s="16" t="str">
        <x:v>КРУГ СТ3СП3 D25ММ ГОСТ2590-2006</x:v>
      </x:c>
      <x:c r="D322" s="16" t="str">
        <x:v>М/прокат черный</x:v>
      </x:c>
      <x:c r="E322" s="16" t="str">
        <x:v>Т</x:v>
      </x:c>
      <x:c r="F322" s="30" t="n">
        <x:v>0.026</x:v>
      </x:c>
      <x:c r="G322" s="17" t="n">
        <x:v>57397.95</x:v>
      </x:c>
      <x:c r="H322" s="17" t="n">
        <x:f>G322*F322</x:f>
        <x:v>1492.3466999999998</x:v>
      </x:c>
      <x:c r="I322" s="22" t="str">
        <x:f>HYPERLINK("https://etp-aktiv.ru/catalog/materialy/metalloprodukciya/2000150968-V311/","Открыть позицию")</x:f>
        <x:v>Открыть позицию</x:v>
      </x:c>
    </x:row>
    <x:row r="323" ht="28" customHeight="1">
      <x:c r="A323" s="16" t="str">
        <x:v>Назаровская ГРЭС</x:v>
      </x:c>
      <x:c r="B323" s="16" t="str">
        <x:v>2000015058-V311</x:v>
      </x:c>
      <x:c r="C323" s="16" t="str">
        <x:v>КРУГ СТ40Х D50ММ ГОСТ4543-71</x:v>
      </x:c>
      <x:c r="D323" s="16" t="str">
        <x:v>М/прокат черный</x:v>
      </x:c>
      <x:c r="E323" s="16" t="str">
        <x:v>Т</x:v>
      </x:c>
      <x:c r="F323" s="30" t="n">
        <x:v>0.713</x:v>
      </x:c>
      <x:c r="G323" s="17" t="n">
        <x:v>61672.952</x:v>
      </x:c>
      <x:c r="H323" s="17" t="n">
        <x:f>G323*F323</x:f>
        <x:v>43972.814776</x:v>
      </x:c>
      <x:c r="I323" s="22" t="str">
        <x:f>HYPERLINK("https://etp-aktiv.ru/catalog/materialy/metalloprodukciya/2000015058-V311/","Открыть позицию")</x:f>
        <x:v>Открыть позицию</x:v>
      </x:c>
    </x:row>
    <x:row r="324" ht="28" customHeight="1">
      <x:c r="A324" s="16" t="str">
        <x:v>Назаровская ГРЭС</x:v>
      </x:c>
      <x:c r="B324" s="16" t="str">
        <x:v>2000015062-V311</x:v>
      </x:c>
      <x:c r="C324" s="16" t="str">
        <x:v>КРУГ СТ40Х D90ММ ГОСТ4543-71</x:v>
      </x:c>
      <x:c r="D324" s="16" t="str">
        <x:v>М/прокат черный</x:v>
      </x:c>
      <x:c r="E324" s="16" t="str">
        <x:v>Т</x:v>
      </x:c>
      <x:c r="F324" s="30" t="n">
        <x:v>0.188</x:v>
      </x:c>
      <x:c r="G324" s="17" t="n">
        <x:v>41706.8468</x:v>
      </x:c>
      <x:c r="H324" s="17" t="n">
        <x:f>G324*F324</x:f>
        <x:v>7840.8871984</x:v>
      </x:c>
      <x:c r="I324" s="22" t="str">
        <x:f>HYPERLINK("https://etp-aktiv.ru/catalog/materialy/metalloprodukciya/2000015062-V311/","Открыть позицию")</x:f>
        <x:v>Открыть позицию</x:v>
      </x:c>
    </x:row>
    <x:row r="325" ht="28" customHeight="1">
      <x:c r="A325" s="16" t="str">
        <x:v>Назаровская ГРЭС</x:v>
      </x:c>
      <x:c r="B325" s="16" t="str">
        <x:v>2000014900-V311</x:v>
      </x:c>
      <x:c r="C325" s="16" t="str">
        <x:v>КРУГ СТ45 D140ММ ГОСТ1050-88</x:v>
      </x:c>
      <x:c r="D325" s="16" t="str">
        <x:v>М/прокат черный</x:v>
      </x:c>
      <x:c r="E325" s="16" t="str">
        <x:v>Т</x:v>
      </x:c>
      <x:c r="F325" s="30" t="n">
        <x:v>0.26</x:v>
      </x:c>
      <x:c r="G325" s="17" t="n">
        <x:v>39956.9154</x:v>
      </x:c>
      <x:c r="H325" s="17" t="n">
        <x:f>G325*F325</x:f>
        <x:v>10388.798004</x:v>
      </x:c>
      <x:c r="I325" s="22" t="str">
        <x:f>HYPERLINK("https://etp-aktiv.ru/catalog/materialy/metalloprodukciya/2000014900-V311/","Открыть позицию")</x:f>
        <x:v>Открыть позицию</x:v>
      </x:c>
    </x:row>
    <x:row r="326" ht="28" customHeight="1">
      <x:c r="A326" s="16" t="str">
        <x:v>Назаровская ГРЭС</x:v>
      </x:c>
      <x:c r="B326" s="16" t="str">
        <x:v>2000015106-V311</x:v>
      </x:c>
      <x:c r="C326" s="16" t="str">
        <x:v>КРУГ СТ45 D30ММ ГОСТ1050-88</x:v>
      </x:c>
      <x:c r="D326" s="16" t="str">
        <x:v>М/прокат черный</x:v>
      </x:c>
      <x:c r="E326" s="16" t="str">
        <x:v>Т</x:v>
      </x:c>
      <x:c r="F326" s="30" t="n">
        <x:v>0.591</x:v>
      </x:c>
      <x:c r="G326" s="17" t="n">
        <x:v>40474.6712</x:v>
      </x:c>
      <x:c r="H326" s="17" t="n">
        <x:f>G326*F326</x:f>
        <x:v>23920.530679199997</x:v>
      </x:c>
      <x:c r="I326" s="22" t="str">
        <x:f>HYPERLINK("https://etp-aktiv.ru/catalog/materialy/metalloprodukciya/2000015106-V311/","Открыть позицию")</x:f>
        <x:v>Открыть позицию</x:v>
      </x:c>
    </x:row>
    <x:row r="327" ht="28" customHeight="1">
      <x:c r="A327" s="16" t="str">
        <x:v>Назаровская ГРЭС</x:v>
      </x:c>
      <x:c r="B327" s="16" t="str">
        <x:v>2000014908-V311</x:v>
      </x:c>
      <x:c r="C327" s="16" t="str">
        <x:v>КРУГ СТ45 D45ММ ГОСТ1050-88</x:v>
      </x:c>
      <x:c r="D327" s="16" t="str">
        <x:v>М/прокат черный</x:v>
      </x:c>
      <x:c r="E327" s="16" t="str">
        <x:v>Т</x:v>
      </x:c>
      <x:c r="F327" s="30" t="n">
        <x:v>0.048</x:v>
      </x:c>
      <x:c r="G327" s="17" t="n">
        <x:v>47265.3254</x:v>
      </x:c>
      <x:c r="H327" s="17" t="n">
        <x:f>G327*F327</x:f>
        <x:v>2268.7356192</x:v>
      </x:c>
      <x:c r="I327" s="22" t="str">
        <x:f>HYPERLINK("https://etp-aktiv.ru/catalog/materialy/metalloprodukciya/2000014908-V311/","Открыть позицию")</x:f>
        <x:v>Открыть позицию</x:v>
      </x:c>
    </x:row>
    <x:row r="328" ht="28" customHeight="1">
      <x:c r="A328" s="16" t="str">
        <x:v>Назаровская ГРЭС</x:v>
      </x:c>
      <x:c r="B328" s="16" t="str">
        <x:v>2000135932-V311</x:v>
      </x:c>
      <x:c r="C328" s="16" t="str">
        <x:v>КРУГ СТ45 D65ММ ГОСТ1050-88</x:v>
      </x:c>
      <x:c r="D328" s="16" t="str">
        <x:v>М/прокат черный</x:v>
      </x:c>
      <x:c r="E328" s="16" t="str">
        <x:v>Т</x:v>
      </x:c>
      <x:c r="F328" s="30" t="n">
        <x:v>0.48</x:v>
      </x:c>
      <x:c r="G328" s="17" t="n">
        <x:v>45965.025</x:v>
      </x:c>
      <x:c r="H328" s="17" t="n">
        <x:f>G328*F328</x:f>
        <x:v>22063.212</x:v>
      </x:c>
      <x:c r="I328" s="22" t="str">
        <x:f>HYPERLINK("https://etp-aktiv.ru/catalog/materialy/metalloprodukciya/2000135932-V311/","Открыть позицию")</x:f>
        <x:v>Открыть позицию</x:v>
      </x:c>
    </x:row>
    <x:row r="329" ht="28" customHeight="1">
      <x:c r="A329" s="16" t="str">
        <x:v>Назаровская ГРЭС</x:v>
      </x:c>
      <x:c r="B329" s="16" t="str">
        <x:v>2000724229-V311</x:v>
      </x:c>
      <x:c r="C329" s="16" t="str">
        <x:v>КРУГ СТ45 D80ММ ГОСТ2590-88</x:v>
      </x:c>
      <x:c r="D329" s="16" t="str">
        <x:v>М/прокат черный</x:v>
      </x:c>
      <x:c r="E329" s="16" t="str">
        <x:v>Т</x:v>
      </x:c>
      <x:c r="F329" s="30" t="n">
        <x:v>0.007</x:v>
      </x:c>
      <x:c r="G329" s="17" t="n">
        <x:v>46665</x:v>
      </x:c>
      <x:c r="H329" s="17" t="n">
        <x:f>G329*F329</x:f>
        <x:v>326.65500000000003</x:v>
      </x:c>
      <x:c r="I329" s="22" t="str">
        <x:f>HYPERLINK("https://etp-aktiv.ru/catalog/materialy/metalloprodukciya/2000724229-V311/","Открыть позицию")</x:f>
        <x:v>Открыть позицию</x:v>
      </x:c>
    </x:row>
    <x:row r="330" ht="28" customHeight="1">
      <x:c r="A330" s="16" t="str">
        <x:v>Назаровская ГРЭС</x:v>
      </x:c>
      <x:c r="B330" s="16" t="str">
        <x:v>2000644650-V311</x:v>
      </x:c>
      <x:c r="C330" s="16" t="str">
        <x:v>ЛЕНТА 0,3*400М-НТ-О-12Х18Н10Т-3-А 4986</x:v>
      </x:c>
      <x:c r="D330" s="16" t="str">
        <x:v>М/прокат нерж сталь</x:v>
      </x:c>
      <x:c r="E330" s="16" t="str">
        <x:v>КГ</x:v>
      </x:c>
      <x:c r="F330" s="30" t="n">
        <x:v>0.3</x:v>
      </x:c>
      <x:c r="G330" s="17" t="n">
        <x:v>1486.875</x:v>
      </x:c>
      <x:c r="H330" s="17" t="n">
        <x:f>G330*F330</x:f>
        <x:v>446.0625</x:v>
      </x:c>
      <x:c r="I330" s="22" t="str">
        <x:f>HYPERLINK("https://etp-aktiv.ru/catalog/materialy/metalloprodukciya/2000644650-V311/","Открыть позицию")</x:f>
        <x:v>Открыть позицию</x:v>
      </x:c>
    </x:row>
    <x:row r="331" ht="28" customHeight="1">
      <x:c r="A331" s="16" t="str">
        <x:v>Назаровская ГРЭС</x:v>
      </x:c>
      <x:c r="B331" s="16" t="str">
        <x:v>2000650863-V311</x:v>
      </x:c>
      <x:c r="C331" s="16" t="str">
        <x:v>ЛЕНТА 0,4*400-М-ПТ-О-12Х18Н10Т-2А 4986</x:v>
      </x:c>
      <x:c r="D331" s="16" t="str">
        <x:v>М/прокат нерж сталь</x:v>
      </x:c>
      <x:c r="E331" s="16" t="str">
        <x:v>КГ</x:v>
      </x:c>
      <x:c r="F331" s="30" t="n">
        <x:v>0.1</x:v>
      </x:c>
      <x:c r="G331" s="17" t="n">
        <x:v>1486.8994</x:v>
      </x:c>
      <x:c r="H331" s="17" t="n">
        <x:f>G331*F331</x:f>
        <x:v>148.68994</x:v>
      </x:c>
      <x:c r="I331" s="22" t="str">
        <x:f>HYPERLINK("https://etp-aktiv.ru/catalog/materialy/metalloprodukciya/2000650863-V311/","Открыть позицию")</x:f>
        <x:v>Открыть позицию</x:v>
      </x:c>
    </x:row>
    <x:row r="332" ht="28" customHeight="1">
      <x:c r="A332" s="16" t="str">
        <x:v>Назаровская ГРЭС</x:v>
      </x:c>
      <x:c r="B332" s="16" t="str">
        <x:v>2000644651-V311</x:v>
      </x:c>
      <x:c r="C332" s="16" t="str">
        <x:v>ЛЕНТА 0,5*400М-НТ-О-12Х18Н10Т-2-А 4986</x:v>
      </x:c>
      <x:c r="D332" s="16" t="str">
        <x:v>М/прокат нерж сталь</x:v>
      </x:c>
      <x:c r="E332" s="16" t="str">
        <x:v>КГ</x:v>
      </x:c>
      <x:c r="F332" s="26" t="n">
        <x:v>1.6</x:v>
      </x:c>
      <x:c r="G332" s="17" t="n">
        <x:v>1486.875</x:v>
      </x:c>
      <x:c r="H332" s="17" t="n">
        <x:f>G332*F332</x:f>
        <x:v>2379</x:v>
      </x:c>
      <x:c r="I332" s="22" t="str">
        <x:f>HYPERLINK("https://etp-aktiv.ru/catalog/materialy/metalloprodukciya/2000644651-V311/","Открыть позицию")</x:f>
        <x:v>Открыть позицию</x:v>
      </x:c>
    </x:row>
    <x:row r="333" ht="28" customHeight="1">
      <x:c r="A333" s="16" t="str">
        <x:v>Назаровская ГРЭС</x:v>
      </x:c>
      <x:c r="B333" s="16" t="str">
        <x:v>2000555509-V311</x:v>
      </x:c>
      <x:c r="C333" s="16" t="str">
        <x:v>ЛЕНТА 12Х18Н10Т 0,1*175 ГОСТ4986-79 (КГ)</x:v>
      </x:c>
      <x:c r="D333" s="16" t="str">
        <x:v>М/прокат нерж сталь</x:v>
      </x:c>
      <x:c r="E333" s="16" t="str">
        <x:v>КГ</x:v>
      </x:c>
      <x:c r="F333" s="26" t="n">
        <x:v>1.86</x:v>
      </x:c>
      <x:c r="G333" s="17" t="n">
        <x:v>1424.8380000000002</x:v>
      </x:c>
      <x:c r="H333" s="17" t="n">
        <x:f>G333*F333</x:f>
        <x:v>2650.1986800000004</x:v>
      </x:c>
      <x:c r="I333" s="22" t="str">
        <x:f>HYPERLINK("https://etp-aktiv.ru/catalog/materialy/metalloprodukciya/2000555509-V311/","Открыть позицию")</x:f>
        <x:v>Открыть позицию</x:v>
      </x:c>
    </x:row>
    <x:row r="334" ht="28" customHeight="1">
      <x:c r="A334" s="16" t="str">
        <x:v>Назаровская ГРЭС</x:v>
      </x:c>
      <x:c r="B334" s="16" t="str">
        <x:v>2000799817-V311</x:v>
      </x:c>
      <x:c r="C334" s="16" t="str">
        <x:v>ЛЕНТА 12Х18Н10Т 0,15*400ММ ГОСТ4986-79</x:v>
      </x:c>
      <x:c r="D334" s="16" t="str">
        <x:v>М/прокат нерж сталь</x:v>
      </x:c>
      <x:c r="E334" s="16" t="str">
        <x:v>КГ</x:v>
      </x:c>
      <x:c r="F334" s="30" t="n">
        <x:v>0.2</x:v>
      </x:c>
      <x:c r="G334" s="17" t="n">
        <x:v>1486.8627999999999</x:v>
      </x:c>
      <x:c r="H334" s="17" t="n">
        <x:f>G334*F334</x:f>
        <x:v>297.37255999999996</x:v>
      </x:c>
      <x:c r="I334" s="22" t="str">
        <x:f>HYPERLINK("https://etp-aktiv.ru/catalog/materialy/metalloprodukciya/2000799817-V311/","Открыть позицию")</x:f>
        <x:v>Открыть позицию</x:v>
      </x:c>
    </x:row>
    <x:row r="335" ht="28" customHeight="1">
      <x:c r="A335" s="16" t="str">
        <x:v>Назаровская ГРЭС</x:v>
      </x:c>
      <x:c r="B335" s="16" t="str">
        <x:v>2000555513-V311</x:v>
      </x:c>
      <x:c r="C335" s="16" t="str">
        <x:v>ЛЕНТА 12Х18Н10Т 0,15*410 ГОСТ4986-79</x:v>
      </x:c>
      <x:c r="D335" s="16" t="str">
        <x:v>М/прокат нерж сталь</x:v>
      </x:c>
      <x:c r="E335" s="16" t="str">
        <x:v>Т</x:v>
      </x:c>
      <x:c r="F335" s="30" t="n">
        <x:v>0.005</x:v>
      </x:c>
      <x:c r="G335" s="17" t="n">
        <x:v>2196000</x:v>
      </x:c>
      <x:c r="H335" s="17" t="n">
        <x:f>G335*F335</x:f>
        <x:v>10980</x:v>
      </x:c>
      <x:c r="I335" s="22" t="str">
        <x:f>HYPERLINK("https://etp-aktiv.ru/catalog/materialy/metalloprodukciya/2000555513-V311/","Открыть позицию")</x:f>
        <x:v>Открыть позицию</x:v>
      </x:c>
    </x:row>
    <x:row r="336" ht="28" customHeight="1">
      <x:c r="A336" s="16" t="str">
        <x:v>Назаровская ГРЭС</x:v>
      </x:c>
      <x:c r="B336" s="16" t="str">
        <x:v>2000555517-V311</x:v>
      </x:c>
      <x:c r="C336" s="16" t="str">
        <x:v>ЛЕНТА 12Х18Н10Т 0,25*400 ГОСТ4986-79</x:v>
      </x:c>
      <x:c r="D336" s="16" t="str">
        <x:v>М/прокат нерж сталь</x:v>
      </x:c>
      <x:c r="E336" s="16" t="str">
        <x:v>КГ</x:v>
      </x:c>
      <x:c r="F336" s="26" t="n">
        <x:v>1.25</x:v>
      </x:c>
      <x:c r="G336" s="17" t="n">
        <x:v>1711.2574</x:v>
      </x:c>
      <x:c r="H336" s="17" t="n">
        <x:f>G336*F336</x:f>
        <x:v>2139.07175</x:v>
      </x:c>
      <x:c r="I336" s="22" t="str">
        <x:f>HYPERLINK("https://etp-aktiv.ru/catalog/materialy/metalloprodukciya/2000555517-V311/","Открыть позицию")</x:f>
        <x:v>Открыть позицию</x:v>
      </x:c>
    </x:row>
    <x:row r="337" ht="28" customHeight="1">
      <x:c r="A337" s="16" t="str">
        <x:v>Назаровская ГРЭС</x:v>
      </x:c>
      <x:c r="B337" s="16" t="str">
        <x:v>2000246103-V311</x:v>
      </x:c>
      <x:c r="C337" s="16" t="str">
        <x:v>ЛЕНТА 12Х18Н10Т 0,3*400 ГОСТ4986-79</x:v>
      </x:c>
      <x:c r="D337" s="16" t="str">
        <x:v>М/прокат нерж сталь</x:v>
      </x:c>
      <x:c r="E337" s="16" t="str">
        <x:v>КГ</x:v>
      </x:c>
      <x:c r="F337" s="26" t="n">
        <x:v>10.7</x:v>
      </x:c>
      <x:c r="G337" s="17" t="n">
        <x:v>779.2018</x:v>
      </x:c>
      <x:c r="H337" s="17" t="n">
        <x:f>G337*F337</x:f>
        <x:v>8337.45926</x:v>
      </x:c>
      <x:c r="I337" s="22" t="str">
        <x:f>HYPERLINK("https://etp-aktiv.ru/catalog/materialy/metalloprodukciya/2000246103-V311/","Открыть позицию")</x:f>
        <x:v>Открыть позицию</x:v>
      </x:c>
    </x:row>
    <x:row r="338" ht="28" customHeight="1">
      <x:c r="A338" s="16" t="str">
        <x:v>Назаровская ГРЭС</x:v>
      </x:c>
      <x:c r="B338" s="16" t="str">
        <x:v>2000555650-V311</x:v>
      </x:c>
      <x:c r="C338" s="16" t="str">
        <x:v>ЛИСТ 08Х13 2ММ ГОСТ5582-75</x:v>
      </x:c>
      <x:c r="D338" s="16" t="str">
        <x:v>М/прокат нерж сталь</x:v>
      </x:c>
      <x:c r="E338" s="16" t="str">
        <x:v>Т</x:v>
      </x:c>
      <x:c r="F338" s="30" t="n">
        <x:v>0.047</x:v>
      </x:c>
      <x:c r="G338" s="17" t="n">
        <x:v>164912.74360000002</x:v>
      </x:c>
      <x:c r="H338" s="17" t="n">
        <x:f>G338*F338</x:f>
        <x:v>7750.898949200001</x:v>
      </x:c>
      <x:c r="I338" s="22" t="str">
        <x:f>HYPERLINK("https://etp-aktiv.ru/catalog/materialy/metalloprodukciya/2000555650-V311/","Открыть позицию")</x:f>
        <x:v>Открыть позицию</x:v>
      </x:c>
    </x:row>
    <x:row r="339" ht="28" customHeight="1">
      <x:c r="A339" s="16" t="str">
        <x:v>Назаровская ГРЭС</x:v>
      </x:c>
      <x:c r="B339" s="16" t="str">
        <x:v>2000181869-V311</x:v>
      </x:c>
      <x:c r="C339" s="16" t="str">
        <x:v>ЛИСТ 08Х13 6ММ ГОСТ7350-77</x:v>
      </x:c>
      <x:c r="D339" s="16" t="str">
        <x:v>М/прокат нерж сталь</x:v>
      </x:c>
      <x:c r="E339" s="16" t="str">
        <x:v>Т</x:v>
      </x:c>
      <x:c r="F339" s="30" t="n">
        <x:v>0.205</x:v>
      </x:c>
      <x:c r="G339" s="17" t="n">
        <x:v>153024.0754</x:v>
      </x:c>
      <x:c r="H339" s="17" t="n">
        <x:f>G339*F339</x:f>
        <x:v>31369.935457</x:v>
      </x:c>
      <x:c r="I339" s="22" t="str">
        <x:f>HYPERLINK("https://etp-aktiv.ru/catalog/materialy/metalloprodukciya/2000181869-V311/","Открыть позицию")</x:f>
        <x:v>Открыть позицию</x:v>
      </x:c>
    </x:row>
    <x:row r="340" ht="28" customHeight="1">
      <x:c r="A340" s="16" t="str">
        <x:v>Назаровская ГРЭС</x:v>
      </x:c>
      <x:c r="B340" s="16" t="str">
        <x:v>2000148544-V311</x:v>
      </x:c>
      <x:c r="C340" s="16" t="str">
        <x:v>ЛИСТ 12Х18Н10Т 0,5ММ ГОСТ5582-75</x:v>
      </x:c>
      <x:c r="D340" s="16" t="str">
        <x:v>М/прокат нерж сталь</x:v>
      </x:c>
      <x:c r="E340" s="16" t="str">
        <x:v>Т</x:v>
      </x:c>
      <x:c r="F340" s="30" t="n">
        <x:v>0.164</x:v>
      </x:c>
      <x:c r="G340" s="17" t="n">
        <x:v>134679.75280000002</x:v>
      </x:c>
      <x:c r="H340" s="17" t="n">
        <x:f>G340*F340</x:f>
        <x:v>22087.479459200003</x:v>
      </x:c>
      <x:c r="I340" s="22" t="str">
        <x:f>HYPERLINK("https://etp-aktiv.ru/catalog/materialy/metalloprodukciya/2000148544-V311/","Открыть позицию")</x:f>
        <x:v>Открыть позицию</x:v>
      </x:c>
    </x:row>
    <x:row r="341" ht="28" customHeight="1">
      <x:c r="A341" s="16" t="str">
        <x:v>Назаровская ГРЭС</x:v>
      </x:c>
      <x:c r="B341" s="16" t="str">
        <x:v>2000067715-V311</x:v>
      </x:c>
      <x:c r="C341" s="16" t="str">
        <x:v>ЛИСТ 12Х18Н10Т 16ММ ГОСТ7350-77</x:v>
      </x:c>
      <x:c r="D341" s="16" t="str">
        <x:v>М/прокат нерж сталь</x:v>
      </x:c>
      <x:c r="E341" s="16" t="str">
        <x:v>Т</x:v>
      </x:c>
      <x:c r="F341" s="30" t="n">
        <x:v>0.81</x:v>
      </x:c>
      <x:c r="G341" s="17" t="n">
        <x:v>274500</x:v>
      </x:c>
      <x:c r="H341" s="17" t="n">
        <x:f>G341*F341</x:f>
        <x:v>222345.00000000003</x:v>
      </x:c>
      <x:c r="I341" s="22" t="str">
        <x:f>HYPERLINK("https://etp-aktiv.ru/catalog/materialy/metalloprodukciya/2000067715-V311/","Открыть позицию")</x:f>
        <x:v>Открыть позицию</x:v>
      </x:c>
    </x:row>
    <x:row r="342" ht="28" customHeight="1">
      <x:c r="A342" s="16" t="str">
        <x:v>Назаровская ГРЭС</x:v>
      </x:c>
      <x:c r="B342" s="16" t="str">
        <x:v>2000555630-V311</x:v>
      </x:c>
      <x:c r="C342" s="16" t="str">
        <x:v>ЛИСТ 12Х18Н10Т 20*380*1500 ГОСТ7350-77</x:v>
      </x:c>
      <x:c r="D342" s="16" t="str">
        <x:v>М/прокат нерж сталь</x:v>
      </x:c>
      <x:c r="E342" s="16" t="str">
        <x:v>Т</x:v>
      </x:c>
      <x:c r="F342" s="30" t="n">
        <x:v>0.046</x:v>
      </x:c>
      <x:c r="G342" s="17" t="n">
        <x:v>207344.91700000002</x:v>
      </x:c>
      <x:c r="H342" s="17" t="n">
        <x:f>G342*F342</x:f>
        <x:v>9537.866182</x:v>
      </x:c>
      <x:c r="I342" s="22" t="str">
        <x:f>HYPERLINK("https://etp-aktiv.ru/catalog/materialy/metalloprodukciya/2000555630-V311/","Открыть позицию")</x:f>
        <x:v>Открыть позицию</x:v>
      </x:c>
    </x:row>
    <x:row r="343" ht="28" customHeight="1">
      <x:c r="A343" s="16" t="str">
        <x:v>Назаровская ГРЭС</x:v>
      </x:c>
      <x:c r="B343" s="16" t="str">
        <x:v>2000448521-V311</x:v>
      </x:c>
      <x:c r="C343" s="16" t="str">
        <x:v>ЛИСТ 12Х18Н10Т 20ММ ГОСТ7350-77</x:v>
      </x:c>
      <x:c r="D343" s="16" t="str">
        <x:v>М/прокат нерж сталь</x:v>
      </x:c>
      <x:c r="E343" s="16" t="str">
        <x:v>Т</x:v>
      </x:c>
      <x:c r="F343" s="30" t="n">
        <x:v>0.5</x:v>
      </x:c>
      <x:c r="G343" s="17" t="n">
        <x:v>152496.0838</x:v>
      </x:c>
      <x:c r="H343" s="17" t="n">
        <x:f>G343*F343</x:f>
        <x:v>76248.0419</x:v>
      </x:c>
      <x:c r="I343" s="22" t="str">
        <x:f>HYPERLINK("https://etp-aktiv.ru/catalog/materialy/metalloprodukciya/2000448521-V311/","Открыть позицию")</x:f>
        <x:v>Открыть позицию</x:v>
      </x:c>
    </x:row>
    <x:row r="344" ht="28" customHeight="1">
      <x:c r="A344" s="16" t="str">
        <x:v>Назаровская ГРЭС</x:v>
      </x:c>
      <x:c r="B344" s="16" t="str">
        <x:v>2000937846-V311</x:v>
      </x:c>
      <x:c r="C344" s="16" t="str">
        <x:v>ЛИСТ 12Х18Н10Т 22*1500*6000 ГОСТ7350-77</x:v>
      </x:c>
      <x:c r="D344" s="16" t="str">
        <x:v>М/прокат нерж сталь</x:v>
      </x:c>
      <x:c r="E344" s="16" t="str">
        <x:v>Т</x:v>
      </x:c>
      <x:c r="F344" s="26" t="n">
        <x:v>2.344</x:v>
      </x:c>
      <x:c r="G344" s="17" t="n">
        <x:v>472483.125</x:v>
      </x:c>
      <x:c r="H344" s="17" t="n">
        <x:f>G344*F344</x:f>
        <x:v>1107500.4449999998</x:v>
      </x:c>
      <x:c r="I344" s="22" t="str">
        <x:f>HYPERLINK("https://etp-aktiv.ru/catalog/materialy/metalloprodukciya/2000937846-V311/","Открыть позицию")</x:f>
        <x:v>Открыть позицию</x:v>
      </x:c>
    </x:row>
    <x:row r="345" ht="28" customHeight="1">
      <x:c r="A345" s="16" t="str">
        <x:v>Назаровская ГРЭС</x:v>
      </x:c>
      <x:c r="B345" s="16" t="str">
        <x:v>2000126521-V311</x:v>
      </x:c>
      <x:c r="C345" s="16" t="str">
        <x:v>ЛИСТ 12Х18Н10Т 25ММ ГОСТ7350-77</x:v>
      </x:c>
      <x:c r="D345" s="16" t="str">
        <x:v>М/прокат нерж сталь</x:v>
      </x:c>
      <x:c r="E345" s="16" t="str">
        <x:v>Т</x:v>
      </x:c>
      <x:c r="F345" s="30" t="n">
        <x:v>0.012</x:v>
      </x:c>
      <x:c r="G345" s="17" t="n">
        <x:v>271068.75</x:v>
      </x:c>
      <x:c r="H345" s="17" t="n">
        <x:f>G345*F345</x:f>
        <x:v>3252.8250000000003</x:v>
      </x:c>
      <x:c r="I345" s="22" t="str">
        <x:f>HYPERLINK("https://etp-aktiv.ru/catalog/materialy/metalloprodukciya/2000126521-V311/","Открыть позицию")</x:f>
        <x:v>Открыть позицию</x:v>
      </x:c>
    </x:row>
    <x:row r="346" ht="28" customHeight="1">
      <x:c r="A346" s="16" t="str">
        <x:v>Назаровская ГРЭС</x:v>
      </x:c>
      <x:c r="B346" s="16" t="str">
        <x:v>2000635888-V311</x:v>
      </x:c>
      <x:c r="C346" s="16" t="str">
        <x:v>ЛИСТ 12ХМ 5ММ ГОСТ5520-79</x:v>
      </x:c>
      <x:c r="D346" s="16" t="str">
        <x:v>М/прокат нерж сталь</x:v>
      </x:c>
      <x:c r="E346" s="16" t="str">
        <x:v>Т</x:v>
      </x:c>
      <x:c r="F346" s="30" t="n">
        <x:v>0.026</x:v>
      </x:c>
      <x:c r="G346" s="17" t="n">
        <x:v>188718.75</x:v>
      </x:c>
      <x:c r="H346" s="17" t="n">
        <x:f>G346*F346</x:f>
        <x:v>4906.6875</x:v>
      </x:c>
      <x:c r="I346" s="22" t="str">
        <x:f>HYPERLINK("https://etp-aktiv.ru/catalog/materialy/metalloprodukciya/2000635888-V311/","Открыть позицию")</x:f>
        <x:v>Открыть позицию</x:v>
      </x:c>
    </x:row>
    <x:row r="347" ht="28" customHeight="1">
      <x:c r="A347" s="16" t="str">
        <x:v>Назаровская ГРЭС</x:v>
      </x:c>
      <x:c r="B347" s="16" t="str">
        <x:v>2000162767-V311</x:v>
      </x:c>
      <x:c r="C347" s="16" t="str">
        <x:v>ЛИСТ 12ХМ 6ММ ГОСТ5520-79</x:v>
      </x:c>
      <x:c r="D347" s="16" t="str">
        <x:v>М/прокат нерж сталь</x:v>
      </x:c>
      <x:c r="E347" s="16" t="str">
        <x:v>Т</x:v>
      </x:c>
      <x:c r="F347" s="30" t="n">
        <x:v>0.024</x:v>
      </x:c>
      <x:c r="G347" s="17" t="n">
        <x:v>207407.0638</x:v>
      </x:c>
      <x:c r="H347" s="17" t="n">
        <x:f>G347*F347</x:f>
        <x:v>4977.7695312000005</x:v>
      </x:c>
      <x:c r="I347" s="22" t="str">
        <x:f>HYPERLINK("https://etp-aktiv.ru/catalog/materialy/metalloprodukciya/2000162767-V311/","Открыть позицию")</x:f>
        <x:v>Открыть позицию</x:v>
      </x:c>
    </x:row>
    <x:row r="348" ht="28" customHeight="1">
      <x:c r="A348" s="16" t="str">
        <x:v>Назаровская ГРЭС</x:v>
      </x:c>
      <x:c r="B348" s="16" t="str">
        <x:v>2000463393-V311</x:v>
      </x:c>
      <x:c r="C348" s="16" t="str">
        <x:v>ЛИСТ Г/К 08Х18Н10Т 60ММ ГОСТ7350-77</x:v>
      </x:c>
      <x:c r="D348" s="16" t="str">
        <x:v>М/прокат нерж сталь</x:v>
      </x:c>
      <x:c r="E348" s="16" t="str">
        <x:v>Т</x:v>
      </x:c>
      <x:c r="F348" s="26" t="n">
        <x:v>1.027</x:v>
      </x:c>
      <x:c r="G348" s="17" t="n">
        <x:v>378029.70019999996</x:v>
      </x:c>
      <x:c r="H348" s="17" t="n">
        <x:f>G348*F348</x:f>
        <x:v>388236.5021053999</x:v>
      </x:c>
      <x:c r="I348" s="22" t="str">
        <x:f>HYPERLINK("https://etp-aktiv.ru/catalog/materialy/metalloprodukciya/2000463393-V311/","Открыть позицию")</x:f>
        <x:v>Открыть позицию</x:v>
      </x:c>
    </x:row>
    <x:row r="349" ht="28" customHeight="1">
      <x:c r="A349" s="16" t="str">
        <x:v>Назаровская ГРЭС</x:v>
      </x:c>
      <x:c r="B349" s="16" t="str">
        <x:v>2000556216-V311</x:v>
      </x:c>
      <x:c r="C349" s="16" t="str">
        <x:v>ЛИСТ ДПРНМ М1 4*600*1500 ГОСТ1173-06</x:v>
      </x:c>
      <x:c r="D349" s="16" t="str">
        <x:v>М/прокат цветной</x:v>
      </x:c>
      <x:c r="E349" s="16" t="str">
        <x:v>КГ</x:v>
      </x:c>
      <x:c r="F349" s="26" t="n">
        <x:v>47.868</x:v>
      </x:c>
      <x:c r="G349" s="17" t="n">
        <x:v>1037</x:v>
      </x:c>
      <x:c r="H349" s="17" t="n">
        <x:f>G349*F349</x:f>
        <x:v>49639.116</x:v>
      </x:c>
      <x:c r="I349" s="22" t="str">
        <x:f>HYPERLINK("https://etp-aktiv.ru/catalog/materialy/metalloprodukciya/2000556216-V311/","Открыть позицию")</x:f>
        <x:v>Открыть позицию</x:v>
      </x:c>
    </x:row>
    <x:row r="350" ht="28" customHeight="1">
      <x:c r="A350" s="16" t="str">
        <x:v>Назаровская ГРЭС</x:v>
      </x:c>
      <x:c r="B350" s="16" t="str">
        <x:v>2000229400-V311</x:v>
      </x:c>
      <x:c r="C350" s="16" t="str">
        <x:v>ЛИСТ М1 1,5*600*1500 ГОСТ1173-06</x:v>
      </x:c>
      <x:c r="D350" s="16" t="str">
        <x:v>М/прокат цветной</x:v>
      </x:c>
      <x:c r="E350" s="16" t="str">
        <x:v>КГ</x:v>
      </x:c>
      <x:c r="F350" s="26" t="n">
        <x:v>7.1</x:v>
      </x:c>
      <x:c r="G350" s="17" t="n">
        <x:v>1037</x:v>
      </x:c>
      <x:c r="H350" s="17" t="n">
        <x:f>G350*F350</x:f>
        <x:v>7362.7</x:v>
      </x:c>
      <x:c r="I350" s="22" t="str">
        <x:f>HYPERLINK("https://etp-aktiv.ru/catalog/materialy/metalloprodukciya/2000229400-V311/","Открыть позицию")</x:f>
        <x:v>Открыть позицию</x:v>
      </x:c>
    </x:row>
    <x:row r="351" ht="28" customHeight="1">
      <x:c r="A351" s="16" t="str">
        <x:v>Назаровская ГРЭС</x:v>
      </x:c>
      <x:c r="B351" s="16" t="str">
        <x:v>2000555998-V311</x:v>
      </x:c>
      <x:c r="C351" s="16" t="str">
        <x:v>ЛИСТ СТ08 ОЦ 0,8ММ ГОСТ14918-80</x:v>
      </x:c>
      <x:c r="D351" s="16" t="str">
        <x:v>М/прокат черный</x:v>
      </x:c>
      <x:c r="E351" s="16" t="str">
        <x:v>Т</x:v>
      </x:c>
      <x:c r="F351" s="30" t="n">
        <x:v>0.092</x:v>
      </x:c>
      <x:c r="G351" s="17" t="n">
        <x:v>49189.192200000005</x:v>
      </x:c>
      <x:c r="H351" s="17" t="n">
        <x:f>G351*F351</x:f>
        <x:v>4525.4056824</x:v>
      </x:c>
      <x:c r="I351" s="22" t="str">
        <x:f>HYPERLINK("https://etp-aktiv.ru/catalog/materialy/metalloprodukciya/2000555998-V311/","Открыть позицию")</x:f>
        <x:v>Открыть позицию</x:v>
      </x:c>
    </x:row>
    <x:row r="352" ht="28" customHeight="1">
      <x:c r="A352" s="16" t="str">
        <x:v>Назаровская ГРЭС</x:v>
      </x:c>
      <x:c r="B352" s="16" t="str">
        <x:v>2000556000-V311</x:v>
      </x:c>
      <x:c r="C352" s="16" t="str">
        <x:v>ЛИСТ СТ08 ОЦ 1,2*1250*2500 ГОСТ14918</x:v>
      </x:c>
      <x:c r="D352" s="16" t="str">
        <x:v>М/прокат черный</x:v>
      </x:c>
      <x:c r="E352" s="16" t="str">
        <x:v>Т</x:v>
      </x:c>
      <x:c r="F352" s="30" t="n">
        <x:v>0.056</x:v>
      </x:c>
      <x:c r="G352" s="17" t="n">
        <x:v>82206.86959999999</x:v>
      </x:c>
      <x:c r="H352" s="17" t="n">
        <x:f>G352*F352</x:f>
        <x:v>4603.584697599999</x:v>
      </x:c>
      <x:c r="I352" s="22" t="str">
        <x:f>HYPERLINK("https://etp-aktiv.ru/catalog/materialy/metalloprodukciya/2000556000-V311/","Открыть позицию")</x:f>
        <x:v>Открыть позицию</x:v>
      </x:c>
    </x:row>
    <x:row r="353" ht="28" customHeight="1">
      <x:c r="A353" s="16" t="str">
        <x:v>Назаровская ГРЭС</x:v>
      </x:c>
      <x:c r="B353" s="16" t="str">
        <x:v>2000871005-V311</x:v>
      </x:c>
      <x:c r="C353" s="16" t="str">
        <x:v>ЛИСТ СТ20 12ММ ГОСТ19903-2015</x:v>
      </x:c>
      <x:c r="D353" s="16" t="str">
        <x:v>М/прокат черный</x:v>
      </x:c>
      <x:c r="E353" s="16" t="str">
        <x:v>Т</x:v>
      </x:c>
      <x:c r="F353" s="30" t="n">
        <x:v>0.575</x:v>
      </x:c>
      <x:c r="G353" s="17" t="n">
        <x:v>82350</x:v>
      </x:c>
      <x:c r="H353" s="17" t="n">
        <x:f>G353*F353</x:f>
        <x:v>47351.24999999999</x:v>
      </x:c>
      <x:c r="I353" s="22" t="str">
        <x:f>HYPERLINK("https://etp-aktiv.ru/catalog/materialy/metalloprodukciya/2000871005-V311/","Открыть позицию")</x:f>
        <x:v>Открыть позицию</x:v>
      </x:c>
    </x:row>
    <x:row r="354" ht="28" customHeight="1">
      <x:c r="A354" s="16" t="str">
        <x:v>Назаровская ГРЭС</x:v>
      </x:c>
      <x:c r="B354" s="16" t="str">
        <x:v>2000148551-V311</x:v>
      </x:c>
      <x:c r="C354" s="16" t="str">
        <x:v>ЛИСТ СТ3 20ММ ГОСТ19904-90</x:v>
      </x:c>
      <x:c r="D354" s="16" t="str">
        <x:v>М/прокат черный</x:v>
      </x:c>
      <x:c r="E354" s="16" t="str">
        <x:v>Т</x:v>
      </x:c>
      <x:c r="F354" s="30" t="n">
        <x:v>0.257</x:v>
      </x:c>
      <x:c r="G354" s="17" t="n">
        <x:v>72322.088</x:v>
      </x:c>
      <x:c r="H354" s="17" t="n">
        <x:f>G354*F354</x:f>
        <x:v>18586.776616000003</x:v>
      </x:c>
      <x:c r="I354" s="22" t="str">
        <x:f>HYPERLINK("https://etp-aktiv.ru/catalog/materialy/metalloprodukciya/2000148551-V311/","Открыть позицию")</x:f>
        <x:v>Открыть позицию</x:v>
      </x:c>
    </x:row>
    <x:row r="355" ht="28" customHeight="1">
      <x:c r="A355" s="16" t="str">
        <x:v>Назаровская ГРЭС</x:v>
      </x:c>
      <x:c r="B355" s="16" t="str">
        <x:v>2000148553-V311</x:v>
      </x:c>
      <x:c r="C355" s="16" t="str">
        <x:v>ЛИСТ СТ3 25ММ ГОСТ19904-90</x:v>
      </x:c>
      <x:c r="D355" s="16" t="str">
        <x:v>М/прокат черный</x:v>
      </x:c>
      <x:c r="E355" s="16" t="str">
        <x:v>Т</x:v>
      </x:c>
      <x:c r="F355" s="30" t="n">
        <x:v>0.002</x:v>
      </x:c>
      <x:c r="G355" s="17" t="n">
        <x:v>51039.8468</x:v>
      </x:c>
      <x:c r="H355" s="17" t="n">
        <x:f>G355*F355</x:f>
        <x:v>102.0796936</x:v>
      </x:c>
      <x:c r="I355" s="22" t="str">
        <x:f>HYPERLINK("https://etp-aktiv.ru/catalog/materialy/metalloprodukciya/2000148553-V311/","Открыть позицию")</x:f>
        <x:v>Открыть позицию</x:v>
      </x:c>
    </x:row>
    <x:row r="356" ht="28" customHeight="1">
      <x:c r="A356" s="16" t="str">
        <x:v>Назаровская ГРЭС</x:v>
      </x:c>
      <x:c r="B356" s="16" t="str">
        <x:v>2000555917-V311</x:v>
      </x:c>
      <x:c r="C356" s="16" t="str">
        <x:v>ЛИСТ СТ3ПС5 12ММ ГОСТ14637-89</x:v>
      </x:c>
      <x:c r="D356" s="16" t="str">
        <x:v>М/прокат черный</x:v>
      </x:c>
      <x:c r="E356" s="16" t="str">
        <x:v>Т</x:v>
      </x:c>
      <x:c r="F356" s="30" t="n">
        <x:v>0.941</x:v>
      </x:c>
      <x:c r="G356" s="17" t="n">
        <x:v>40434.094</x:v>
      </x:c>
      <x:c r="H356" s="17" t="n">
        <x:f>G356*F356</x:f>
        <x:v>38048.482454</x:v>
      </x:c>
      <x:c r="I356" s="22" t="str">
        <x:f>HYPERLINK("https://etp-aktiv.ru/catalog/materialy/metalloprodukciya/2000555917-V311/","Открыть позицию")</x:f>
        <x:v>Открыть позицию</x:v>
      </x:c>
    </x:row>
    <x:row r="357" ht="28" customHeight="1">
      <x:c r="A357" s="16" t="str">
        <x:v>Назаровская ГРЭС</x:v>
      </x:c>
      <x:c r="B357" s="16" t="str">
        <x:v>2000919196-V311</x:v>
      </x:c>
      <x:c r="C357" s="16" t="str">
        <x:v>ОГРАЖДЕНИЕ ОЛГ60-12.36 С1.450.3-7.94 В.2</x:v>
      </x:c>
      <x:c r="D357" s="16" t="str">
        <x:v>Металлоконструкции</x:v>
      </x:c>
      <x:c r="E357" s="16" t="str">
        <x:v>ШТ</x:v>
      </x:c>
      <x:c r="F357" s="21" t="n">
        <x:v>1</x:v>
      </x:c>
      <x:c r="G357" s="17" t="n">
        <x:v>13534.6922</x:v>
      </x:c>
      <x:c r="H357" s="17" t="n">
        <x:f>G357*F357</x:f>
        <x:v>13534.6922</x:v>
      </x:c>
      <x:c r="I357" s="22" t="str">
        <x:f>HYPERLINK("https://etp-aktiv.ru/catalog/materialy/metallokonstrukcii/2000919196-V311/","Открыть позицию")</x:f>
        <x:v>Открыть позицию</x:v>
      </x:c>
    </x:row>
    <x:row r="358" ht="28" customHeight="1">
      <x:c r="A358" s="16" t="str">
        <x:v>Назаровская ГРЭС</x:v>
      </x:c>
      <x:c r="B358" s="16" t="str">
        <x:v>2000254862-V311</x:v>
      </x:c>
      <x:c r="C358" s="16" t="str">
        <x:v>ОТЛИВКА КЧ30-6-Ф 100*180ММ ГОСТ1215-79</x:v>
      </x:c>
      <x:c r="D358" s="16" t="str">
        <x:v>Шихтовые материалы</x:v>
      </x:c>
      <x:c r="E358" s="16" t="str">
        <x:v>КГ</x:v>
      </x:c>
      <x:c r="F358" s="21" t="n">
        <x:v>1</x:v>
      </x:c>
      <x:c r="G358" s="17" t="n">
        <x:v>256.7246</x:v>
      </x:c>
      <x:c r="H358" s="17" t="n">
        <x:f>G358*F358</x:f>
        <x:v>256.7246</x:v>
      </x:c>
      <x:c r="I358" s="22" t="str">
        <x:f>HYPERLINK("https://etp-aktiv.ru/catalog/materialy/metalloprodukciya/2000254862-V311/","Открыть позицию")</x:f>
        <x:v>Открыть позицию</x:v>
      </x:c>
    </x:row>
    <x:row r="359" ht="28" customHeight="1">
      <x:c r="A359" s="16" t="str">
        <x:v>Назаровская ГРЭС</x:v>
      </x:c>
      <x:c r="B359" s="16" t="str">
        <x:v>2000579360-V311</x:v>
      </x:c>
      <x:c r="C359" s="16" t="str">
        <x:v>ОТЛИВКА СЧ15 500*500 ГОСТ1412-85</x:v>
      </x:c>
      <x:c r="D359" s="16" t="str">
        <x:v>Шихтовые материалы</x:v>
      </x:c>
      <x:c r="E359" s="16" t="str">
        <x:v>ШТ</x:v>
      </x:c>
      <x:c r="F359" s="21" t="n">
        <x:v>5</x:v>
      </x:c>
      <x:c r="G359" s="17" t="n">
        <x:v>34764.10739999999</x:v>
      </x:c>
      <x:c r="H359" s="17" t="n">
        <x:f>G359*F359</x:f>
        <x:v>173820.53699999995</x:v>
      </x:c>
      <x:c r="I359" s="22" t="str">
        <x:f>HYPERLINK("https://etp-aktiv.ru/catalog/materialy/metalloprodukciya/2000579360-V311/","Открыть позицию")</x:f>
        <x:v>Открыть позицию</x:v>
      </x:c>
    </x:row>
    <x:row r="360" ht="28" customHeight="1">
      <x:c r="A360" s="16" t="str">
        <x:v>Назаровская ГРЭС</x:v>
      </x:c>
      <x:c r="B360" s="16" t="str">
        <x:v>2000694559-V311</x:v>
      </x:c>
      <x:c r="C360" s="16" t="str">
        <x:v>ОТЛИВКА СЧ15-32 400*400 ГОСТ1412-85</x:v>
      </x:c>
      <x:c r="D360" s="16" t="str">
        <x:v>Шихтовые материалы</x:v>
      </x:c>
      <x:c r="E360" s="16" t="str">
        <x:v>ШТ</x:v>
      </x:c>
      <x:c r="F360" s="21" t="n">
        <x:v>7</x:v>
      </x:c>
      <x:c r="G360" s="17" t="n">
        <x:v>8070.1413999999995</x:v>
      </x:c>
      <x:c r="H360" s="17" t="n">
        <x:f>G360*F360</x:f>
        <x:v>56490.989799999996</x:v>
      </x:c>
      <x:c r="I360" s="22" t="str">
        <x:f>HYPERLINK("https://etp-aktiv.ru/catalog/materialy/metalloprodukciya/2000694559-V311/","Открыть позицию")</x:f>
        <x:v>Открыть позицию</x:v>
      </x:c>
    </x:row>
    <x:row r="361" ht="28" customHeight="1">
      <x:c r="A361" s="16" t="str">
        <x:v>Назаровская ГРЭС</x:v>
      </x:c>
      <x:c r="B361" s="16" t="str">
        <x:v>2000917886-V311</x:v>
      </x:c>
      <x:c r="C361" s="16" t="str">
        <x:v>ПЛАСТИНА 1.431-10В3 01.00.03</x:v>
      </x:c>
      <x:c r="D361" s="16" t="str">
        <x:v>Металлоконструкции</x:v>
      </x:c>
      <x:c r="E361" s="16" t="str">
        <x:v>ШТ</x:v>
      </x:c>
      <x:c r="F361" s="21" t="n">
        <x:v>26</x:v>
      </x:c>
      <x:c r="G361" s="17" t="n">
        <x:v>129.34439999999998</x:v>
      </x:c>
      <x:c r="H361" s="17" t="n">
        <x:f>G361*F361</x:f>
        <x:v>3362.9543999999996</x:v>
      </x:c>
      <x:c r="I361" s="22" t="str">
        <x:f>HYPERLINK("https://etp-aktiv.ru/catalog/materialy/metallokonstrukcii/2000917886-V311/","Открыть позицию")</x:f>
        <x:v>Открыть позицию</x:v>
      </x:c>
    </x:row>
    <x:row r="362" ht="28" customHeight="1">
      <x:c r="A362" s="16" t="str">
        <x:v>Назаровская ГРЭС</x:v>
      </x:c>
      <x:c r="B362" s="16" t="str">
        <x:v>2000556423-V311</x:v>
      </x:c>
      <x:c r="C362" s="16" t="str">
        <x:v>ПОКОВКА 12Х1МФ 194*120 ОСТ108.030.113-87</x:v>
      </x:c>
      <x:c r="D362" s="16" t="str">
        <x:v>Поковка</x:v>
      </x:c>
      <x:c r="E362" s="16" t="str">
        <x:v>ШТ</x:v>
      </x:c>
      <x:c r="F362" s="21" t="n">
        <x:v>47</x:v>
      </x:c>
      <x:c r="G362" s="17" t="n">
        <x:v>1064.9624</x:v>
      </x:c>
      <x:c r="H362" s="17" t="n">
        <x:f>G362*F362</x:f>
        <x:v>50053.2328</x:v>
      </x:c>
      <x:c r="I362" s="22" t="str">
        <x:f>HYPERLINK("https://etp-aktiv.ru/catalog/materialy/metalloprodukciya/2000556423-V311/","Открыть позицию")</x:f>
        <x:v>Открыть позицию</x:v>
      </x:c>
    </x:row>
    <x:row r="363" ht="28" customHeight="1">
      <x:c r="A363" s="16" t="str">
        <x:v>Назаровская ГРЭС</x:v>
      </x:c>
      <x:c r="B363" s="16" t="str">
        <x:v>2001018690-V311</x:v>
      </x:c>
      <x:c r="C363" s="16" t="str">
        <x:v>ПОКОВКА 12Х1МФ II Т 205*120 108.030.113</x:v>
      </x:c>
      <x:c r="D363" s="16" t="str">
        <x:v>Поковка</x:v>
      </x:c>
      <x:c r="E363" s="16" t="str">
        <x:v>ШТ</x:v>
      </x:c>
      <x:c r="F363" s="21" t="n">
        <x:v>30</x:v>
      </x:c>
      <x:c r="G363" s="17" t="n">
        <x:v>2470.9392</x:v>
      </x:c>
      <x:c r="H363" s="17" t="n">
        <x:f>G363*F363</x:f>
        <x:v>74128.17599999999</x:v>
      </x:c>
      <x:c r="I363" s="22" t="str">
        <x:f>HYPERLINK("https://etp-aktiv.ru/catalog/materialy/metalloprodukciya/2001018690-V311/","Открыть позицию")</x:f>
        <x:v>Открыть позицию</x:v>
      </x:c>
    </x:row>
    <x:row r="364" ht="28" customHeight="1">
      <x:c r="A364" s="16" t="str">
        <x:v>Назаровская ГРЭС</x:v>
      </x:c>
      <x:c r="B364" s="16" t="str">
        <x:v>2000556417-V311</x:v>
      </x:c>
      <x:c r="C364" s="16" t="str">
        <x:v>ПОКОВКА 35ХМ ГР.IV КП215(22) 170*3800</x:v>
      </x:c>
      <x:c r="D364" s="16" t="str">
        <x:v>Поковка</x:v>
      </x:c>
      <x:c r="E364" s="16" t="str">
        <x:v>ШТ</x:v>
      </x:c>
      <x:c r="F364" s="30" t="n">
        <x:v>0.95</x:v>
      </x:c>
      <x:c r="G364" s="17" t="n">
        <x:v>44743.036400000005</x:v>
      </x:c>
      <x:c r="H364" s="17" t="n">
        <x:f>G364*F364</x:f>
        <x:v>42505.884580000005</x:v>
      </x:c>
      <x:c r="I364" s="22" t="str">
        <x:f>HYPERLINK("https://etp-aktiv.ru/catalog/materialy/metalloprodukciya/2000556417-V311/","Открыть позицию")</x:f>
        <x:v>Открыть позицию</x:v>
      </x:c>
    </x:row>
    <x:row r="365" ht="28" customHeight="1">
      <x:c r="A365" s="16" t="str">
        <x:v>Назаровская ГРЭС</x:v>
      </x:c>
      <x:c r="B365" s="16" t="str">
        <x:v>2000556427-V311</x:v>
      </x:c>
      <x:c r="C365" s="16" t="str">
        <x:v>ПОКОВКА СТ20 135*50 ОСТ108.030.113-87</x:v>
      </x:c>
      <x:c r="D365" s="16" t="str">
        <x:v>Поковка</x:v>
      </x:c>
      <x:c r="E365" s="16" t="str">
        <x:v>ШТ</x:v>
      </x:c>
      <x:c r="F365" s="21" t="n">
        <x:v>4</x:v>
      </x:c>
      <x:c r="G365" s="17" t="n">
        <x:v>5461.9277999999995</x:v>
      </x:c>
      <x:c r="H365" s="17" t="n">
        <x:f>G365*F365</x:f>
        <x:v>21847.711199999998</x:v>
      </x:c>
      <x:c r="I365" s="22" t="str">
        <x:f>HYPERLINK("https://etp-aktiv.ru/catalog/materialy/metalloprodukciya/2000556427-V311/","Открыть позицию")</x:f>
        <x:v>Открыть позицию</x:v>
      </x:c>
    </x:row>
    <x:row r="366" ht="28" customHeight="1">
      <x:c r="A366" s="16" t="str">
        <x:v>Назаровская ГРЭС</x:v>
      </x:c>
      <x:c r="B366" s="16" t="str">
        <x:v>2000556451-V311</x:v>
      </x:c>
      <x:c r="C366" s="16" t="str">
        <x:v>ПОКОВКА СТ20 140*50 ГОСТ1050-88</x:v>
      </x:c>
      <x:c r="D366" s="16" t="str">
        <x:v>Поковка</x:v>
      </x:c>
      <x:c r="E366" s="16" t="str">
        <x:v>ШТ</x:v>
      </x:c>
      <x:c r="F366" s="21" t="n">
        <x:v>2</x:v>
      </x:c>
      <x:c r="G366" s="17" t="n">
        <x:v>652.4194</x:v>
      </x:c>
      <x:c r="H366" s="17" t="n">
        <x:f>G366*F366</x:f>
        <x:v>1304.8388</x:v>
      </x:c>
      <x:c r="I366" s="22" t="str">
        <x:f>HYPERLINK("https://etp-aktiv.ru/catalog/materialy/metalloprodukciya/2000556451-V311/","Открыть позицию")</x:f>
        <x:v>Открыть позицию</x:v>
      </x:c>
    </x:row>
    <x:row r="367" ht="28" customHeight="1">
      <x:c r="A367" s="16" t="str">
        <x:v>Назаровская ГРЭС</x:v>
      </x:c>
      <x:c r="B367" s="16" t="str">
        <x:v>2000555532-V311</x:v>
      </x:c>
      <x:c r="C367" s="16" t="str">
        <x:v>ПОЛОСА 12Х18Н9Т 3*30*960 ГОСТ4405-75</x:v>
      </x:c>
      <x:c r="D367" s="16" t="str">
        <x:v>М/прокат нерж сталь</x:v>
      </x:c>
      <x:c r="E367" s="16" t="str">
        <x:v>КГ</x:v>
      </x:c>
      <x:c r="F367" s="26" t="n">
        <x:v>2.12</x:v>
      </x:c>
      <x:c r="G367" s="17" t="n">
        <x:v>3457.7727999999997</x:v>
      </x:c>
      <x:c r="H367" s="17" t="n">
        <x:f>G367*F367</x:f>
        <x:v>7330.478336</x:v>
      </x:c>
      <x:c r="I367" s="22" t="str">
        <x:f>HYPERLINK("https://etp-aktiv.ru/catalog/materialy/metalloprodukciya/2000555532-V311/","Открыть позицию")</x:f>
        <x:v>Открыть позицию</x:v>
      </x:c>
    </x:row>
    <x:row r="368" ht="28" customHeight="1">
      <x:c r="A368" s="16" t="str">
        <x:v>Назаровская ГРЭС</x:v>
      </x:c>
      <x:c r="B368" s="16" t="str">
        <x:v>2000015367-V311</x:v>
      </x:c>
      <x:c r="C368" s="16" t="str">
        <x:v>ПОЛОСА СТ3 40*4 ГОСТ103-2006</x:v>
      </x:c>
      <x:c r="D368" s="16" t="str">
        <x:v>М/прокат прочий</x:v>
      </x:c>
      <x:c r="E368" s="16" t="str">
        <x:v>Т</x:v>
      </x:c>
      <x:c r="F368" s="30" t="n">
        <x:v>0.005</x:v>
      </x:c>
      <x:c r="G368" s="17" t="n">
        <x:v>47979.854999999996</x:v>
      </x:c>
      <x:c r="H368" s="17" t="n">
        <x:f>G368*F368</x:f>
        <x:v>239.899275</x:v>
      </x:c>
      <x:c r="I368" s="22" t="str">
        <x:f>HYPERLINK("https://etp-aktiv.ru/catalog/materialy/metalloprodukciya/2000015367-V311/","Открыть позицию")</x:f>
        <x:v>Открыть позицию</x:v>
      </x:c>
    </x:row>
    <x:row r="369" ht="28" customHeight="1">
      <x:c r="A369" s="16" t="str">
        <x:v>Назаровская ГРЭС</x:v>
      </x:c>
      <x:c r="B369" s="16" t="str">
        <x:v>2000164923-V311</x:v>
      </x:c>
      <x:c r="C369" s="16" t="str">
        <x:v>ПРИПОЙ ПОС-30 8ММ ГОСТ21931-76</x:v>
      </x:c>
      <x:c r="D369" s="16" t="str">
        <x:v>М/прокат цветной</x:v>
      </x:c>
      <x:c r="E369" s="16" t="str">
        <x:v>КГ</x:v>
      </x:c>
      <x:c r="F369" s="26" t="n">
        <x:v>2.1</x:v>
      </x:c>
      <x:c r="G369" s="17" t="n">
        <x:v>703.4032</x:v>
      </x:c>
      <x:c r="H369" s="17" t="n">
        <x:f>G369*F369</x:f>
        <x:v>1477.14672</x:v>
      </x:c>
      <x:c r="I369" s="22" t="str">
        <x:f>HYPERLINK("https://etp-aktiv.ru/catalog/materialy/metalloprodukciya/2000164923-V311/","Открыть позицию")</x:f>
        <x:v>Открыть позицию</x:v>
      </x:c>
    </x:row>
    <x:row r="370" ht="28" customHeight="1">
      <x:c r="A370" s="16" t="str">
        <x:v>Назаровская ГРЭС</x:v>
      </x:c>
      <x:c r="B370" s="16" t="str">
        <x:v>2000226529-V311</x:v>
      </x:c>
      <x:c r="C370" s="16" t="str">
        <x:v>ПРОВОЛОКА 0,8-0-Ч ГОСТ3282-74</x:v>
      </x:c>
      <x:c r="D370" s="16" t="str">
        <x:v>Метизы Спец</x:v>
      </x:c>
      <x:c r="E370" s="16" t="str">
        <x:v>КГ</x:v>
      </x:c>
      <x:c r="F370" s="26" t="n">
        <x:v>2.86</x:v>
      </x:c>
      <x:c r="G370" s="17" t="n">
        <x:v>55.3026</x:v>
      </x:c>
      <x:c r="H370" s="17" t="n">
        <x:f>G370*F370</x:f>
        <x:v>158.165436</x:v>
      </x:c>
      <x:c r="I370" s="22" t="str">
        <x:f>HYPERLINK("https://etp-aktiv.ru/catalog/materialy/metizy/2000226529-V311/","Открыть позицию")</x:f>
        <x:v>Открыть позицию</x:v>
      </x:c>
    </x:row>
    <x:row r="371" ht="28" customHeight="1">
      <x:c r="A371" s="16" t="str">
        <x:v>Назаровская ГРЭС</x:v>
      </x:c>
      <x:c r="B371" s="16" t="str">
        <x:v>2000555612-V311</x:v>
      </x:c>
      <x:c r="C371" s="16" t="str">
        <x:v>ПРОВОЛОКА 12Х18Н10Т 3ММ ГОСТ18143-72</x:v>
      </x:c>
      <x:c r="D371" s="16" t="str">
        <x:v>М/прокат нерж сталь</x:v>
      </x:c>
      <x:c r="E371" s="16" t="str">
        <x:v>Т</x:v>
      </x:c>
      <x:c r="F371" s="30" t="n">
        <x:v>0.094</x:v>
      </x:c>
      <x:c r="G371" s="17" t="n">
        <x:v>340666.9562</x:v>
      </x:c>
      <x:c r="H371" s="17" t="n">
        <x:f>G371*F371</x:f>
        <x:v>32022.693882800002</x:v>
      </x:c>
      <x:c r="I371" s="22" t="str">
        <x:f>HYPERLINK("https://etp-aktiv.ru/catalog/materialy/metalloprodukciya/2000555612-V311/","Открыть позицию")</x:f>
        <x:v>Открыть позицию</x:v>
      </x:c>
    </x:row>
    <x:row r="372" ht="28" customHeight="1">
      <x:c r="A372" s="16" t="str">
        <x:v>Назаровская ГРЭС</x:v>
      </x:c>
      <x:c r="B372" s="16" t="str">
        <x:v>2000530156-V311</x:v>
      </x:c>
      <x:c r="C372" s="16" t="str">
        <x:v>ПРОВОЛОКА 2-П О ЧЕРНАЯ 2Ц ГОСТ3282-74</x:v>
      </x:c>
      <x:c r="D372" s="16" t="str">
        <x:v>Метизы Спец</x:v>
      </x:c>
      <x:c r="E372" s="16" t="str">
        <x:v>КГ</x:v>
      </x:c>
      <x:c r="F372" s="26" t="n">
        <x:v>1.175</x:v>
      </x:c>
      <x:c r="G372" s="17" t="n">
        <x:v>147.33939999999998</x:v>
      </x:c>
      <x:c r="H372" s="17" t="n">
        <x:f>G372*F372</x:f>
        <x:v>173.123795</x:v>
      </x:c>
      <x:c r="I372" s="22" t="str">
        <x:f>HYPERLINK("https://etp-aktiv.ru/catalog/materialy/metizy/2000530156-V311/","Открыть позицию")</x:f>
        <x:v>Открыть позицию</x:v>
      </x:c>
    </x:row>
    <x:row r="373" ht="28" customHeight="1">
      <x:c r="A373" s="16" t="str">
        <x:v>Назаровская ГРЭС</x:v>
      </x:c>
      <x:c r="B373" s="16" t="str">
        <x:v>2000530171-V311</x:v>
      </x:c>
      <x:c r="C373" s="16" t="str">
        <x:v>ПРОВОЛОКА 6 О ЧЕРНАЯ ГОСТ3282-74</x:v>
      </x:c>
      <x:c r="D373" s="16" t="str">
        <x:v>Метизы Спец</x:v>
      </x:c>
      <x:c r="E373" s="16" t="str">
        <x:v>КГ</x:v>
      </x:c>
      <x:c r="F373" s="26" t="n">
        <x:v>1253.65</x:v>
      </x:c>
      <x:c r="G373" s="17" t="n">
        <x:v>57.791399999999996</x:v>
      </x:c>
      <x:c r="H373" s="17" t="n">
        <x:f>G373*F373</x:f>
        <x:v>72450.18861</x:v>
      </x:c>
      <x:c r="I373" s="22" t="str">
        <x:f>HYPERLINK("https://etp-aktiv.ru/catalog/materialy/metizy/2000530171-V311/","Открыть позицию")</x:f>
        <x:v>Открыть позицию</x:v>
      </x:c>
    </x:row>
    <x:row r="374" ht="28" customHeight="1">
      <x:c r="A374" s="16" t="str">
        <x:v>Назаровская ГРЭС</x:v>
      </x:c>
      <x:c r="B374" s="16" t="str">
        <x:v>2000556386-V311</x:v>
      </x:c>
      <x:c r="C374" s="16" t="str">
        <x:v>ПРОВОЛОКА ММ D6,5ММ ТУ16-705.492-2005</x:v>
      </x:c>
      <x:c r="D374" s="16" t="str">
        <x:v>М/прокат цветной</x:v>
      </x:c>
      <x:c r="E374" s="16" t="str">
        <x:v>КГ</x:v>
      </x:c>
      <x:c r="F374" s="26" t="n">
        <x:v>24.76</x:v>
      </x:c>
      <x:c r="G374" s="17" t="n">
        <x:v>1037</x:v>
      </x:c>
      <x:c r="H374" s="17" t="n">
        <x:f>G374*F374</x:f>
        <x:v>25676.120000000003</x:v>
      </x:c>
      <x:c r="I374" s="22" t="str">
        <x:f>HYPERLINK("https://etp-aktiv.ru/catalog/materialy/metalloprodukciya/2000556386-V311/","Открыть позицию")</x:f>
        <x:v>Открыть позицию</x:v>
      </x:c>
    </x:row>
    <x:row r="375" ht="28" customHeight="1">
      <x:c r="A375" s="16" t="str">
        <x:v>Назаровская ГРЭС</x:v>
      </x:c>
      <x:c r="B375" s="16" t="str">
        <x:v>2000907234-V311</x:v>
      </x:c>
      <x:c r="C375" s="16" t="str">
        <x:v>ПРОВОЛОКА СВ-04Х19Н11М3 4ММ ГОСТ2246-70</x:v>
      </x:c>
      <x:c r="D375" s="16" t="str">
        <x:v>Сварочные электроды</x:v>
      </x:c>
      <x:c r="E375" s="16" t="str">
        <x:v>КГ</x:v>
      </x:c>
      <x:c r="F375" s="21" t="n">
        <x:v>44</x:v>
      </x:c>
      <x:c r="G375" s="17" t="n">
        <x:v>751.215</x:v>
      </x:c>
      <x:c r="H375" s="17" t="n">
        <x:f>G375*F375</x:f>
        <x:v>33053.46</x:v>
      </x:c>
      <x:c r="I375" s="22" t="str">
        <x:f>HYPERLINK("https://etp-aktiv.ru/catalog/materialy/svarochnye-ehlektrody/2000907234-V311/","Открыть позицию")</x:f>
        <x:v>Открыть позицию</x:v>
      </x:c>
    </x:row>
    <x:row r="376" ht="28" customHeight="1">
      <x:c r="A376" s="16" t="str">
        <x:v>Назаровская ГРЭС</x:v>
      </x:c>
      <x:c r="B376" s="16" t="str">
        <x:v>2000210745-V311</x:v>
      </x:c>
      <x:c r="C376" s="16" t="str">
        <x:v>ПРОВОЛОКА СВ08Г2С D2ММ ГОСТ2246-70</x:v>
      </x:c>
      <x:c r="D376" s="16" t="str">
        <x:v>Сварочные электроды</x:v>
      </x:c>
      <x:c r="E376" s="16" t="str">
        <x:v>КГ</x:v>
      </x:c>
      <x:c r="F376" s="26" t="n">
        <x:v>75.07</x:v>
      </x:c>
      <x:c r="G376" s="17" t="n">
        <x:v>49.592999999999996</x:v>
      </x:c>
      <x:c r="H376" s="17" t="n">
        <x:f>G376*F376</x:f>
        <x:v>3722.9465099999993</x:v>
      </x:c>
      <x:c r="I376" s="22" t="str">
        <x:f>HYPERLINK("https://etp-aktiv.ru/catalog/materialy/svarochnye-ehlektrody/2000210745-V311/","Открыть позицию")</x:f>
        <x:v>Открыть позицию</x:v>
      </x:c>
    </x:row>
    <x:row r="377" ht="28" customHeight="1">
      <x:c r="A377" s="16" t="str">
        <x:v>Назаровская ГРЭС</x:v>
      </x:c>
      <x:c r="B377" s="16" t="str">
        <x:v>2000546350-V311</x:v>
      </x:c>
      <x:c r="C377" s="16" t="str">
        <x:v>ПРОВОЛОКА СВ08ХГСМФА-О D1,6 ГОСТ2246-70</x:v>
      </x:c>
      <x:c r="D377" s="16" t="str">
        <x:v>Сварочные электроды</x:v>
      </x:c>
      <x:c r="E377" s="16" t="str">
        <x:v>КГ</x:v>
      </x:c>
      <x:c r="F377" s="26" t="n">
        <x:v>236.36</x:v>
      </x:c>
      <x:c r="G377" s="17" t="n">
        <x:v>166.9082</x:v>
      </x:c>
      <x:c r="H377" s="17" t="n">
        <x:f>G377*F377</x:f>
        <x:v>39450.422152</x:v>
      </x:c>
      <x:c r="I377" s="22" t="str">
        <x:f>HYPERLINK("https://etp-aktiv.ru/catalog/materialy/svarochnye-ehlektrody/2000546350-V311/","Открыть позицию")</x:f>
        <x:v>Открыть позицию</x:v>
      </x:c>
    </x:row>
    <x:row r="378" ht="28" customHeight="1">
      <x:c r="A378" s="16" t="str">
        <x:v>Назаровская ГРЭС</x:v>
      </x:c>
      <x:c r="B378" s="16" t="str">
        <x:v>2000546360-V311</x:v>
      </x:c>
      <x:c r="C378" s="16" t="str">
        <x:v>ПРОВОЛОКА СВ08ХГСМФА-О D2ММ ГОСТ2246-70</x:v>
      </x:c>
      <x:c r="D378" s="16" t="str">
        <x:v>Сварочные электроды</x:v>
      </x:c>
      <x:c r="E378" s="16" t="str">
        <x:v>КГ</x:v>
      </x:c>
      <x:c r="F378" s="21" t="n">
        <x:v>0</x:v>
      </x:c>
      <x:c r="G378" s="17" t="n">
        <x:v>400.526</x:v>
      </x:c>
      <x:c r="H378" s="17" t="n">
        <x:f>G378*F378</x:f>
        <x:v>0</x:v>
      </x:c>
      <x:c r="I378" s="22" t="str">
        <x:f>HYPERLINK("https://etp-aktiv.ru/catalog/materialy/svarochnye-ehlektrody/2000546360-V311/","Открыть позицию")</x:f>
        <x:v>Открыть позицию</x:v>
      </x:c>
    </x:row>
    <x:row r="379" ht="28" customHeight="1">
      <x:c r="A379" s="16" t="str">
        <x:v>Назаровская ГРЭС</x:v>
      </x:c>
      <x:c r="B379" s="16" t="str">
        <x:v>2000546351-V311</x:v>
      </x:c>
      <x:c r="C379" s="16" t="str">
        <x:v>ПРОВОЛОКА СВ08ХМФА D1,6ММ ГОСТ2246-70</x:v>
      </x:c>
      <x:c r="D379" s="16" t="str">
        <x:v>Сварочные электроды</x:v>
      </x:c>
      <x:c r="E379" s="16" t="str">
        <x:v>КГ</x:v>
      </x:c>
      <x:c r="F379" s="21" t="n">
        <x:v>78</x:v>
      </x:c>
      <x:c r="G379" s="17" t="n">
        <x:v>153.30519999999999</x:v>
      </x:c>
      <x:c r="H379" s="17" t="n">
        <x:f>G379*F379</x:f>
        <x:v>11957.8056</x:v>
      </x:c>
      <x:c r="I379" s="22" t="str">
        <x:f>HYPERLINK("https://etp-aktiv.ru/catalog/materialy/svarochnye-ehlektrody/2000546351-V311/","Открыть позицию")</x:f>
        <x:v>Открыть позицию</x:v>
      </x:c>
    </x:row>
    <x:row r="380" ht="28" customHeight="1">
      <x:c r="A380" s="16" t="str">
        <x:v>Назаровская ГРЭС</x:v>
      </x:c>
      <x:c r="B380" s="16" t="str">
        <x:v>2000546361-V311</x:v>
      </x:c>
      <x:c r="C380" s="16" t="str">
        <x:v>ПРОВОЛОКА СВ08ХМФА D2ММ ГОСТ2246-70</x:v>
      </x:c>
      <x:c r="D380" s="16" t="str">
        <x:v>Сварочные электроды</x:v>
      </x:c>
      <x:c r="E380" s="16" t="str">
        <x:v>КГ</x:v>
      </x:c>
      <x:c r="F380" s="21" t="n">
        <x:v>0</x:v>
      </x:c>
      <x:c r="G380" s="17" t="n">
        <x:v>218.868</x:v>
      </x:c>
      <x:c r="H380" s="17" t="n">
        <x:f>G380*F380</x:f>
        <x:v>0</x:v>
      </x:c>
      <x:c r="I380" s="22" t="str">
        <x:f>HYPERLINK("https://etp-aktiv.ru/catalog/materialy/svarochnye-ehlektrody/2000546361-V311/","Открыть позицию")</x:f>
        <x:v>Открыть позицию</x:v>
      </x:c>
    </x:row>
    <x:row r="381" ht="28" customHeight="1">
      <x:c r="A381" s="16" t="str">
        <x:v>Назаровская ГРЭС</x:v>
      </x:c>
      <x:c r="B381" s="16" t="str">
        <x:v>2000546376-V311</x:v>
      </x:c>
      <x:c r="C381" s="16" t="str">
        <x:v>ПРОВОЛОКА СВАРОЧНАЯ 2,0 СВ-08ХГСМФА</x:v>
      </x:c>
      <x:c r="D381" s="16" t="str">
        <x:v>Сварочные электроды</x:v>
      </x:c>
      <x:c r="E381" s="16" t="str">
        <x:v>КГ</x:v>
      </x:c>
      <x:c r="F381" s="26" t="n">
        <x:v>16.5</x:v>
      </x:c>
      <x:c r="G381" s="17" t="n">
        <x:v>343.125</x:v>
      </x:c>
      <x:c r="H381" s="17" t="n">
        <x:f>G381*F381</x:f>
        <x:v>5661.5625</x:v>
      </x:c>
      <x:c r="I381" s="22" t="str">
        <x:f>HYPERLINK("https://etp-aktiv.ru/catalog/materialy/svarochnye-ehlektrody/2000546376-V311/","Открыть позицию")</x:f>
        <x:v>Открыть позицию</x:v>
      </x:c>
    </x:row>
    <x:row r="382" ht="28" customHeight="1">
      <x:c r="A382" s="16" t="str">
        <x:v>Назаровская ГРЭС</x:v>
      </x:c>
      <x:c r="B382" s="16" t="str">
        <x:v>2000556234-V311</x:v>
      </x:c>
      <x:c r="C382" s="16" t="str">
        <x:v>ПРОВОЛОКА Х15Н60 D1,4ММ ГОСТ12766.1-90</x:v>
      </x:c>
      <x:c r="D382" s="16" t="str">
        <x:v>М/прокат цветной</x:v>
      </x:c>
      <x:c r="E382" s="16" t="str">
        <x:v>КГ</x:v>
      </x:c>
      <x:c r="F382" s="30" t="n">
        <x:v>0.02</x:v>
      </x:c>
      <x:c r="G382" s="17" t="n">
        <x:v>732.3781999999999</x:v>
      </x:c>
      <x:c r="H382" s="17" t="n">
        <x:f>G382*F382</x:f>
        <x:v>14.647563999999997</x:v>
      </x:c>
      <x:c r="I382" s="22" t="str">
        <x:f>HYPERLINK("https://etp-aktiv.ru/catalog/materialy/metalloprodukciya/2000556234-V311/","Открыть позицию")</x:f>
        <x:v>Открыть позицию</x:v>
      </x:c>
    </x:row>
    <x:row r="383" ht="28" customHeight="1">
      <x:c r="A383" s="16" t="str">
        <x:v>Назаровская ГРЭС</x:v>
      </x:c>
      <x:c r="B383" s="16" t="str">
        <x:v>2000920482-V311</x:v>
      </x:c>
      <x:c r="C383" s="16" t="str">
        <x:v>ПРОФИЛЬ С345-3 100*100*6 ГОСТ30245-2003</x:v>
      </x:c>
      <x:c r="D383" s="16" t="str">
        <x:v>М/прокат прочий</x:v>
      </x:c>
      <x:c r="E383" s="16" t="str">
        <x:v>Т</x:v>
      </x:c>
      <x:c r="F383" s="30" t="n">
        <x:v>0.027</x:v>
      </x:c>
      <x:c r="G383" s="17" t="n">
        <x:v>44148.75</x:v>
      </x:c>
      <x:c r="H383" s="17" t="n">
        <x:f>G383*F383</x:f>
        <x:v>1192.01625</x:v>
      </x:c>
      <x:c r="I383" s="22" t="str">
        <x:f>HYPERLINK("https://etp-aktiv.ru/catalog/materialy/metalloprodukciya/2000920482-V311/","Открыть позицию")</x:f>
        <x:v>Открыть позицию</x:v>
      </x:c>
    </x:row>
    <x:row r="384" ht="28" customHeight="1">
      <x:c r="A384" s="16" t="str">
        <x:v>Назаровская ГРЭС</x:v>
      </x:c>
      <x:c r="B384" s="16" t="str">
        <x:v>2000812507-V311</x:v>
      </x:c>
      <x:c r="C384" s="16" t="str">
        <x:v>ПРОФИЛЬ С345-3 160*160*8 ГОСТ30245-03</x:v>
      </x:c>
      <x:c r="D384" s="16" t="str">
        <x:v>М/прокат прочий</x:v>
      </x:c>
      <x:c r="E384" s="16" t="str">
        <x:v>Т</x:v>
      </x:c>
      <x:c r="F384" s="30" t="n">
        <x:v>0.088</x:v>
      </x:c>
      <x:c r="G384" s="17" t="n">
        <x:v>47608.5968</x:v>
      </x:c>
      <x:c r="H384" s="17" t="n">
        <x:f>G384*F384</x:f>
        <x:v>4189.5565184</x:v>
      </x:c>
      <x:c r="I384" s="22" t="str">
        <x:f>HYPERLINK("https://etp-aktiv.ru/catalog/materialy/metalloprodukciya/2000812507-V311/","Открыть позицию")</x:f>
        <x:v>Открыть позицию</x:v>
      </x:c>
    </x:row>
    <x:row r="385" ht="28" customHeight="1">
      <x:c r="A385" s="16" t="str">
        <x:v>Назаровская ГРЭС</x:v>
      </x:c>
      <x:c r="B385" s="16" t="str">
        <x:v>2000323920-V311</x:v>
      </x:c>
      <x:c r="C385" s="16" t="str">
        <x:v>ПРУТОК БРАМЦ 9-2 D70ММ ГОСТ1628-78</x:v>
      </x:c>
      <x:c r="D385" s="16" t="str">
        <x:v>М/прокат цветной</x:v>
      </x:c>
      <x:c r="E385" s="16" t="str">
        <x:v>КГ</x:v>
      </x:c>
      <x:c r="F385" s="26" t="n">
        <x:v>5.4</x:v>
      </x:c>
      <x:c r="G385" s="17" t="n">
        <x:v>1154.9618</x:v>
      </x:c>
      <x:c r="H385" s="17" t="n">
        <x:f>G385*F385</x:f>
        <x:v>6236.793720000001</x:v>
      </x:c>
      <x:c r="I385" s="22" t="str">
        <x:f>HYPERLINK("https://etp-aktiv.ru/catalog/materialy/metalloprodukciya/2000323920-V311/","Открыть позицию")</x:f>
        <x:v>Открыть позицию</x:v>
      </x:c>
    </x:row>
    <x:row r="386" ht="28" customHeight="1">
      <x:c r="A386" s="16" t="str">
        <x:v>Назаровская ГРЭС</x:v>
      </x:c>
      <x:c r="B386" s="16" t="str">
        <x:v>2000556333-V311</x:v>
      </x:c>
      <x:c r="C386" s="16" t="str">
        <x:v>ПРУТОК БРО10Ф1 60*НД-1 ГОСТ24301-93</x:v>
      </x:c>
      <x:c r="D386" s="16" t="str">
        <x:v>М/прокат цветной</x:v>
      </x:c>
      <x:c r="E386" s="16" t="str">
        <x:v>КГ</x:v>
      </x:c>
      <x:c r="F386" s="21" t="n">
        <x:v>17</x:v>
      </x:c>
      <x:c r="G386" s="17" t="n">
        <x:v>872.3</x:v>
      </x:c>
      <x:c r="H386" s="17" t="n">
        <x:f>G386*F386</x:f>
        <x:v>14829.099999999999</x:v>
      </x:c>
      <x:c r="I386" s="22" t="str">
        <x:f>HYPERLINK("https://etp-aktiv.ru/catalog/materialy/metalloprodukciya/2000556333-V311/","Открыть позицию")</x:f>
        <x:v>Открыть позицию</x:v>
      </x:c>
    </x:row>
    <x:row r="387" ht="28" customHeight="1">
      <x:c r="A387" s="16" t="str">
        <x:v>Назаровская ГРЭС</x:v>
      </x:c>
      <x:c r="B387" s="16" t="str">
        <x:v>2000556392-V311</x:v>
      </x:c>
      <x:c r="C387" s="16" t="str">
        <x:v>ПРУТОК М1 40*3000 ГОСТ1535-2006</x:v>
      </x:c>
      <x:c r="D387" s="16" t="str">
        <x:v>М/прокат цветной</x:v>
      </x:c>
      <x:c r="E387" s="16" t="str">
        <x:v>КГ</x:v>
      </x:c>
      <x:c r="F387" s="21" t="n">
        <x:v>170</x:v>
      </x:c>
      <x:c r="G387" s="17" t="n">
        <x:v>1037</x:v>
      </x:c>
      <x:c r="H387" s="17" t="n">
        <x:f>G387*F387</x:f>
        <x:v>176290</x:v>
      </x:c>
      <x:c r="I387" s="22" t="str">
        <x:f>HYPERLINK("https://etp-aktiv.ru/catalog/materialy/metalloprodukciya/2000556392-V311/","Открыть позицию")</x:f>
        <x:v>Открыть позицию</x:v>
      </x:c>
    </x:row>
    <x:row r="388" ht="28" customHeight="1">
      <x:c r="A388" s="16" t="str">
        <x:v>Назаровская ГРЭС</x:v>
      </x:c>
      <x:c r="B388" s="16" t="str">
        <x:v>2000229750-V311</x:v>
      </x:c>
      <x:c r="C388" s="16" t="str">
        <x:v>РЕЗАК РЗП-01</x:v>
      </x:c>
      <x:c r="D388" s="16" t="str">
        <x:v>Компл,ЗЧ свароч обор</x:v>
      </x:c>
      <x:c r="E388" s="16" t="str">
        <x:v>ШТ</x:v>
      </x:c>
      <x:c r="F388" s="21" t="n">
        <x:v>2</x:v>
      </x:c>
      <x:c r="G388" s="17" t="n">
        <x:v>1219.207</x:v>
      </x:c>
      <x:c r="H388" s="17" t="n">
        <x:f>G388*F388</x:f>
        <x:v>2438.414</x:v>
      </x:c>
      <x:c r="I388" s="22" t="str">
        <x:f>HYPERLINK("https://etp-aktiv.ru/catalog/materialy/zapasnye-chasti-promyshlennogo-oborudovaniya/2000229750-V311/","Открыть позицию")</x:f>
        <x:v>Открыть позицию</x:v>
      </x:c>
    </x:row>
    <x:row r="389" ht="28" customHeight="1">
      <x:c r="A389" s="16" t="str">
        <x:v>Назаровская ГРЭС</x:v>
      </x:c>
      <x:c r="B389" s="16" t="str">
        <x:v>2000530192-V311</x:v>
      </x:c>
      <x:c r="C389" s="16" t="str">
        <x:v>СЕТКА 4-150/150 2000*6000 ГОСТ23279 ВР-1</x:v>
      </x:c>
      <x:c r="D389" s="16" t="str">
        <x:v>Метизы Спец</x:v>
      </x:c>
      <x:c r="E389" s="16" t="str">
        <x:v>М2</x:v>
      </x:c>
      <x:c r="F389" s="21" t="n">
        <x:v>36</x:v>
      </x:c>
      <x:c r="G389" s="17" t="n">
        <x:v>69.357</x:v>
      </x:c>
      <x:c r="H389" s="17" t="n">
        <x:f>G389*F389</x:f>
        <x:v>2496.852</x:v>
      </x:c>
      <x:c r="I389" s="22" t="str">
        <x:f>HYPERLINK("https://etp-aktiv.ru/catalog/materialy/metizy/2000530192-V311/","Открыть позицию")</x:f>
        <x:v>Открыть позицию</x:v>
      </x:c>
    </x:row>
    <x:row r="390" ht="28" customHeight="1">
      <x:c r="A390" s="16" t="str">
        <x:v>Назаровская ГРЭС</x:v>
      </x:c>
      <x:c r="B390" s="16" t="str">
        <x:v>2000530217-V311</x:v>
      </x:c>
      <x:c r="C390" s="16" t="str">
        <x:v>СЕТКА ПЛЕТЕНАЯ 1 РОМБ 35*0,5 ГОСТ5336</x:v>
      </x:c>
      <x:c r="D390" s="16" t="str">
        <x:v>Метизы Спец</x:v>
      </x:c>
      <x:c r="E390" s="16" t="str">
        <x:v>М2</x:v>
      </x:c>
      <x:c r="F390" s="26" t="n">
        <x:v>1915.577</x:v>
      </x:c>
      <x:c r="G390" s="17" t="n">
        <x:v>14.03</x:v>
      </x:c>
      <x:c r="H390" s="17" t="n">
        <x:f>G390*F390</x:f>
        <x:v>26875.545309999998</x:v>
      </x:c>
      <x:c r="I390" s="22" t="str">
        <x:f>HYPERLINK("https://etp-aktiv.ru/catalog/materialy/metizy/2000530217-V311/","Открыть позицию")</x:f>
        <x:v>Открыть позицию</x:v>
      </x:c>
    </x:row>
    <x:row r="391" ht="28" customHeight="1">
      <x:c r="A391" s="16" t="str">
        <x:v>Назаровская ГРЭС</x:v>
      </x:c>
      <x:c r="B391" s="16" t="str">
        <x:v>2000917887-V311</x:v>
      </x:c>
      <x:c r="C391" s="16" t="str">
        <x:v>СКОБА 1.431-10В3 01.00.02</x:v>
      </x:c>
      <x:c r="D391" s="16" t="str">
        <x:v>Металлоконструкции</x:v>
      </x:c>
      <x:c r="E391" s="16" t="str">
        <x:v>ШТ</x:v>
      </x:c>
      <x:c r="F391" s="21" t="n">
        <x:v>2</x:v>
      </x:c>
      <x:c r="G391" s="17" t="n">
        <x:v>1371.4019999999998</x:v>
      </x:c>
      <x:c r="H391" s="17" t="n">
        <x:f>G391*F391</x:f>
        <x:v>2742.8039999999996</x:v>
      </x:c>
      <x:c r="I391" s="22" t="str">
        <x:f>HYPERLINK("https://etp-aktiv.ru/catalog/materialy/metallokonstrukcii/2000917887-V311/","Открыть позицию")</x:f>
        <x:v>Открыть позицию</x:v>
      </x:c>
    </x:row>
    <x:row r="392" ht="28" customHeight="1">
      <x:c r="A392" s="16" t="str">
        <x:v>Назаровская ГРЭС</x:v>
      </x:c>
      <x:c r="B392" s="16" t="str">
        <x:v>2000920340-V311</x:v>
      </x:c>
      <x:c r="C392" s="16" t="str">
        <x:v>СКОБА 1.431-10В3 01.00.02-01</x:v>
      </x:c>
      <x:c r="D392" s="16" t="str">
        <x:v>Металлоконструкции</x:v>
      </x:c>
      <x:c r="E392" s="16" t="str">
        <x:v>ШТ</x:v>
      </x:c>
      <x:c r="F392" s="21" t="n">
        <x:v>2</x:v>
      </x:c>
      <x:c r="G392" s="17" t="n">
        <x:v>2344.23</x:v>
      </x:c>
      <x:c r="H392" s="17" t="n">
        <x:f>G392*F392</x:f>
        <x:v>4688.46</x:v>
      </x:c>
      <x:c r="I392" s="22" t="str">
        <x:f>HYPERLINK("https://etp-aktiv.ru/catalog/materialy/metallokonstrukcii/2000920340-V311/","Открыть позицию")</x:f>
        <x:v>Открыть позицию</x:v>
      </x:c>
    </x:row>
    <x:row r="393" ht="28" customHeight="1">
      <x:c r="A393" s="16" t="str">
        <x:v>Назаровская ГРЭС</x:v>
      </x:c>
      <x:c r="B393" s="16" t="str">
        <x:v>2000920421-V311</x:v>
      </x:c>
      <x:c r="C393" s="16" t="str">
        <x:v>СТВОРКА 0,7*1,8ДПК-Л 1.431-10В3 02.10.00</x:v>
      </x:c>
      <x:c r="D393" s="16" t="str">
        <x:v>Металлоконструкции</x:v>
      </x:c>
      <x:c r="E393" s="16" t="str">
        <x:v>ШТ</x:v>
      </x:c>
      <x:c r="F393" s="21" t="n">
        <x:v>1</x:v>
      </x:c>
      <x:c r="G393" s="17" t="n">
        <x:v>12404.606199999998</x:v>
      </x:c>
      <x:c r="H393" s="17" t="n">
        <x:f>G393*F393</x:f>
        <x:v>12404.606199999998</x:v>
      </x:c>
      <x:c r="I393" s="22" t="str">
        <x:f>HYPERLINK("https://etp-aktiv.ru/catalog/materialy/metallokonstrukcii/2000920421-V311/","Открыть позицию")</x:f>
        <x:v>Открыть позицию</x:v>
      </x:c>
    </x:row>
    <x:row r="394" ht="28" customHeight="1">
      <x:c r="A394" s="16" t="str">
        <x:v>Назаровская ГРЭС</x:v>
      </x:c>
      <x:c r="B394" s="16" t="str">
        <x:v>2000920422-V311</x:v>
      </x:c>
      <x:c r="C394" s="16" t="str">
        <x:v>СТВОРКА 0,7*1,8ДПК-П 1.431-10В3 02.12.00</x:v>
      </x:c>
      <x:c r="D394" s="16" t="str">
        <x:v>Металлоконструкции</x:v>
      </x:c>
      <x:c r="E394" s="16" t="str">
        <x:v>ШТ</x:v>
      </x:c>
      <x:c r="F394" s="21" t="n">
        <x:v>1</x:v>
      </x:c>
      <x:c r="G394" s="17" t="n">
        <x:v>12404.606199999998</x:v>
      </x:c>
      <x:c r="H394" s="17" t="n">
        <x:f>G394*F394</x:f>
        <x:v>12404.606199999998</x:v>
      </x:c>
      <x:c r="I394" s="22" t="str">
        <x:f>HYPERLINK("https://etp-aktiv.ru/catalog/materialy/metallokonstrukcii/2000920422-V311/","Открыть позицию")</x:f>
        <x:v>Открыть позицию</x:v>
      </x:c>
    </x:row>
    <x:row r="395" ht="28" customHeight="1">
      <x:c r="A395" s="16" t="str">
        <x:v>Назаровская ГРЭС</x:v>
      </x:c>
      <x:c r="B395" s="16" t="str">
        <x:v>2000920389-V311</x:v>
      </x:c>
      <x:c r="C395" s="16" t="str">
        <x:v>СТОЙКА 1,8ДКК-Л 1.431-10В3 01.02.00</x:v>
      </x:c>
      <x:c r="D395" s="16" t="str">
        <x:v>Металлоконструкции</x:v>
      </x:c>
      <x:c r="E395" s="16" t="str">
        <x:v>ШТ</x:v>
      </x:c>
      <x:c r="F395" s="21" t="n">
        <x:v>1</x:v>
      </x:c>
      <x:c r="G395" s="17" t="n">
        <x:v>7980.8374</x:v>
      </x:c>
      <x:c r="H395" s="17" t="n">
        <x:f>G395*F395</x:f>
        <x:v>7980.8374</x:v>
      </x:c>
      <x:c r="I395" s="22" t="str">
        <x:f>HYPERLINK("https://etp-aktiv.ru/catalog/materialy/metallokonstrukcii/2000920389-V311/","Открыть позицию")</x:f>
        <x:v>Открыть позицию</x:v>
      </x:c>
    </x:row>
    <x:row r="396" ht="28" customHeight="1">
      <x:c r="A396" s="16" t="str">
        <x:v>Назаровская ГРЭС</x:v>
      </x:c>
      <x:c r="B396" s="16" t="str">
        <x:v>2000920420-V311</x:v>
      </x:c>
      <x:c r="C396" s="16" t="str">
        <x:v>СТОЙКА 1,8КК 1.431-10В3 01.01.00</x:v>
      </x:c>
      <x:c r="D396" s="16" t="str">
        <x:v>Металлоконструкции</x:v>
      </x:c>
      <x:c r="E396" s="16" t="str">
        <x:v>ШТ</x:v>
      </x:c>
      <x:c r="F396" s="21" t="n">
        <x:v>12</x:v>
      </x:c>
      <x:c r="G396" s="17" t="n">
        <x:v>3331.332</x:v>
      </x:c>
      <x:c r="H396" s="17" t="n">
        <x:f>G396*F396</x:f>
        <x:v>39975.984</x:v>
      </x:c>
      <x:c r="I396" s="22" t="str">
        <x:f>HYPERLINK("https://etp-aktiv.ru/catalog/materialy/metallokonstrukcii/2000920420-V311/","Открыть позицию")</x:f>
        <x:v>Открыть позицию</x:v>
      </x:c>
    </x:row>
    <x:row r="397" ht="28" customHeight="1">
      <x:c r="A397" s="16" t="str">
        <x:v>Назаровская ГРЭС</x:v>
      </x:c>
      <x:c r="B397" s="16" t="str">
        <x:v>2000919437-V311</x:v>
      </x:c>
      <x:c r="C397" s="16" t="str">
        <x:v>СТОЙКА 1.431-10В3 01.02.00-01</x:v>
      </x:c>
      <x:c r="D397" s="16" t="str">
        <x:v>Металлоконструкции</x:v>
      </x:c>
      <x:c r="E397" s="16" t="str">
        <x:v>ШТ</x:v>
      </x:c>
      <x:c r="F397" s="21" t="n">
        <x:v>1</x:v>
      </x:c>
      <x:c r="G397" s="17" t="n">
        <x:v>4854.6972000000005</x:v>
      </x:c>
      <x:c r="H397" s="17" t="n">
        <x:f>G397*F397</x:f>
        <x:v>4854.6972000000005</x:v>
      </x:c>
      <x:c r="I397" s="22" t="str">
        <x:f>HYPERLINK("https://etp-aktiv.ru/catalog/materialy/metallokonstrukcii/2000919437-V311/","Открыть позицию")</x:f>
        <x:v>Открыть позицию</x:v>
      </x:c>
    </x:row>
    <x:row r="398" ht="28" customHeight="1">
      <x:c r="A398" s="16" t="str">
        <x:v>Назаровская ГРЭС</x:v>
      </x:c>
      <x:c r="B398" s="16" t="str">
        <x:v>2000920334-V311</x:v>
      </x:c>
      <x:c r="C398" s="16" t="str">
        <x:v>УГОЛОК 1.431-10В3 01.01.02</x:v>
      </x:c>
      <x:c r="D398" s="16" t="str">
        <x:v>Металлоконструкции</x:v>
      </x:c>
      <x:c r="E398" s="16" t="str">
        <x:v>ШТ</x:v>
      </x:c>
      <x:c r="F398" s="21" t="n">
        <x:v>72</x:v>
      </x:c>
      <x:c r="G398" s="17" t="n">
        <x:v>2152.08</x:v>
      </x:c>
      <x:c r="H398" s="17" t="n">
        <x:f>G398*F398</x:f>
        <x:v>154949.76</x:v>
      </x:c>
      <x:c r="I398" s="22" t="str">
        <x:f>HYPERLINK("https://etp-aktiv.ru/catalog/materialy/metallokonstrukcii/2000920334-V311/","Открыть позицию")</x:f>
        <x:v>Открыть позицию</x:v>
      </x:c>
    </x:row>
    <x:row r="399" ht="28" customHeight="1">
      <x:c r="A399" s="16" t="str">
        <x:v>Назаровская ГРЭС</x:v>
      </x:c>
      <x:c r="B399" s="16" t="str">
        <x:v>2000487526-V311</x:v>
      </x:c>
      <x:c r="C399" s="16" t="str">
        <x:v>УГОЛОК C245 110*110*8 ГОСТ8509-93</x:v>
      </x:c>
      <x:c r="D399" s="16" t="str">
        <x:v>М/прокат черный</x:v>
      </x:c>
      <x:c r="E399" s="16" t="str">
        <x:v>Т</x:v>
      </x:c>
      <x:c r="F399" s="30" t="n">
        <x:v>0.12</x:v>
      </x:c>
      <x:c r="G399" s="17" t="n">
        <x:v>45125.689399999996</x:v>
      </x:c>
      <x:c r="H399" s="17" t="n">
        <x:f>G399*F399</x:f>
        <x:v>5415.082727999999</x:v>
      </x:c>
      <x:c r="I399" s="22" t="str">
        <x:f>HYPERLINK("https://etp-aktiv.ru/catalog/materialy/metalloprodukciya/2000487526-V311/","Открыть позицию")</x:f>
        <x:v>Открыть позицию</x:v>
      </x:c>
    </x:row>
    <x:row r="400" ht="28" customHeight="1">
      <x:c r="A400" s="16" t="str">
        <x:v>Назаровская ГРЭС</x:v>
      </x:c>
      <x:c r="B400" s="16" t="str">
        <x:v>2000631244-V311</x:v>
      </x:c>
      <x:c r="C400" s="16" t="str">
        <x:v>УГОЛОК С245 100*63*8 ГОСТ8510-86</x:v>
      </x:c>
      <x:c r="D400" s="16" t="str">
        <x:v>М/прокат черный</x:v>
      </x:c>
      <x:c r="E400" s="16" t="str">
        <x:v>Т</x:v>
      </x:c>
      <x:c r="F400" s="30" t="n">
        <x:v>0.107</x:v>
      </x:c>
      <x:c r="G400" s="17" t="n">
        <x:v>45635.625</x:v>
      </x:c>
      <x:c r="H400" s="17" t="n">
        <x:f>G400*F400</x:f>
        <x:v>4883.011875</x:v>
      </x:c>
      <x:c r="I400" s="22" t="str">
        <x:f>HYPERLINK("https://etp-aktiv.ru/catalog/materialy/metalloprodukciya/2000631244-V311/","Открыть позицию")</x:f>
        <x:v>Открыть позицию</x:v>
      </x:c>
    </x:row>
    <x:row r="401" ht="28" customHeight="1">
      <x:c r="A401" s="16" t="str">
        <x:v>Назаровская ГРЭС</x:v>
      </x:c>
      <x:c r="B401" s="16" t="str">
        <x:v>2000255387-V311</x:v>
      </x:c>
      <x:c r="C401" s="16" t="str">
        <x:v>УГОЛОК С245 90*6 ГОСТ27772-88</x:v>
      </x:c>
      <x:c r="D401" s="16" t="str">
        <x:v>М/прокат черный</x:v>
      </x:c>
      <x:c r="E401" s="16" t="str">
        <x:v>Т</x:v>
      </x:c>
      <x:c r="F401" s="30" t="n">
        <x:v>0.028</x:v>
      </x:c>
      <x:c r="G401" s="17" t="n">
        <x:v>40116.955</x:v>
      </x:c>
      <x:c r="H401" s="17" t="n">
        <x:f>G401*F401</x:f>
        <x:v>1123.27474</x:v>
      </x:c>
      <x:c r="I401" s="22" t="str">
        <x:f>HYPERLINK("https://etp-aktiv.ru/catalog/materialy/metalloprodukciya/2000255387-V311/","Открыть позицию")</x:f>
        <x:v>Открыть позицию</x:v>
      </x:c>
    </x:row>
    <x:row r="402" ht="28" customHeight="1">
      <x:c r="A402" s="16" t="str">
        <x:v>Назаровская ГРЭС</x:v>
      </x:c>
      <x:c r="B402" s="16" t="str">
        <x:v>2000148192-V311</x:v>
      </x:c>
      <x:c r="C402" s="16" t="str">
        <x:v>УГОЛОК СТ3 100*100*10 ГОСТ8509-93</x:v>
      </x:c>
      <x:c r="D402" s="16" t="str">
        <x:v>М/прокат черный</x:v>
      </x:c>
      <x:c r="E402" s="16" t="str">
        <x:v>Т</x:v>
      </x:c>
      <x:c r="F402" s="30" t="n">
        <x:v>0.267</x:v>
      </x:c>
      <x:c r="G402" s="17" t="n">
        <x:v>56966.92399999999</x:v>
      </x:c>
      <x:c r="H402" s="17" t="n">
        <x:f>G402*F402</x:f>
        <x:v>15210.168708</x:v>
      </x:c>
      <x:c r="I402" s="22" t="str">
        <x:f>HYPERLINK("https://etp-aktiv.ru/catalog/materialy/metalloprodukciya/2000148192-V311/","Открыть позицию")</x:f>
        <x:v>Открыть позицию</x:v>
      </x:c>
    </x:row>
    <x:row r="403" ht="28" customHeight="1">
      <x:c r="A403" s="16" t="str">
        <x:v>Назаровская ГРЭС</x:v>
      </x:c>
      <x:c r="B403" s="16" t="str">
        <x:v>2000555887-V311</x:v>
      </x:c>
      <x:c r="C403" s="16" t="str">
        <x:v>УГОЛОК СТ3 90*8 ГОСТ8509-93</x:v>
      </x:c>
      <x:c r="D403" s="16" t="str">
        <x:v>М/прокат черный</x:v>
      </x:c>
      <x:c r="E403" s="16" t="str">
        <x:v>Т</x:v>
      </x:c>
      <x:c r="F403" s="30" t="n">
        <x:v>0.02</x:v>
      </x:c>
      <x:c r="G403" s="17" t="n">
        <x:v>67019.175</x:v>
      </x:c>
      <x:c r="H403" s="17" t="n">
        <x:f>G403*F403</x:f>
        <x:v>1340.3835000000001</x:v>
      </x:c>
      <x:c r="I403" s="22" t="str">
        <x:f>HYPERLINK("https://etp-aktiv.ru/catalog/materialy/metalloprodukciya/2000555887-V311/","Открыть позицию")</x:f>
        <x:v>Открыть позицию</x:v>
      </x:c>
    </x:row>
    <x:row r="404" ht="28" customHeight="1">
      <x:c r="A404" s="16" t="str">
        <x:v>Назаровская ГРЭС</x:v>
      </x:c>
      <x:c r="B404" s="16" t="str">
        <x:v>2000126290-V311</x:v>
      </x:c>
      <x:c r="C404" s="16" t="str">
        <x:v>УГОЛОК СТ3ПС5 100*100*8 ГОСТ8509-93</x:v>
      </x:c>
      <x:c r="D404" s="16" t="str">
        <x:v>М/прокат черный</x:v>
      </x:c>
      <x:c r="E404" s="16" t="str">
        <x:v>Т</x:v>
      </x:c>
      <x:c r="F404" s="30" t="n">
        <x:v>0.291</x:v>
      </x:c>
      <x:c r="G404" s="17" t="n">
        <x:v>53402.1572</x:v>
      </x:c>
      <x:c r="H404" s="17" t="n">
        <x:f>G404*F404</x:f>
        <x:v>15540.0277452</x:v>
      </x:c>
      <x:c r="I404" s="22" t="str">
        <x:f>HYPERLINK("https://etp-aktiv.ru/catalog/materialy/metalloprodukciya/2000126290-V311/","Открыть позицию")</x:f>
        <x:v>Открыть позицию</x:v>
      </x:c>
    </x:row>
    <x:row r="405" ht="28" customHeight="1">
      <x:c r="A405" s="16" t="str">
        <x:v>Назаровская ГРЭС</x:v>
      </x:c>
      <x:c r="B405" s="16" t="str">
        <x:v>2000805713-V311</x:v>
      </x:c>
      <x:c r="C405" s="16" t="str">
        <x:v>ШАЙБА 16 40Х ГОСТ6402-70</x:v>
      </x:c>
      <x:c r="D405" s="16" t="str">
        <x:v>Метизы Спец</x:v>
      </x:c>
      <x:c r="E405" s="16" t="str">
        <x:v>КГ</x:v>
      </x:c>
      <x:c r="F405" s="30" t="n">
        <x:v>0.26</x:v>
      </x:c>
      <x:c r="G405" s="17" t="n">
        <x:v>127.612</x:v>
      </x:c>
      <x:c r="H405" s="17" t="n">
        <x:f>G405*F405</x:f>
        <x:v>33.17912</x:v>
      </x:c>
      <x:c r="I405" s="22" t="str">
        <x:f>HYPERLINK("https://etp-aktiv.ru/catalog/materialy/metizy/2000805713-V311/","Открыть позицию")</x:f>
        <x:v>Открыть позицию</x:v>
      </x:c>
    </x:row>
    <x:row r="406" ht="28" customHeight="1">
      <x:c r="A406" s="16" t="str">
        <x:v>Назаровская ГРЭС</x:v>
      </x:c>
      <x:c r="B406" s="16" t="str">
        <x:v>2000334365-V311</x:v>
      </x:c>
      <x:c r="C406" s="16" t="str">
        <x:v>ШАЙБА 20 Л65Г ГОСТ6402-70</x:v>
      </x:c>
      <x:c r="D406" s="16" t="str">
        <x:v>Метизы</x:v>
      </x:c>
      <x:c r="E406" s="16" t="str">
        <x:v>КГ</x:v>
      </x:c>
      <x:c r="F406" s="26" t="n">
        <x:v>2.352</x:v>
      </x:c>
      <x:c r="G406" s="17" t="n">
        <x:v>137.5306</x:v>
      </x:c>
      <x:c r="H406" s="17" t="n">
        <x:f>G406*F406</x:f>
        <x:v>323.4719712</x:v>
      </x:c>
      <x:c r="I406" s="22" t="str">
        <x:f>HYPERLINK("https://etp-aktiv.ru/catalog/materialy/metizy/2000334365-V311/","Открыть позицию")</x:f>
        <x:v>Открыть позицию</x:v>
      </x:c>
    </x:row>
    <x:row r="407" ht="28" customHeight="1">
      <x:c r="A407" s="16" t="str">
        <x:v>Назаровская ГРЭС</x:v>
      </x:c>
      <x:c r="B407" s="16" t="str">
        <x:v>2000805712-V311</x:v>
      </x:c>
      <x:c r="C407" s="16" t="str">
        <x:v>ШАЙБА 24 40Х ГОСТ6402-70</x:v>
      </x:c>
      <x:c r="D407" s="16" t="str">
        <x:v>Метизы</x:v>
      </x:c>
      <x:c r="E407" s="16" t="str">
        <x:v>КГ</x:v>
      </x:c>
      <x:c r="F407" s="30" t="n">
        <x:v>0.112</x:v>
      </x:c>
      <x:c r="G407" s="17" t="n">
        <x:v>140.3122</x:v>
      </x:c>
      <x:c r="H407" s="17" t="n">
        <x:f>G407*F407</x:f>
        <x:v>15.7149664</x:v>
      </x:c>
      <x:c r="I407" s="22" t="str">
        <x:f>HYPERLINK("https://etp-aktiv.ru/catalog/materialy/metizy/2000805712-V311/","Открыть позицию")</x:f>
        <x:v>Открыть позицию</x:v>
      </x:c>
    </x:row>
    <x:row r="408" ht="28" customHeight="1">
      <x:c r="A408" s="16" t="str">
        <x:v>Назаровская ГРЭС</x:v>
      </x:c>
      <x:c r="B408" s="16" t="str">
        <x:v>2000805711-V311</x:v>
      </x:c>
      <x:c r="C408" s="16" t="str">
        <x:v>ШАЙБА 30 40Х ГОСТ6402-70</x:v>
      </x:c>
      <x:c r="D408" s="16" t="str">
        <x:v>Метизы</x:v>
      </x:c>
      <x:c r="E408" s="16" t="str">
        <x:v>КГ</x:v>
      </x:c>
      <x:c r="F408" s="30" t="n">
        <x:v>0.17</x:v>
      </x:c>
      <x:c r="G408" s="17" t="n">
        <x:v>131.89419999999998</x:v>
      </x:c>
      <x:c r="H408" s="17" t="n">
        <x:f>G408*F408</x:f>
        <x:v>22.422013999999997</x:v>
      </x:c>
      <x:c r="I408" s="22" t="str">
        <x:f>HYPERLINK("https://etp-aktiv.ru/catalog/materialy/metizy/2000805711-V311/","Открыть позицию")</x:f>
        <x:v>Открыть позицию</x:v>
      </x:c>
    </x:row>
    <x:row r="409" ht="28" customHeight="1">
      <x:c r="A409" s="16" t="str">
        <x:v>Назаровская ГРЭС</x:v>
      </x:c>
      <x:c r="B409" s="16" t="str">
        <x:v>2000698921-V311</x:v>
      </x:c>
      <x:c r="C409" s="16" t="str">
        <x:v>ШАЙБА А.10.01.40Х ГОСТ11371-78</x:v>
      </x:c>
      <x:c r="D409" s="16" t="str">
        <x:v>Метизы</x:v>
      </x:c>
      <x:c r="E409" s="16" t="str">
        <x:v>КГ</x:v>
      </x:c>
      <x:c r="F409" s="30" t="n">
        <x:v>0.102</x:v>
      </x:c>
      <x:c r="G409" s="17" t="n">
        <x:v>109.3974</x:v>
      </x:c>
      <x:c r="H409" s="17" t="n">
        <x:f>G409*F409</x:f>
        <x:v>11.1585348</x:v>
      </x:c>
      <x:c r="I409" s="22" t="str">
        <x:f>HYPERLINK("https://etp-aktiv.ru/catalog/materialy/metizy/2000698921-V311/","Открыть позицию")</x:f>
        <x:v>Открыть позицию</x:v>
      </x:c>
    </x:row>
    <x:row r="410" ht="28" customHeight="1">
      <x:c r="A410" s="16" t="str">
        <x:v>Назаровская ГРЭС</x:v>
      </x:c>
      <x:c r="B410" s="16" t="str">
        <x:v>2000673443-V311</x:v>
      </x:c>
      <x:c r="C410" s="16" t="str">
        <x:v>ШАЙБА А.24.01 СТ40Х ГОСТ11371-78</x:v>
      </x:c>
      <x:c r="D410" s="16" t="str">
        <x:v>Метизы</x:v>
      </x:c>
      <x:c r="E410" s="16" t="str">
        <x:v>КГ</x:v>
      </x:c>
      <x:c r="F410" s="30" t="n">
        <x:v>0.04</x:v>
      </x:c>
      <x:c r="G410" s="17" t="n">
        <x:v>318.93240000000003</x:v>
      </x:c>
      <x:c r="H410" s="17" t="n">
        <x:f>G410*F410</x:f>
        <x:v>12.757296000000002</x:v>
      </x:c>
      <x:c r="I410" s="22" t="str">
        <x:f>HYPERLINK("https://etp-aktiv.ru/catalog/materialy/metizy/2000673443-V311/","Открыть позицию")</x:f>
        <x:v>Открыть позицию</x:v>
      </x:c>
    </x:row>
    <x:row r="411" ht="28" customHeight="1">
      <x:c r="A411" s="16" t="str">
        <x:v>Назаровская ГРЭС</x:v>
      </x:c>
      <x:c r="B411" s="16" t="str">
        <x:v>2000234014-V311</x:v>
      </x:c>
      <x:c r="C411" s="16" t="str">
        <x:v>ШАЙБА А16.01.05 ГОСТ11371-78</x:v>
      </x:c>
      <x:c r="D411" s="16" t="str">
        <x:v>Метизы Спец</x:v>
      </x:c>
      <x:c r="E411" s="16" t="str">
        <x:v>КГ</x:v>
      </x:c>
      <x:c r="F411" s="30" t="n">
        <x:v>0.95</x:v>
      </x:c>
      <x:c r="G411" s="17" t="n">
        <x:v>70.394</x:v>
      </x:c>
      <x:c r="H411" s="17" t="n">
        <x:f>G411*F411</x:f>
        <x:v>66.8743</x:v>
      </x:c>
      <x:c r="I411" s="22" t="str">
        <x:f>HYPERLINK("https://etp-aktiv.ru/catalog/materialy/metizy/2000234014-V311/","Открыть позицию")</x:f>
        <x:v>Открыть позицию</x:v>
      </x:c>
    </x:row>
    <x:row r="412" ht="28" customHeight="1">
      <x:c r="A412" s="16" t="str">
        <x:v>Назаровская ГРЭС</x:v>
      </x:c>
      <x:c r="B412" s="16" t="str">
        <x:v>2000234767-V311</x:v>
      </x:c>
      <x:c r="C412" s="16" t="str">
        <x:v>ШАЙБА А20.01.08 КП016 ГОСТ11371-78</x:v>
      </x:c>
      <x:c r="D412" s="16" t="str">
        <x:v>Метизы Спец</x:v>
      </x:c>
      <x:c r="E412" s="16" t="str">
        <x:v>КГ</x:v>
      </x:c>
      <x:c r="F412" s="26" t="n">
        <x:v>2.016</x:v>
      </x:c>
      <x:c r="G412" s="17" t="n">
        <x:v>153.7078</x:v>
      </x:c>
      <x:c r="H412" s="17" t="n">
        <x:f>G412*F412</x:f>
        <x:v>309.8749248</x:v>
      </x:c>
      <x:c r="I412" s="22" t="str">
        <x:f>HYPERLINK("https://etp-aktiv.ru/catalog/materialy/metizy/2000234767-V311/","Открыть позицию")</x:f>
        <x:v>Открыть позицию</x:v>
      </x:c>
    </x:row>
    <x:row r="413" ht="28" customHeight="1">
      <x:c r="A413" s="16" t="str">
        <x:v>Назаровская ГРЭС</x:v>
      </x:c>
      <x:c r="B413" s="16" t="str">
        <x:v>2000166279-V311</x:v>
      </x:c>
      <x:c r="C413" s="16" t="str">
        <x:v>ШАЙБА ВЫСОКОПРОЧНАЯ М18 ГОСТ 22355-77</x:v>
      </x:c>
      <x:c r="D413" s="16" t="str">
        <x:v>Метизы</x:v>
      </x:c>
      <x:c r="E413" s="16" t="str">
        <x:v>ШТ</x:v>
      </x:c>
      <x:c r="F413" s="21" t="n">
        <x:v>580</x:v>
      </x:c>
      <x:c r="G413" s="17" t="n">
        <x:v>1.4518</x:v>
      </x:c>
      <x:c r="H413" s="17" t="n">
        <x:f>G413*F413</x:f>
        <x:v>842.044</x:v>
      </x:c>
      <x:c r="I413" s="22" t="str">
        <x:f>HYPERLINK("https://etp-aktiv.ru/catalog/materialy/metizy/2000166279-V311/","Открыть позицию")</x:f>
        <x:v>Открыть позицию</x:v>
      </x:c>
    </x:row>
    <x:row r="414" ht="28" customHeight="1">
      <x:c r="A414" s="16" t="str">
        <x:v>Назаровская ГРЭС</x:v>
      </x:c>
      <x:c r="B414" s="16" t="str">
        <x:v>2000483216-V311</x:v>
      </x:c>
      <x:c r="C414" s="16" t="str">
        <x:v>ШАЙБА ГРОВЕРНАЯ М8 8.8 НЕРЖ DIN127</x:v>
      </x:c>
      <x:c r="D414" s="16" t="str">
        <x:v>Метизы Спец</x:v>
      </x:c>
      <x:c r="E414" s="16" t="str">
        <x:v>КГ</x:v>
      </x:c>
      <x:c r="F414" s="30" t="n">
        <x:v>0.063</x:v>
      </x:c>
      <x:c r="G414" s="17" t="n">
        <x:v>299.1196</x:v>
      </x:c>
      <x:c r="H414" s="17" t="n">
        <x:f>G414*F414</x:f>
        <x:v>18.844534799999998</x:v>
      </x:c>
      <x:c r="I414" s="22" t="str">
        <x:f>HYPERLINK("https://etp-aktiv.ru/catalog/materialy/metizy/2000483216-V311/","Открыть позицию")</x:f>
        <x:v>Открыть позицию</x:v>
      </x:c>
    </x:row>
    <x:row r="415" ht="28" customHeight="1">
      <x:c r="A415" s="16" t="str">
        <x:v>Назаровская ГРЭС</x:v>
      </x:c>
      <x:c r="B415" s="16" t="str">
        <x:v>2000385951-V311</x:v>
      </x:c>
      <x:c r="C415" s="16" t="str">
        <x:v>ШАЙБА М10 8,8 ОЦИНК DIN127</x:v>
      </x:c>
      <x:c r="D415" s="16" t="str">
        <x:v>Метизы Спец</x:v>
      </x:c>
      <x:c r="E415" s="16" t="str">
        <x:v>КГ</x:v>
      </x:c>
      <x:c r="F415" s="26" t="n">
        <x:v>27.5</x:v>
      </x:c>
      <x:c r="G415" s="17" t="n">
        <x:v>95.343</x:v>
      </x:c>
      <x:c r="H415" s="17" t="n">
        <x:f>G415*F415</x:f>
        <x:v>2621.9325</x:v>
      </x:c>
      <x:c r="I415" s="22" t="str">
        <x:f>HYPERLINK("https://etp-aktiv.ru/catalog/materialy/metizy/2000385951-V311/","Открыть позицию")</x:f>
        <x:v>Открыть позицию</x:v>
      </x:c>
    </x:row>
    <x:row r="416" ht="28" customHeight="1">
      <x:c r="A416" s="16" t="str">
        <x:v>Назаровская ГРЭС</x:v>
      </x:c>
      <x:c r="B416" s="16" t="str">
        <x:v>2000068581-V311</x:v>
      </x:c>
      <x:c r="C416" s="16" t="str">
        <x:v>ШАЙБА М10 ГРОВЕР ГОСТ6402-70</x:v>
      </x:c>
      <x:c r="D416" s="16" t="str">
        <x:v>Метизы</x:v>
      </x:c>
      <x:c r="E416" s="16" t="str">
        <x:v>КГ</x:v>
      </x:c>
      <x:c r="F416" s="26" t="n">
        <x:v>1.632</x:v>
      </x:c>
      <x:c r="G416" s="17" t="n">
        <x:v>131.1866</x:v>
      </x:c>
      <x:c r="H416" s="17" t="n">
        <x:f>G416*F416</x:f>
        <x:v>214.0965312</x:v>
      </x:c>
      <x:c r="I416" s="22" t="str">
        <x:f>HYPERLINK("https://etp-aktiv.ru/catalog/materialy/metizy/2000068581-V311/","Открыть позицию")</x:f>
        <x:v>Открыть позицию</x:v>
      </x:c>
    </x:row>
    <x:row r="417" ht="28" customHeight="1">
      <x:c r="A417" s="16" t="str">
        <x:v>Назаровская ГРЭС</x:v>
      </x:c>
      <x:c r="B417" s="16" t="str">
        <x:v>2000385907-V311</x:v>
      </x:c>
      <x:c r="C417" s="16" t="str">
        <x:v>ШАЙБА М12 8,8 ОЦИНК DIN125</x:v>
      </x:c>
      <x:c r="D417" s="16" t="str">
        <x:v>Метизы Спец</x:v>
      </x:c>
      <x:c r="E417" s="16" t="str">
        <x:v>КГ</x:v>
      </x:c>
      <x:c r="F417" s="26" t="n">
        <x:v>9.8</x:v>
      </x:c>
      <x:c r="G417" s="17" t="n">
        <x:v>99.2714</x:v>
      </x:c>
      <x:c r="H417" s="17" t="n">
        <x:f>G417*F417</x:f>
        <x:v>972.85972</x:v>
      </x:c>
      <x:c r="I417" s="22" t="str">
        <x:f>HYPERLINK("https://etp-aktiv.ru/catalog/materialy/metizy/2000385907-V311/","Открыть позицию")</x:f>
        <x:v>Открыть позицию</x:v>
      </x:c>
    </x:row>
    <x:row r="418" ht="28" customHeight="1">
      <x:c r="A418" s="16" t="str">
        <x:v>Назаровская ГРЭС</x:v>
      </x:c>
      <x:c r="B418" s="16" t="str">
        <x:v>2000068566-V311</x:v>
      </x:c>
      <x:c r="C418" s="16" t="str">
        <x:v>ШАЙБА М12 ГРОВЕР ГОСТ6402-70</x:v>
      </x:c>
      <x:c r="D418" s="16" t="str">
        <x:v>Метизы</x:v>
      </x:c>
      <x:c r="E418" s="16" t="str">
        <x:v>КГ</x:v>
      </x:c>
      <x:c r="F418" s="26" t="n">
        <x:v>2.995</x:v>
      </x:c>
      <x:c r="G418" s="17" t="n">
        <x:v>135.0052</x:v>
      </x:c>
      <x:c r="H418" s="17" t="n">
        <x:f>G418*F418</x:f>
        <x:v>404.340574</x:v>
      </x:c>
      <x:c r="I418" s="22" t="str">
        <x:f>HYPERLINK("https://etp-aktiv.ru/catalog/materialy/metizy/2000068566-V311/","Открыть позицию")</x:f>
        <x:v>Открыть позицию</x:v>
      </x:c>
    </x:row>
    <x:row r="419" ht="28" customHeight="1">
      <x:c r="A419" s="16" t="str">
        <x:v>Назаровская ГРЭС</x:v>
      </x:c>
      <x:c r="B419" s="16" t="str">
        <x:v>2000177865-V311</x:v>
      </x:c>
      <x:c r="C419" s="16" t="str">
        <x:v>ШАЙБА М12 ОЦИНК ГОСТ10906-78</x:v>
      </x:c>
      <x:c r="D419" s="16" t="str">
        <x:v>Метизы</x:v>
      </x:c>
      <x:c r="E419" s="16" t="str">
        <x:v>КГ</x:v>
      </x:c>
      <x:c r="F419" s="26" t="n">
        <x:v>4.7</x:v>
      </x:c>
      <x:c r="G419" s="17" t="n">
        <x:v>191.32039999999998</x:v>
      </x:c>
      <x:c r="H419" s="17" t="n">
        <x:f>G419*F419</x:f>
        <x:v>899.20588</x:v>
      </x:c>
      <x:c r="I419" s="22" t="str">
        <x:f>HYPERLINK("https://etp-aktiv.ru/catalog/materialy/metizy/2000177865-V311/","Открыть позицию")</x:f>
        <x:v>Открыть позицию</x:v>
      </x:c>
    </x:row>
    <x:row r="420" ht="28" customHeight="1">
      <x:c r="A420" s="16" t="str">
        <x:v>Назаровская ГРЭС</x:v>
      </x:c>
      <x:c r="B420" s="16" t="str">
        <x:v>2000385942-V311</x:v>
      </x:c>
      <x:c r="C420" s="16" t="str">
        <x:v>ШАЙБА М16 8,8 ОЦИНК DIN9021</x:v>
      </x:c>
      <x:c r="D420" s="16" t="str">
        <x:v>Метизы Спец</x:v>
      </x:c>
      <x:c r="E420" s="16" t="str">
        <x:v>КГ</x:v>
      </x:c>
      <x:c r="F420" s="26" t="n">
        <x:v>39.796</x:v>
      </x:c>
      <x:c r="G420" s="17" t="n">
        <x:v>139.019</x:v>
      </x:c>
      <x:c r="H420" s="17" t="n">
        <x:f>G420*F420</x:f>
        <x:v>5532.400124</x:v>
      </x:c>
      <x:c r="I420" s="22" t="str">
        <x:f>HYPERLINK("https://etp-aktiv.ru/catalog/materialy/metizy/2000385942-V311/","Открыть позицию")</x:f>
        <x:v>Открыть позицию</x:v>
      </x:c>
    </x:row>
    <x:row r="421" ht="28" customHeight="1">
      <x:c r="A421" s="16" t="str">
        <x:v>Назаровская ГРЭС</x:v>
      </x:c>
      <x:c r="B421" s="16" t="str">
        <x:v>2000068572-V311</x:v>
      </x:c>
      <x:c r="C421" s="16" t="str">
        <x:v>ШАЙБА М16 ГРОВЕР ГОСТ6402-70</x:v>
      </x:c>
      <x:c r="D421" s="16" t="str">
        <x:v>Метизы</x:v>
      </x:c>
      <x:c r="E421" s="16" t="str">
        <x:v>КГ</x:v>
      </x:c>
      <x:c r="F421" s="30" t="n">
        <x:v>0.096</x:v>
      </x:c>
      <x:c r="G421" s="17" t="n">
        <x:v>128.56359999999998</x:v>
      </x:c>
      <x:c r="H421" s="17" t="n">
        <x:f>G421*F421</x:f>
        <x:v>12.342105599999998</x:v>
      </x:c>
      <x:c r="I421" s="22" t="str">
        <x:f>HYPERLINK("https://etp-aktiv.ru/catalog/materialy/metizy/2000068572-V311/","Открыть позицию")</x:f>
        <x:v>Открыть позицию</x:v>
      </x:c>
    </x:row>
    <x:row r="422" ht="28" customHeight="1">
      <x:c r="A422" s="16" t="str">
        <x:v>Назаровская ГРЭС</x:v>
      </x:c>
      <x:c r="B422" s="16" t="str">
        <x:v>2000385953-V311</x:v>
      </x:c>
      <x:c r="C422" s="16" t="str">
        <x:v>ШАЙБА М6 8,8 ОЦИНК DIN127</x:v>
      </x:c>
      <x:c r="D422" s="16" t="str">
        <x:v>Метизы Спец</x:v>
      </x:c>
      <x:c r="E422" s="16" t="str">
        <x:v>КГ</x:v>
      </x:c>
      <x:c r="F422" s="30" t="n">
        <x:v>0.349</x:v>
      </x:c>
      <x:c r="G422" s="17" t="n">
        <x:v>83.631</x:v>
      </x:c>
      <x:c r="H422" s="17" t="n">
        <x:f>G422*F422</x:f>
        <x:v>29.187219</x:v>
      </x:c>
      <x:c r="I422" s="22" t="str">
        <x:f>HYPERLINK("https://etp-aktiv.ru/catalog/materialy/metizy/2000385953-V311/","Открыть позицию")</x:f>
        <x:v>Открыть позицию</x:v>
      </x:c>
    </x:row>
    <x:row r="423" ht="28" customHeight="1">
      <x:c r="A423" s="16" t="str">
        <x:v>Назаровская ГРЭС</x:v>
      </x:c>
      <x:c r="B423" s="16" t="str">
        <x:v>2000384224-V311</x:v>
      </x:c>
      <x:c r="C423" s="16" t="str">
        <x:v>ШАЙБА М6 8.8 ОЦИНК DIN125</x:v>
      </x:c>
      <x:c r="D423" s="16" t="str">
        <x:v>Метизы Спец</x:v>
      </x:c>
      <x:c r="E423" s="16" t="str">
        <x:v>КГ</x:v>
      </x:c>
      <x:c r="F423" s="26" t="n">
        <x:v>1.164</x:v>
      </x:c>
      <x:c r="G423" s="17" t="n">
        <x:v>119.56</x:v>
      </x:c>
      <x:c r="H423" s="17" t="n">
        <x:f>G423*F423</x:f>
        <x:v>139.16783999999998</x:v>
      </x:c>
      <x:c r="I423" s="22" t="str">
        <x:f>HYPERLINK("https://etp-aktiv.ru/catalog/materialy/metizy/2000384224-V311/","Открыть позицию")</x:f>
        <x:v>Открыть позицию</x:v>
      </x:c>
    </x:row>
    <x:row r="424" ht="28" customHeight="1">
      <x:c r="A424" s="16" t="str">
        <x:v>Назаровская ГРЭС</x:v>
      </x:c>
      <x:c r="B424" s="16" t="str">
        <x:v>2000177246-V311</x:v>
      </x:c>
      <x:c r="C424" s="16" t="str">
        <x:v>ШАЙБА М6 ГОСТ22355-77</x:v>
      </x:c>
      <x:c r="D424" s="16" t="str">
        <x:v>Метизы</x:v>
      </x:c>
      <x:c r="E424" s="16" t="str">
        <x:v>КГ</x:v>
      </x:c>
      <x:c r="F424" s="30" t="n">
        <x:v>0.22</x:v>
      </x:c>
      <x:c r="G424" s="17" t="n">
        <x:v>122.3782</x:v>
      </x:c>
      <x:c r="H424" s="17" t="n">
        <x:f>G424*F424</x:f>
        <x:v>26.923204000000002</x:v>
      </x:c>
      <x:c r="I424" s="22" t="str">
        <x:f>HYPERLINK("https://etp-aktiv.ru/catalog/materialy/metizy/2000177246-V311/","Открыть позицию")</x:f>
        <x:v>Открыть позицию</x:v>
      </x:c>
    </x:row>
    <x:row r="425" ht="28" customHeight="1">
      <x:c r="A425" s="16" t="str">
        <x:v>Назаровская ГРЭС</x:v>
      </x:c>
      <x:c r="B425" s="16" t="str">
        <x:v>2000068569-V311</x:v>
      </x:c>
      <x:c r="C425" s="16" t="str">
        <x:v>ШАЙБА М6 ГРОВЕР ГОСТ6402-70</x:v>
      </x:c>
      <x:c r="D425" s="16" t="str">
        <x:v>Метизы Спец</x:v>
      </x:c>
      <x:c r="E425" s="16" t="str">
        <x:v>КГ</x:v>
      </x:c>
      <x:c r="F425" s="26" t="n">
        <x:v>1.126</x:v>
      </x:c>
      <x:c r="G425" s="17" t="n">
        <x:v>125.13539999999999</x:v>
      </x:c>
      <x:c r="H425" s="17" t="n">
        <x:f>G425*F425</x:f>
        <x:v>140.90246039999997</x:v>
      </x:c>
      <x:c r="I425" s="22" t="str">
        <x:f>HYPERLINK("https://etp-aktiv.ru/catalog/materialy/metizy/2000068569-V311/","Открыть позицию")</x:f>
        <x:v>Открыть позицию</x:v>
      </x:c>
    </x:row>
    <x:row r="426" ht="28" customHeight="1">
      <x:c r="A426" s="16" t="str">
        <x:v>Назаровская ГРЭС</x:v>
      </x:c>
      <x:c r="B426" s="16" t="str">
        <x:v>2000068571-V311</x:v>
      </x:c>
      <x:c r="C426" s="16" t="str">
        <x:v>ШАЙБА М8 ГРОВЕР ГОСТ6402-70</x:v>
      </x:c>
      <x:c r="D426" s="16" t="str">
        <x:v>Метизы</x:v>
      </x:c>
      <x:c r="E426" s="16" t="str">
        <x:v>КГ</x:v>
      </x:c>
      <x:c r="F426" s="21" t="n">
        <x:v>5</x:v>
      </x:c>
      <x:c r="G426" s="17" t="n">
        <x:v>135.46880000000002</x:v>
      </x:c>
      <x:c r="H426" s="17" t="n">
        <x:f>G426*F426</x:f>
        <x:v>677.344</x:v>
      </x:c>
      <x:c r="I426" s="22" t="str">
        <x:f>HYPERLINK("https://etp-aktiv.ru/catalog/materialy/metizy/2000068571-V311/","Открыть позицию")</x:f>
        <x:v>Открыть позицию</x:v>
      </x:c>
    </x:row>
    <x:row r="427" ht="28" customHeight="1">
      <x:c r="A427" s="16" t="str">
        <x:v>Назаровская ГРЭС</x:v>
      </x:c>
      <x:c r="B427" s="16" t="str">
        <x:v>2000530247-V311</x:v>
      </x:c>
      <x:c r="C427" s="16" t="str">
        <x:v>ШАЙБА ПЛОСК А.4 01.СТ08КП 016 ГОСТ11371</x:v>
      </x:c>
      <x:c r="D427" s="16" t="str">
        <x:v>Метизы</x:v>
      </x:c>
      <x:c r="E427" s="16" t="str">
        <x:v>КГ</x:v>
      </x:c>
      <x:c r="F427" s="26" t="n">
        <x:v>3.01</x:v>
      </x:c>
      <x:c r="G427" s="17" t="n">
        <x:v>62.9764</x:v>
      </x:c>
      <x:c r="H427" s="17" t="n">
        <x:f>G427*F427</x:f>
        <x:v>189.55896399999997</x:v>
      </x:c>
      <x:c r="I427" s="22" t="str">
        <x:f>HYPERLINK("https://etp-aktiv.ru/catalog/materialy/metizy/2000530247-V311/","Открыть позицию")</x:f>
        <x:v>Открыть позицию</x:v>
      </x:c>
    </x:row>
    <x:row r="428" ht="28" customHeight="1">
      <x:c r="A428" s="16" t="str">
        <x:v>Назаровская ГРЭС</x:v>
      </x:c>
      <x:c r="B428" s="16" t="str">
        <x:v>2000530241-V311</x:v>
      </x:c>
      <x:c r="C428" s="16" t="str">
        <x:v>ШАЙБА ПЛОСКАЯ 12 СТ20Х1М1Ф1ТР ГОСТ11371</x:v>
      </x:c>
      <x:c r="D428" s="16" t="str">
        <x:v>Метизы</x:v>
      </x:c>
      <x:c r="E428" s="16" t="str">
        <x:v>КГ</x:v>
      </x:c>
      <x:c r="F428" s="21" t="n">
        <x:v>4</x:v>
      </x:c>
      <x:c r="G428" s="17" t="n">
        <x:v>81.0568</x:v>
      </x:c>
      <x:c r="H428" s="17" t="n">
        <x:f>G428*F428</x:f>
        <x:v>324.2272</x:v>
      </x:c>
      <x:c r="I428" s="22" t="str">
        <x:f>HYPERLINK("https://etp-aktiv.ru/catalog/materialy/metizy/2000530241-V311/","Открыть позицию")</x:f>
        <x:v>Открыть позицию</x:v>
      </x:c>
    </x:row>
    <x:row r="429" ht="28" customHeight="1">
      <x:c r="A429" s="16" t="str">
        <x:v>Назаровская ГРЭС</x:v>
      </x:c>
      <x:c r="B429" s="16" t="str">
        <x:v>2000530245-V311</x:v>
      </x:c>
      <x:c r="C429" s="16" t="str">
        <x:v>ШАЙБА ПЛОСКАЯ 8 СТ20Х1М1Ф1ТР ГОСТ11371</x:v>
      </x:c>
      <x:c r="D429" s="16" t="str">
        <x:v>Метизы Спец</x:v>
      </x:c>
      <x:c r="E429" s="16" t="str">
        <x:v>КГ</x:v>
      </x:c>
      <x:c r="F429" s="30" t="n">
        <x:v>0.154</x:v>
      </x:c>
      <x:c r="G429" s="17" t="n">
        <x:v>125.599</x:v>
      </x:c>
      <x:c r="H429" s="17" t="n">
        <x:f>G429*F429</x:f>
        <x:v>19.342246</x:v>
      </x:c>
      <x:c r="I429" s="22" t="str">
        <x:f>HYPERLINK("https://etp-aktiv.ru/catalog/materialy/metizy/2000530245-V311/","Открыть позицию")</x:f>
        <x:v>Открыть позицию</x:v>
      </x:c>
    </x:row>
    <x:row r="430" ht="28" customHeight="1">
      <x:c r="A430" s="16" t="str">
        <x:v>Назаровская ГРЭС</x:v>
      </x:c>
      <x:c r="B430" s="16" t="str">
        <x:v>2000485047-V311</x:v>
      </x:c>
      <x:c r="C430" s="16" t="str">
        <x:v>ШАЙБА ПЛОСКАЯ M10 8.8 A2 DIN125</x:v>
      </x:c>
      <x:c r="D430" s="16" t="str">
        <x:v>Метизы Спец</x:v>
      </x:c>
      <x:c r="E430" s="16" t="str">
        <x:v>КГ</x:v>
      </x:c>
      <x:c r="F430" s="30" t="n">
        <x:v>0.633</x:v>
      </x:c>
      <x:c r="G430" s="17" t="n">
        <x:v>1749.8216</x:v>
      </x:c>
      <x:c r="H430" s="17" t="n">
        <x:f>G430*F430</x:f>
        <x:v>1107.6370728</x:v>
      </x:c>
      <x:c r="I430" s="22" t="str">
        <x:f>HYPERLINK("https://etp-aktiv.ru/catalog/materialy/metizy/2000485047-V311/","Открыть позицию")</x:f>
        <x:v>Открыть позицию</x:v>
      </x:c>
    </x:row>
    <x:row r="431" ht="28" customHeight="1">
      <x:c r="A431" s="16" t="str">
        <x:v>Назаровская ГРЭС</x:v>
      </x:c>
      <x:c r="B431" s="16" t="str">
        <x:v>2000485045-V311</x:v>
      </x:c>
      <x:c r="C431" s="16" t="str">
        <x:v>ШАЙБА ПЛОСКАЯ M6 8.8 A2 DIN125</x:v>
      </x:c>
      <x:c r="D431" s="16" t="str">
        <x:v>Метизы Спец</x:v>
      </x:c>
      <x:c r="E431" s="16" t="str">
        <x:v>КГ</x:v>
      </x:c>
      <x:c r="F431" s="26" t="n">
        <x:v>1.262</x:v>
      </x:c>
      <x:c r="G431" s="17" t="n">
        <x:v>107.8724</x:v>
      </x:c>
      <x:c r="H431" s="17" t="n">
        <x:f>G431*F431</x:f>
        <x:v>136.1349688</x:v>
      </x:c>
      <x:c r="I431" s="22" t="str">
        <x:f>HYPERLINK("https://etp-aktiv.ru/catalog/materialy/metizy/2000485045-V311/","Открыть позицию")</x:f>
        <x:v>Открыть позицию</x:v>
      </x:c>
    </x:row>
    <x:row r="432" ht="28" customHeight="1">
      <x:c r="A432" s="16" t="str">
        <x:v>Назаровская ГРЭС</x:v>
      </x:c>
      <x:c r="B432" s="16" t="str">
        <x:v>2000530246-V311</x:v>
      </x:c>
      <x:c r="C432" s="16" t="str">
        <x:v>ШАЙБА ПЛОСКАЯ А.10 ГОСТ11371-78</x:v>
      </x:c>
      <x:c r="D432" s="16" t="str">
        <x:v>Метизы Спец</x:v>
      </x:c>
      <x:c r="E432" s="16" t="str">
        <x:v>КГ</x:v>
      </x:c>
      <x:c r="F432" s="30" t="n">
        <x:v>0.266</x:v>
      </x:c>
      <x:c r="G432" s="17" t="n">
        <x:v>67.73440000000001</x:v>
      </x:c>
      <x:c r="H432" s="17" t="n">
        <x:f>G432*F432</x:f>
        <x:v>18.0173504</x:v>
      </x:c>
      <x:c r="I432" s="22" t="str">
        <x:f>HYPERLINK("https://etp-aktiv.ru/catalog/materialy/metizy/2000530246-V311/","Открыть позицию")</x:f>
        <x:v>Открыть позицию</x:v>
      </x:c>
    </x:row>
    <x:row r="433" ht="28" customHeight="1">
      <x:c r="A433" s="16" t="str">
        <x:v>Назаровская ГРЭС</x:v>
      </x:c>
      <x:c r="B433" s="16" t="str">
        <x:v>2000530258-V311</x:v>
      </x:c>
      <x:c r="C433" s="16" t="str">
        <x:v>ШАЙБА ПЛОСКАЯ А.18 ГОСТ11371-78</x:v>
      </x:c>
      <x:c r="D433" s="16" t="str">
        <x:v>Метизы</x:v>
      </x:c>
      <x:c r="E433" s="16" t="str">
        <x:v>КГ</x:v>
      </x:c>
      <x:c r="F433" s="30" t="n">
        <x:v>0.11</x:v>
      </x:c>
      <x:c r="G433" s="17" t="n">
        <x:v>109.2998</x:v>
      </x:c>
      <x:c r="H433" s="17" t="n">
        <x:f>G433*F433</x:f>
        <x:v>12.022978</x:v>
      </x:c>
      <x:c r="I433" s="22" t="str">
        <x:f>HYPERLINK("https://etp-aktiv.ru/catalog/materialy/metizy/2000530258-V311/","Открыть позицию")</x:f>
        <x:v>Открыть позицию</x:v>
      </x:c>
    </x:row>
    <x:row r="434" ht="28" customHeight="1">
      <x:c r="A434" s="16" t="str">
        <x:v>Назаровская ГРЭС</x:v>
      </x:c>
      <x:c r="B434" s="16" t="str">
        <x:v>2000530264-V311</x:v>
      </x:c>
      <x:c r="C434" s="16" t="str">
        <x:v>ШАЙБА ПЛОСКАЯ А.30 01 ГОСТ11371-78</x:v>
      </x:c>
      <x:c r="D434" s="16" t="str">
        <x:v>Метизы</x:v>
      </x:c>
      <x:c r="E434" s="16" t="str">
        <x:v>КГ</x:v>
      </x:c>
      <x:c r="F434" s="30" t="n">
        <x:v>0.5</x:v>
      </x:c>
      <x:c r="G434" s="17" t="n">
        <x:v>113.2282</x:v>
      </x:c>
      <x:c r="H434" s="17" t="n">
        <x:f>G434*F434</x:f>
        <x:v>56.6141</x:v>
      </x:c>
      <x:c r="I434" s="22" t="str">
        <x:f>HYPERLINK("https://etp-aktiv.ru/catalog/materialy/metizy/2000530264-V311/","Открыть позицию")</x:f>
        <x:v>Открыть позицию</x:v>
      </x:c>
    </x:row>
    <x:row r="435" ht="28" customHeight="1">
      <x:c r="A435" s="16" t="str">
        <x:v>Назаровская ГРЭС</x:v>
      </x:c>
      <x:c r="B435" s="16" t="str">
        <x:v>2000068565-V311</x:v>
      </x:c>
      <x:c r="C435" s="16" t="str">
        <x:v>ШАЙБА ПЛОСКАЯ М8 ГОСТ11371-78</x:v>
      </x:c>
      <x:c r="D435" s="16" t="str">
        <x:v>Метизы Спец</x:v>
      </x:c>
      <x:c r="E435" s="16" t="str">
        <x:v>КГ</x:v>
      </x:c>
      <x:c r="F435" s="26" t="n">
        <x:v>18.2</x:v>
      </x:c>
      <x:c r="G435" s="17" t="n">
        <x:v>49.3368</x:v>
      </x:c>
      <x:c r="H435" s="17" t="n">
        <x:f>G435*F435</x:f>
        <x:v>897.9297599999999</x:v>
      </x:c>
      <x:c r="I435" s="22" t="str">
        <x:f>HYPERLINK("https://etp-aktiv.ru/catalog/materialy/metizy/2000068565-V311/","Открыть позицию")</x:f>
        <x:v>Открыть позицию</x:v>
      </x:c>
    </x:row>
    <x:row r="436" ht="28" customHeight="1">
      <x:c r="A436" s="16" t="str">
        <x:v>Назаровская ГРЭС</x:v>
      </x:c>
      <x:c r="B436" s="16" t="str">
        <x:v>2000487795-V311</x:v>
      </x:c>
      <x:c r="C436" s="16" t="str">
        <x:v>ШАЙБА ПЛОСКАЯ ОЦ М10*20 СД 050618.01-01</x:v>
      </x:c>
      <x:c r="D436" s="16" t="str">
        <x:v>Метизы</x:v>
      </x:c>
      <x:c r="E436" s="16" t="str">
        <x:v>КГ</x:v>
      </x:c>
      <x:c r="F436" s="26" t="n">
        <x:v>5.43</x:v>
      </x:c>
      <x:c r="G436" s="17" t="n">
        <x:v>100.9672</x:v>
      </x:c>
      <x:c r="H436" s="17" t="n">
        <x:f>G436*F436</x:f>
        <x:v>548.251896</x:v>
      </x:c>
      <x:c r="I436" s="22" t="str">
        <x:f>HYPERLINK("https://etp-aktiv.ru/catalog/materialy/metizy/2000487795-V311/","Открыть позицию")</x:f>
        <x:v>Открыть позицию</x:v>
      </x:c>
    </x:row>
    <x:row r="437" ht="28" customHeight="1">
      <x:c r="A437" s="16" t="str">
        <x:v>Назаровская ГРЭС</x:v>
      </x:c>
      <x:c r="B437" s="16" t="str">
        <x:v>2000487792-V311</x:v>
      </x:c>
      <x:c r="C437" s="16" t="str">
        <x:v>ШАЙБА ПЛОСКАЯ ОЦ М6*20 СД 050618.01-02</x:v>
      </x:c>
      <x:c r="D437" s="16" t="str">
        <x:v>Метизы</x:v>
      </x:c>
      <x:c r="E437" s="16" t="str">
        <x:v>КГ</x:v>
      </x:c>
      <x:c r="F437" s="26" t="n">
        <x:v>8.88</x:v>
      </x:c>
      <x:c r="G437" s="17" t="n">
        <x:v>110.3368</x:v>
      </x:c>
      <x:c r="H437" s="17" t="n">
        <x:f>G437*F437</x:f>
        <x:v>979.790784</x:v>
      </x:c>
      <x:c r="I437" s="22" t="str">
        <x:f>HYPERLINK("https://etp-aktiv.ru/catalog/materialy/metizy/2000487792-V311/","Открыть позицию")</x:f>
        <x:v>Открыть позицию</x:v>
      </x:c>
    </x:row>
    <x:row r="438" ht="28" customHeight="1">
      <x:c r="A438" s="16" t="str">
        <x:v>Назаровская ГРЭС</x:v>
      </x:c>
      <x:c r="B438" s="16" t="str">
        <x:v>2000289281-V311</x:v>
      </x:c>
      <x:c r="C438" s="16" t="str">
        <x:v>ШАЙБА ПЛОСКАЯ ОЦИНК М16 ГОСТ11371-78</x:v>
      </x:c>
      <x:c r="D438" s="16" t="str">
        <x:v>Метизы Спец</x:v>
      </x:c>
      <x:c r="E438" s="16" t="str">
        <x:v>КГ</x:v>
      </x:c>
      <x:c r="F438" s="21" t="n">
        <x:v>1</x:v>
      </x:c>
      <x:c r="G438" s="17" t="n">
        <x:v>93.5008</x:v>
      </x:c>
      <x:c r="H438" s="17" t="n">
        <x:f>G438*F438</x:f>
        <x:v>93.5008</x:v>
      </x:c>
      <x:c r="I438" s="22" t="str">
        <x:f>HYPERLINK("https://etp-aktiv.ru/catalog/materialy/metizy/2000289281-V311/","Открыть позицию")</x:f>
        <x:v>Открыть позицию</x:v>
      </x:c>
    </x:row>
    <x:row r="439" ht="28" customHeight="1">
      <x:c r="A439" s="16" t="str">
        <x:v>Назаровская ГРЭС</x:v>
      </x:c>
      <x:c r="B439" s="16" t="str">
        <x:v>2000530280-V311</x:v>
      </x:c>
      <x:c r="C439" s="16" t="str">
        <x:v>ШАЙБА ПЛОСКАЯ С.20 01.СТ20 ГОСТ11371</x:v>
      </x:c>
      <x:c r="D439" s="16" t="str">
        <x:v>Метизы</x:v>
      </x:c>
      <x:c r="E439" s="16" t="str">
        <x:v>КГ</x:v>
      </x:c>
      <x:c r="F439" s="26" t="n">
        <x:v>10.306</x:v>
      </x:c>
      <x:c r="G439" s="17" t="n">
        <x:v>70.5038</x:v>
      </x:c>
      <x:c r="H439" s="17" t="n">
        <x:f>G439*F439</x:f>
        <x:v>726.6121628</x:v>
      </x:c>
      <x:c r="I439" s="22" t="str">
        <x:f>HYPERLINK("https://etp-aktiv.ru/catalog/materialy/metizy/2000530280-V311/","Открыть позицию")</x:f>
        <x:v>Открыть позицию</x:v>
      </x:c>
    </x:row>
    <x:row r="440" ht="28" customHeight="1">
      <x:c r="A440" s="16" t="str">
        <x:v>Назаровская ГРЭС</x:v>
      </x:c>
      <x:c r="B440" s="16" t="str">
        <x:v>2000530283-V311</x:v>
      </x:c>
      <x:c r="C440" s="16" t="str">
        <x:v>ШАЙБА ПРУЖИННАЯ 1.12 СТ65Г ГОСТ6402</x:v>
      </x:c>
      <x:c r="D440" s="16" t="str">
        <x:v>Метизы</x:v>
      </x:c>
      <x:c r="E440" s="16" t="str">
        <x:v>КГ</x:v>
      </x:c>
      <x:c r="F440" s="26" t="n">
        <x:v>7.8</x:v>
      </x:c>
      <x:c r="G440" s="17" t="n">
        <x:v>55.9126</x:v>
      </x:c>
      <x:c r="H440" s="17" t="n">
        <x:f>G440*F440</x:f>
        <x:v>436.11827999999997</x:v>
      </x:c>
      <x:c r="I440" s="22" t="str">
        <x:f>HYPERLINK("https://etp-aktiv.ru/catalog/materialy/metizy/2000530283-V311/","Открыть позицию")</x:f>
        <x:v>Открыть позицию</x:v>
      </x:c>
    </x:row>
    <x:row r="441" ht="28" customHeight="1">
      <x:c r="A441" s="16" t="str">
        <x:v>Назаровская ГРЭС</x:v>
      </x:c>
      <x:c r="B441" s="16" t="str">
        <x:v>2000530286-V311</x:v>
      </x:c>
      <x:c r="C441" s="16" t="str">
        <x:v>ШАЙБА ПРУЖИННАЯ 1.16 СТ65Г ГОСТ6402</x:v>
      </x:c>
      <x:c r="D441" s="16" t="str">
        <x:v>Метизы</x:v>
      </x:c>
      <x:c r="E441" s="16" t="str">
        <x:v>КГ</x:v>
      </x:c>
      <x:c r="F441" s="26" t="n">
        <x:v>5.5</x:v>
      </x:c>
      <x:c r="G441" s="17" t="n">
        <x:v>55.9126</x:v>
      </x:c>
      <x:c r="H441" s="17" t="n">
        <x:f>G441*F441</x:f>
        <x:v>307.5193</x:v>
      </x:c>
      <x:c r="I441" s="22" t="str">
        <x:f>HYPERLINK("https://etp-aktiv.ru/catalog/materialy/metizy/2000530286-V311/","Открыть позицию")</x:f>
        <x:v>Открыть позицию</x:v>
      </x:c>
    </x:row>
    <x:row r="442" ht="28" customHeight="1">
      <x:c r="A442" s="16" t="str">
        <x:v>Назаровская ГРЭС</x:v>
      </x:c>
      <x:c r="B442" s="16" t="str">
        <x:v>2000530293-V311</x:v>
      </x:c>
      <x:c r="C442" s="16" t="str">
        <x:v>ШАЙБА ПРУЖИННАЯ 1.24 СТ65Г ГОСТ6402</x:v>
      </x:c>
      <x:c r="D442" s="16" t="str">
        <x:v>Метизы</x:v>
      </x:c>
      <x:c r="E442" s="16" t="str">
        <x:v>КГ</x:v>
      </x:c>
      <x:c r="F442" s="26" t="n">
        <x:v>1.634</x:v>
      </x:c>
      <x:c r="G442" s="17" t="n">
        <x:v>129.6982</x:v>
      </x:c>
      <x:c r="H442" s="17" t="n">
        <x:f>G442*F442</x:f>
        <x:v>211.92685880000002</x:v>
      </x:c>
      <x:c r="I442" s="22" t="str">
        <x:f>HYPERLINK("https://etp-aktiv.ru/catalog/materialy/metizy/2000530293-V311/","Открыть позицию")</x:f>
        <x:v>Открыть позицию</x:v>
      </x:c>
    </x:row>
    <x:row r="443" ht="28" customHeight="1">
      <x:c r="A443" s="16" t="str">
        <x:v>Назаровская ГРЭС</x:v>
      </x:c>
      <x:c r="B443" s="16" t="str">
        <x:v>2000234018-V311</x:v>
      </x:c>
      <x:c r="C443" s="16" t="str">
        <x:v>ШАЙБА С24.01.08КП ГОСТ11371-78</x:v>
      </x:c>
      <x:c r="D443" s="16" t="str">
        <x:v>Метизы</x:v>
      </x:c>
      <x:c r="E443" s="16" t="str">
        <x:v>КГ</x:v>
      </x:c>
      <x:c r="F443" s="26" t="n">
        <x:v>1.5</x:v>
      </x:c>
      <x:c r="G443" s="17" t="n">
        <x:v>49.349000000000004</x:v>
      </x:c>
      <x:c r="H443" s="17" t="n">
        <x:f>G443*F443</x:f>
        <x:v>74.02350000000001</x:v>
      </x:c>
      <x:c r="I443" s="22" t="str">
        <x:f>HYPERLINK("https://etp-aktiv.ru/catalog/materialy/metizy/2000234018-V311/","Открыть позицию")</x:f>
        <x:v>Открыть позицию</x:v>
      </x:c>
    </x:row>
    <x:row r="444" ht="28" customHeight="1">
      <x:c r="A444" s="16" t="str">
        <x:v>Назаровская ГРЭС</x:v>
      </x:c>
      <x:c r="B444" s="16" t="str">
        <x:v>2000452314-V311</x:v>
      </x:c>
      <x:c r="C444" s="16" t="str">
        <x:v>ШАЙБА-ГРОВЕР М4 8.8 ОЦИНК DIN127</x:v>
      </x:c>
      <x:c r="D444" s="16" t="str">
        <x:v>Метизы Спец</x:v>
      </x:c>
      <x:c r="E444" s="16" t="str">
        <x:v>КГ</x:v>
      </x:c>
      <x:c r="F444" s="30" t="n">
        <x:v>0.5</x:v>
      </x:c>
      <x:c r="G444" s="17" t="n">
        <x:v>185.5498</x:v>
      </x:c>
      <x:c r="H444" s="17" t="n">
        <x:f>G444*F444</x:f>
        <x:v>92.7749</x:v>
      </x:c>
      <x:c r="I444" s="22" t="str">
        <x:f>HYPERLINK("https://etp-aktiv.ru/catalog/materialy/metizy/2000452314-V311/","Открыть позицию")</x:f>
        <x:v>Открыть позицию</x:v>
      </x:c>
    </x:row>
    <x:row r="445" ht="28" customHeight="1">
      <x:c r="A445" s="16" t="str">
        <x:v>Назаровская ГРЭС</x:v>
      </x:c>
      <x:c r="B445" s="16" t="str">
        <x:v>2000315900-V311</x:v>
      </x:c>
      <x:c r="C445" s="16" t="str">
        <x:v>ШАЙБА-ГРОВЕР М5 8.8 ОЦИНК DIN127</x:v>
      </x:c>
      <x:c r="D445" s="16" t="str">
        <x:v>Метизы Спец</x:v>
      </x:c>
      <x:c r="E445" s="16" t="str">
        <x:v>КГ</x:v>
      </x:c>
      <x:c r="F445" s="30" t="n">
        <x:v>0.003</x:v>
      </x:c>
      <x:c r="G445" s="17" t="n">
        <x:v>141.825</x:v>
      </x:c>
      <x:c r="H445" s="17" t="n">
        <x:f>G445*F445</x:f>
        <x:v>0.425475</x:v>
      </x:c>
      <x:c r="I445" s="22" t="str">
        <x:f>HYPERLINK("https://etp-aktiv.ru/catalog/materialy/metizy/2000315900-V311/","Открыть позицию")</x:f>
        <x:v>Открыть позицию</x:v>
      </x:c>
    </x:row>
    <x:row r="446" ht="28" customHeight="1">
      <x:c r="A446" s="16" t="str">
        <x:v>Назаровская ГРЭС</x:v>
      </x:c>
      <x:c r="B446" s="16" t="str">
        <x:v>2000681639-V311</x:v>
      </x:c>
      <x:c r="C446" s="16" t="str">
        <x:v>ШВЕЛЛЕР С235 10 ГОСТ8240-97</x:v>
      </x:c>
      <x:c r="D446" s="16" t="str">
        <x:v>М/прокат черный</x:v>
      </x:c>
      <x:c r="E446" s="16" t="str">
        <x:v>Т</x:v>
      </x:c>
      <x:c r="F446" s="30" t="n">
        <x:v>0.17</x:v>
      </x:c>
      <x:c r="G446" s="17" t="n">
        <x:v>61133.492399999996</x:v>
      </x:c>
      <x:c r="H446" s="17" t="n">
        <x:f>G446*F446</x:f>
        <x:v>10392.693708</x:v>
      </x:c>
      <x:c r="I446" s="22" t="str">
        <x:f>HYPERLINK("https://etp-aktiv.ru/catalog/materialy/metalloprodukciya/2000681639-V311/","Открыть позицию")</x:f>
        <x:v>Открыть позицию</x:v>
      </x:c>
    </x:row>
    <x:row r="447" ht="28" customHeight="1">
      <x:c r="A447" s="16" t="str">
        <x:v>Назаровская ГРЭС</x:v>
      </x:c>
      <x:c r="B447" s="16" t="str">
        <x:v>2000759597-V311</x:v>
      </x:c>
      <x:c r="C447" s="16" t="str">
        <x:v>ШВЕЛЛЕР С245 24П ГОСТ8240-97</x:v>
      </x:c>
      <x:c r="D447" s="16" t="str">
        <x:v>М/прокат черный</x:v>
      </x:c>
      <x:c r="E447" s="16" t="str">
        <x:v>Т</x:v>
      </x:c>
      <x:c r="F447" s="30" t="n">
        <x:v>0.007</x:v>
      </x:c>
      <x:c r="G447" s="17" t="n">
        <x:v>73657.1828</x:v>
      </x:c>
      <x:c r="H447" s="17" t="n">
        <x:f>G447*F447</x:f>
        <x:v>515.6002796</x:v>
      </x:c>
      <x:c r="I447" s="22" t="str">
        <x:f>HYPERLINK("https://etp-aktiv.ru/catalog/materialy/metalloprodukciya/2000759597-V311/","Открыть позицию")</x:f>
        <x:v>Открыть позицию</x:v>
      </x:c>
    </x:row>
    <x:row r="448" ht="28" customHeight="1">
      <x:c r="A448" s="16" t="str">
        <x:v>Назаровская ГРЭС</x:v>
      </x:c>
      <x:c r="B448" s="16" t="str">
        <x:v>2000555744-V311</x:v>
      </x:c>
      <x:c r="C448" s="16" t="str">
        <x:v>ШВЕЛЛЕР С245 8У ГОСТ8240-97</x:v>
      </x:c>
      <x:c r="D448" s="16" t="str">
        <x:v>М/прокат черный</x:v>
      </x:c>
      <x:c r="E448" s="16" t="str">
        <x:v>Т</x:v>
      </x:c>
      <x:c r="F448" s="30" t="n">
        <x:v>0.031</x:v>
      </x:c>
      <x:c r="G448" s="17" t="n">
        <x:v>45321.0602</x:v>
      </x:c>
      <x:c r="H448" s="17" t="n">
        <x:f>G448*F448</x:f>
        <x:v>1404.9528662</x:v>
      </x:c>
      <x:c r="I448" s="22" t="str">
        <x:f>HYPERLINK("https://etp-aktiv.ru/catalog/materialy/metalloprodukciya/2000555744-V311/","Открыть позицию")</x:f>
        <x:v>Открыть позицию</x:v>
      </x:c>
    </x:row>
    <x:row r="449" ht="28" customHeight="1">
      <x:c r="A449" s="16" t="str">
        <x:v>Назаровская ГРЭС</x:v>
      </x:c>
      <x:c r="B449" s="16" t="str">
        <x:v>2000239449-V311</x:v>
      </x:c>
      <x:c r="C449" s="16" t="str">
        <x:v>ШВЕЛЛЕР СТ3 5 ГОСТ8240-97</x:v>
      </x:c>
      <x:c r="D449" s="16" t="str">
        <x:v>М/прокат черный</x:v>
      </x:c>
      <x:c r="E449" s="16" t="str">
        <x:v>Т</x:v>
      </x:c>
      <x:c r="F449" s="30" t="n">
        <x:v>0.035</x:v>
      </x:c>
      <x:c r="G449" s="17" t="n">
        <x:v>61630.15439999999</x:v>
      </x:c>
      <x:c r="H449" s="17" t="n">
        <x:f>G449*F449</x:f>
        <x:v>2157.0554039999997</x:v>
      </x:c>
      <x:c r="I449" s="22" t="str">
        <x:f>HYPERLINK("https://etp-aktiv.ru/catalog/materialy/metalloprodukciya/2000239449-V311/","Открыть позицию")</x:f>
        <x:v>Открыть позицию</x:v>
      </x:c>
    </x:row>
    <x:row r="450" ht="28" customHeight="1">
      <x:c r="A450" s="16" t="str">
        <x:v>Назаровская ГРЭС</x:v>
      </x:c>
      <x:c r="B450" s="16" t="str">
        <x:v>2000167075-V311</x:v>
      </x:c>
      <x:c r="C450" s="16" t="str">
        <x:v>ШВЕЛЛЕР СТ3ПС5 30 ГОСТ8240-97</x:v>
      </x:c>
      <x:c r="D450" s="16" t="str">
        <x:v>М/прокат черный</x:v>
      </x:c>
      <x:c r="E450" s="16" t="str">
        <x:v>Т</x:v>
      </x:c>
      <x:c r="F450" s="30" t="n">
        <x:v>0.551</x:v>
      </x:c>
      <x:c r="G450" s="17" t="n">
        <x:v>71739.1232</x:v>
      </x:c>
      <x:c r="H450" s="17" t="n">
        <x:f>G450*F450</x:f>
        <x:v>39528.2568832</x:v>
      </x:c>
      <x:c r="I450" s="22" t="str">
        <x:f>HYPERLINK("https://etp-aktiv.ru/catalog/materialy/metalloprodukciya/2000167075-V311/","Открыть позицию")</x:f>
        <x:v>Открыть позицию</x:v>
      </x:c>
    </x:row>
    <x:row r="451" ht="28" customHeight="1">
      <x:c r="A451" s="16" t="str">
        <x:v>Назаровская ГРЭС</x:v>
      </x:c>
      <x:c r="B451" s="16" t="str">
        <x:v>2000142934-V311</x:v>
      </x:c>
      <x:c r="C451" s="16" t="str">
        <x:v>ШВЕЛЛЕР СТ3СП5 10П ГОСТ8240-97</x:v>
      </x:c>
      <x:c r="D451" s="16" t="str">
        <x:v>М/прокат черный</x:v>
      </x:c>
      <x:c r="E451" s="16" t="str">
        <x:v>Т</x:v>
      </x:c>
      <x:c r="F451" s="30" t="n">
        <x:v>0.004</x:v>
      </x:c>
      <x:c r="G451" s="17" t="n">
        <x:v>56600.1066</x:v>
      </x:c>
      <x:c r="H451" s="17" t="n">
        <x:f>G451*F451</x:f>
        <x:v>226.40042640000001</x:v>
      </x:c>
      <x:c r="I451" s="22" t="str">
        <x:f>HYPERLINK("https://etp-aktiv.ru/catalog/materialy/metalloprodukciya/2000142934-V311/","Открыть позицию")</x:f>
        <x:v>Открыть позицию</x:v>
      </x:c>
    </x:row>
    <x:row r="452" ht="28" customHeight="1">
      <x:c r="A452" s="16" t="str">
        <x:v>Назаровская ГРЭС</x:v>
      </x:c>
      <x:c r="B452" s="16" t="str">
        <x:v>2000170736-V311</x:v>
      </x:c>
      <x:c r="C452" s="16" t="str">
        <x:v>ШВЕЛЛЕР СТ3СП5 8 ГОСТ8240-97</x:v>
      </x:c>
      <x:c r="D452" s="16" t="str">
        <x:v>М/прокат черный</x:v>
      </x:c>
      <x:c r="E452" s="16" t="str">
        <x:v>Т</x:v>
      </x:c>
      <x:c r="F452" s="26" t="n">
        <x:v>1.167</x:v>
      </x:c>
      <x:c r="G452" s="17" t="n">
        <x:v>51631.6078</x:v>
      </x:c>
      <x:c r="H452" s="17" t="n">
        <x:f>G452*F452</x:f>
        <x:v>60254.0863026</x:v>
      </x:c>
      <x:c r="I452" s="22" t="str">
        <x:f>HYPERLINK("https://etp-aktiv.ru/catalog/materialy/metalloprodukciya/2000170736-V311/","Открыть позицию")</x:f>
        <x:v>Открыть позицию</x:v>
      </x:c>
    </x:row>
    <x:row r="453" ht="28" customHeight="1">
      <x:c r="A453" s="16" t="str">
        <x:v>Назаровская ГРЭС</x:v>
      </x:c>
      <x:c r="B453" s="16" t="str">
        <x:v>2000530334-V311</x:v>
      </x:c>
      <x:c r="C453" s="16" t="str">
        <x:v>ШПИЛЬКА АМ16-6G*170.90 ГОСТ9066-75</x:v>
      </x:c>
      <x:c r="D453" s="16" t="str">
        <x:v>Метизы Спец</x:v>
      </x:c>
      <x:c r="E453" s="16" t="str">
        <x:v>ШТ</x:v>
      </x:c>
      <x:c r="F453" s="21" t="n">
        <x:v>192</x:v>
      </x:c>
      <x:c r="G453" s="17" t="n">
        <x:v>93.46419999999999</x:v>
      </x:c>
      <x:c r="H453" s="17" t="n">
        <x:f>G453*F453</x:f>
        <x:v>17945.126399999997</x:v>
      </x:c>
      <x:c r="I453" s="22" t="str">
        <x:f>HYPERLINK("https://etp-aktiv.ru/catalog/materialy/metizy/2000530334-V311/","Открыть позицию")</x:f>
        <x:v>Открыть позицию</x:v>
      </x:c>
    </x:row>
    <x:row r="454" ht="28" customHeight="1">
      <x:c r="A454" s="16" t="str">
        <x:v>Назаровская ГРЭС</x:v>
      </x:c>
      <x:c r="B454" s="16" t="str">
        <x:v>2000530356-V311</x:v>
      </x:c>
      <x:c r="C454" s="16" t="str">
        <x:v>ШПИЛЬКА БМ20-6G*120.40.35.III.4 ГОСТ9066</x:v>
      </x:c>
      <x:c r="D454" s="16" t="str">
        <x:v>Метизы Спец</x:v>
      </x:c>
      <x:c r="E454" s="16" t="str">
        <x:v>ШТ</x:v>
      </x:c>
      <x:c r="F454" s="21" t="n">
        <x:v>27</x:v>
      </x:c>
      <x:c r="G454" s="17" t="n">
        <x:v>66.917</x:v>
      </x:c>
      <x:c r="H454" s="17" t="n">
        <x:f>G454*F454</x:f>
        <x:v>1806.759</x:v>
      </x:c>
      <x:c r="I454" s="22" t="str">
        <x:f>HYPERLINK("https://etp-aktiv.ru/catalog/materialy/metizy/2000530356-V311/","Открыть позицию")</x:f>
        <x:v>Открыть позицию</x:v>
      </x:c>
    </x:row>
    <x:row r="455" ht="28" customHeight="1">
      <x:c r="A455" s="16" t="str">
        <x:v>Назаровская ГРЭС</x:v>
      </x:c>
      <x:c r="B455" s="16" t="str">
        <x:v>2000975617-V311</x:v>
      </x:c>
      <x:c r="C455" s="16" t="str">
        <x:v>ШПИЛЬКА М10*200 5.8 ОЦИНК DIN976</x:v>
      </x:c>
      <x:c r="D455" s="16" t="str">
        <x:v>Метизы</x:v>
      </x:c>
      <x:c r="E455" s="16" t="str">
        <x:v>ШТ</x:v>
      </x:c>
      <x:c r="F455" s="21" t="n">
        <x:v>225</x:v>
      </x:c>
      <x:c r="G455" s="17" t="n">
        <x:v>24.034</x:v>
      </x:c>
      <x:c r="H455" s="17" t="n">
        <x:f>G455*F455</x:f>
        <x:v>5407.65</x:v>
      </x:c>
      <x:c r="I455" s="22" t="str">
        <x:f>HYPERLINK("https://etp-aktiv.ru/catalog/materialy/metizy/2000975617-V311/","Открыть позицию")</x:f>
        <x:v>Открыть позицию</x:v>
      </x:c>
    </x:row>
    <x:row r="456" ht="28" customHeight="1">
      <x:c r="A456" s="16" t="str">
        <x:v>Назаровская ГРЭС</x:v>
      </x:c>
      <x:c r="B456" s="16" t="str">
        <x:v>2000530393-V311</x:v>
      </x:c>
      <x:c r="C456" s="16" t="str">
        <x:v>ШПИЛЬКА М16*100 СТ35 ГОСТ22040-76</x:v>
      </x:c>
      <x:c r="D456" s="16" t="str">
        <x:v>Метизы</x:v>
      </x:c>
      <x:c r="E456" s="16" t="str">
        <x:v>КГ</x:v>
      </x:c>
      <x:c r="F456" s="26" t="n">
        <x:v>47.06</x:v>
      </x:c>
      <x:c r="G456" s="17" t="n">
        <x:v>445.6416</x:v>
      </x:c>
      <x:c r="H456" s="17" t="n">
        <x:f>G456*F456</x:f>
        <x:v>20971.893696</x:v>
      </x:c>
      <x:c r="I456" s="22" t="str">
        <x:f>HYPERLINK("https://etp-aktiv.ru/catalog/materialy/metizy/2000530393-V311/","Открыть позицию")</x:f>
        <x:v>Открыть позицию</x:v>
      </x:c>
    </x:row>
    <x:row r="457" ht="28" customHeight="1">
      <x:c r="A457" s="16" t="str">
        <x:v>Назаровская ГРЭС</x:v>
      </x:c>
      <x:c r="B457" s="16" t="str">
        <x:v>2000530403-V311</x:v>
      </x:c>
      <x:c r="C457" s="16" t="str">
        <x:v>ШПИЛЬКА М20-6G*165 СТ20 ГОСТ22042-76</x:v>
      </x:c>
      <x:c r="D457" s="16" t="str">
        <x:v>Метизы</x:v>
      </x:c>
      <x:c r="E457" s="16" t="str">
        <x:v>КГ</x:v>
      </x:c>
      <x:c r="F457" s="26" t="n">
        <x:v>6.485</x:v>
      </x:c>
      <x:c r="G457" s="17" t="n">
        <x:v>314.9918</x:v>
      </x:c>
      <x:c r="H457" s="17" t="n">
        <x:f>G457*F457</x:f>
        <x:v>2042.721823</x:v>
      </x:c>
      <x:c r="I457" s="22" t="str">
        <x:f>HYPERLINK("https://etp-aktiv.ru/catalog/materialy/metizy/2000530403-V311/","Открыть позицию")</x:f>
        <x:v>Открыть позицию</x:v>
      </x:c>
    </x:row>
    <x:row r="458" ht="28" customHeight="1">
      <x:c r="A458" s="16" t="str">
        <x:v>Назаровская ГРЭС</x:v>
      </x:c>
      <x:c r="B458" s="16" t="str">
        <x:v>2000880061-V311</x:v>
      </x:c>
      <x:c r="C458" s="16" t="str">
        <x:v>ШПИЛЬКА РЕЗЬБОВАЯ М16*1000 A2 8.8 DIN975</x:v>
      </x:c>
      <x:c r="D458" s="16" t="str">
        <x:v>Метизы</x:v>
      </x:c>
      <x:c r="E458" s="16" t="str">
        <x:v>ШТ</x:v>
      </x:c>
      <x:c r="F458" s="30" t="n">
        <x:v>0.5</x:v>
      </x:c>
      <x:c r="G458" s="17" t="n">
        <x:v>496.84499999999997</x:v>
      </x:c>
      <x:c r="H458" s="17" t="n">
        <x:f>G458*F458</x:f>
        <x:v>248.42249999999999</x:v>
      </x:c>
      <x:c r="I458" s="22" t="str">
        <x:f>HYPERLINK("https://etp-aktiv.ru/catalog/materialy/metizy/2000880061-V311/","Открыть позицию")</x:f>
        <x:v>Открыть позицию</x:v>
      </x:c>
    </x:row>
    <x:row r="459" ht="28" customHeight="1">
      <x:c r="A459" s="16" t="str">
        <x:v>Назаровская ГРЭС</x:v>
      </x:c>
      <x:c r="B459" s="16" t="str">
        <x:v>2000068518-V311</x:v>
      </x:c>
      <x:c r="C459" s="16" t="str">
        <x:v>ШПЛИНТ 2,5*50 ГОСТ397-79</x:v>
      </x:c>
      <x:c r="D459" s="16" t="str">
        <x:v>Метизы Спец</x:v>
      </x:c>
      <x:c r="E459" s="16" t="str">
        <x:v>КГ</x:v>
      </x:c>
      <x:c r="F459" s="30" t="n">
        <x:v>0.208</x:v>
      </x:c>
      <x:c r="G459" s="17" t="n">
        <x:v>402.4414</x:v>
      </x:c>
      <x:c r="H459" s="17" t="n">
        <x:f>G459*F459</x:f>
        <x:v>83.7078112</x:v>
      </x:c>
      <x:c r="I459" s="22" t="str">
        <x:f>HYPERLINK("https://etp-aktiv.ru/catalog/materialy/metizy/2000068518-V311/","Открыть позицию")</x:f>
        <x:v>Открыть позицию</x:v>
      </x:c>
    </x:row>
    <x:row r="460" ht="28" customHeight="1">
      <x:c r="A460" s="16" t="str">
        <x:v>Назаровская ГРЭС</x:v>
      </x:c>
      <x:c r="B460" s="16" t="str">
        <x:v>2000068523-V311</x:v>
      </x:c>
      <x:c r="C460" s="16" t="str">
        <x:v>ШПЛИНТ 3,2*40 ГОСТ397-79</x:v>
      </x:c>
      <x:c r="D460" s="16" t="str">
        <x:v>Метизы Спец</x:v>
      </x:c>
      <x:c r="E460" s="16" t="str">
        <x:v>КГ</x:v>
      </x:c>
      <x:c r="F460" s="26" t="n">
        <x:v>73.543</x:v>
      </x:c>
      <x:c r="G460" s="17" t="n">
        <x:v>129.076</x:v>
      </x:c>
      <x:c r="H460" s="17" t="n">
        <x:f>G460*F460</x:f>
        <x:v>9492.636268</x:v>
      </x:c>
      <x:c r="I460" s="22" t="str">
        <x:f>HYPERLINK("https://etp-aktiv.ru/catalog/materialy/metizy/2000068523-V311/","Открыть позицию")</x:f>
        <x:v>Открыть позицию</x:v>
      </x:c>
    </x:row>
    <x:row r="461" ht="28" customHeight="1">
      <x:c r="A461" s="16" t="str">
        <x:v>Назаровская ГРЭС</x:v>
      </x:c>
      <x:c r="B461" s="16" t="str">
        <x:v>2000530428-V311</x:v>
      </x:c>
      <x:c r="C461" s="16" t="str">
        <x:v>ШПЛИНТ 3,6*47 0 ГОСТ397-79</x:v>
      </x:c>
      <x:c r="D461" s="16" t="str">
        <x:v>Метизы Спец</x:v>
      </x:c>
      <x:c r="E461" s="16" t="str">
        <x:v>КГ</x:v>
      </x:c>
      <x:c r="F461" s="26" t="n">
        <x:v>2.747</x:v>
      </x:c>
      <x:c r="G461" s="17" t="n">
        <x:v>185.8182</x:v>
      </x:c>
      <x:c r="H461" s="17" t="n">
        <x:f>G461*F461</x:f>
        <x:v>510.44259539999996</x:v>
      </x:c>
      <x:c r="I461" s="22" t="str">
        <x:f>HYPERLINK("https://etp-aktiv.ru/catalog/materialy/metizy/2000530428-V311/","Открыть позицию")</x:f>
        <x:v>Открыть позицию</x:v>
      </x:c>
    </x:row>
    <x:row r="462" ht="28" customHeight="1">
      <x:c r="A462" s="16" t="str">
        <x:v>Назаровская ГРЭС</x:v>
      </x:c>
      <x:c r="B462" s="16" t="str">
        <x:v>2000439920-V311</x:v>
      </x:c>
      <x:c r="C462" s="16" t="str">
        <x:v>ШПОНКА 2-14*9*110 ГОСТ23360-78</x:v>
      </x:c>
      <x:c r="D462" s="16" t="str">
        <x:v>Метизы Спец</x:v>
      </x:c>
      <x:c r="E462" s="16" t="str">
        <x:v>ШТ</x:v>
      </x:c>
      <x:c r="F462" s="21" t="n">
        <x:v>2</x:v>
      </x:c>
      <x:c r="G462" s="17" t="n">
        <x:v>67.1976</x:v>
      </x:c>
      <x:c r="H462" s="17" t="n">
        <x:f>G462*F462</x:f>
        <x:v>134.3952</x:v>
      </x:c>
      <x:c r="I462" s="22" t="str">
        <x:f>HYPERLINK("https://etp-aktiv.ru/catalog/materialy/metizy/2000439920-V311/","Открыть позицию")</x:f>
        <x:v>Открыть позицию</x:v>
      </x:c>
    </x:row>
    <x:row r="463" ht="28" customHeight="1">
      <x:c r="A463" s="16" t="str">
        <x:v>Назаровская ГРЭС</x:v>
      </x:c>
      <x:c r="B463" s="16" t="str">
        <x:v>2000068559-V311</x:v>
      </x:c>
      <x:c r="C463" s="16" t="str">
        <x:v>ШУРУП 3*20 ГОСТ1145-80</x:v>
      </x:c>
      <x:c r="D463" s="16" t="str">
        <x:v>Метизы</x:v>
      </x:c>
      <x:c r="E463" s="16" t="str">
        <x:v>КГ</x:v>
      </x:c>
      <x:c r="F463" s="26" t="n">
        <x:v>6.95</x:v>
      </x:c>
      <x:c r="G463" s="17" t="n">
        <x:v>14.883999999999999</x:v>
      </x:c>
      <x:c r="H463" s="17" t="n">
        <x:f>G463*F463</x:f>
        <x:v>103.4438</x:v>
      </x:c>
      <x:c r="I463" s="22" t="str">
        <x:f>HYPERLINK("https://etp-aktiv.ru/catalog/materialy/metizy/2000068559-V311/","Открыть позицию")</x:f>
        <x:v>Открыть позицию</x:v>
      </x:c>
    </x:row>
    <x:row r="464" ht="28" customHeight="1">
      <x:c r="A464" s="16" t="str">
        <x:v>Назаровская ГРЭС</x:v>
      </x:c>
      <x:c r="B464" s="16" t="str">
        <x:v>2000558909-V311</x:v>
      </x:c>
      <x:c r="C464" s="16" t="str">
        <x:v>ЭЛЕКТРОД WL-20 2*175ММ ISO6848:2015</x:v>
      </x:c>
      <x:c r="D464" s="16" t="str">
        <x:v>Сварочные электроды</x:v>
      </x:c>
      <x:c r="E464" s="16" t="str">
        <x:v>ШТ</x:v>
      </x:c>
      <x:c r="F464" s="21" t="n">
        <x:v>13</x:v>
      </x:c>
      <x:c r="G464" s="17" t="n">
        <x:v>68.625</x:v>
      </x:c>
      <x:c r="H464" s="17" t="n">
        <x:f>G464*F464</x:f>
        <x:v>892.125</x:v>
      </x:c>
      <x:c r="I464" s="22" t="str">
        <x:f>HYPERLINK("https://etp-aktiv.ru/catalog/materialy/svarochnye-ehlektrody/2000558909-V311/","Открыть позицию")</x:f>
        <x:v>Открыть позицию</x:v>
      </x:c>
    </x:row>
    <x:row r="465" ht="28" customHeight="1">
      <x:c r="A465" s="16" t="str">
        <x:v>Назаровская ГРЭС</x:v>
      </x:c>
      <x:c r="B465" s="16" t="str">
        <x:v>2000201449-V311</x:v>
      </x:c>
      <x:c r="C465" s="16" t="str">
        <x:v>ЭЛЕКТРОД МР-3 3ММ ГОСТ9466-75 (КГ)</x:v>
      </x:c>
      <x:c r="D465" s="16" t="str">
        <x:v>Сварочные электроды</x:v>
      </x:c>
      <x:c r="E465" s="16" t="str">
        <x:v>КГ</x:v>
      </x:c>
      <x:c r="F465" s="21" t="n">
        <x:v>7</x:v>
      </x:c>
      <x:c r="G465" s="17" t="n">
        <x:v>95.5138</x:v>
      </x:c>
      <x:c r="H465" s="17" t="n">
        <x:f>G465*F465</x:f>
        <x:v>668.5966000000001</x:v>
      </x:c>
      <x:c r="I465" s="22" t="str">
        <x:f>HYPERLINK("https://etp-aktiv.ru/catalog/materialy/svarochnye-ehlektrody/2000201449-V311/","Открыть позицию")</x:f>
        <x:v>Открыть позицию</x:v>
      </x:c>
    </x:row>
    <x:row r="466" ht="28" customHeight="1">
      <x:c r="A466" s="16" t="str">
        <x:v>Назаровская ГРЭС</x:v>
      </x:c>
      <x:c r="B466" s="16" t="str">
        <x:v>2000015573-V311</x:v>
      </x:c>
      <x:c r="C466" s="16" t="str">
        <x:v>ЭЛЕКТРОД МР-3 4ММ ГОСТ9466-75</x:v>
      </x:c>
      <x:c r="D466" s="16" t="str">
        <x:v>Сварочные электроды</x:v>
      </x:c>
      <x:c r="E466" s="16" t="str">
        <x:v>Т</x:v>
      </x:c>
      <x:c r="F466" s="30" t="n">
        <x:v>0.015</x:v>
      </x:c>
      <x:c r="G466" s="17" t="n">
        <x:v>88479.9876</x:v>
      </x:c>
      <x:c r="H466" s="17" t="n">
        <x:f>G466*F466</x:f>
        <x:v>1327.1998139999998</x:v>
      </x:c>
      <x:c r="I466" s="22" t="str">
        <x:f>HYPERLINK("https://etp-aktiv.ru/catalog/materialy/svarochnye-ehlektrody/2000015573-V311/","Открыть позицию")</x:f>
        <x:v>Открыть позицию</x:v>
      </x:c>
    </x:row>
    <x:row r="467" ht="28" customHeight="1">
      <x:c r="A467" s="16" t="str">
        <x:v>Назаровская ГРЭС</x:v>
      </x:c>
      <x:c r="B467" s="16" t="str">
        <x:v>2000740550-V311</x:v>
      </x:c>
      <x:c r="C467" s="16" t="str">
        <x:v>ЭЛЕКТРОД МР-3 4ММ ГОСТ9466-75 (КГ)</x:v>
      </x:c>
      <x:c r="D467" s="16" t="str">
        <x:v>Сварочные электроды</x:v>
      </x:c>
      <x:c r="E467" s="16" t="str">
        <x:v>КГ</x:v>
      </x:c>
      <x:c r="F467" s="26" t="n">
        <x:v>98.8</x:v>
      </x:c>
      <x:c r="G467" s="17" t="n">
        <x:v>78.1166</x:v>
      </x:c>
      <x:c r="H467" s="17" t="n">
        <x:f>G467*F467</x:f>
        <x:v>7717.92008</x:v>
      </x:c>
      <x:c r="I467" s="22" t="str">
        <x:f>HYPERLINK("https://etp-aktiv.ru/catalog/materialy/svarochnye-ehlektrody/2000740550-V311/","Открыть позицию")</x:f>
        <x:v>Открыть позицию</x:v>
      </x:c>
    </x:row>
    <x:row r="468" ht="28" customHeight="1">
      <x:c r="A468" s="16" t="str">
        <x:v>Назаровская ГРЭС</x:v>
      </x:c>
      <x:c r="B468" s="16" t="str">
        <x:v>2000635998-V311</x:v>
      </x:c>
      <x:c r="C468" s="16" t="str">
        <x:v>ЭЛЕКТРОД МР-3 ЛЮКС 3ММ ГОСТ9466-75</x:v>
      </x:c>
      <x:c r="D468" s="16" t="str">
        <x:v>Сварочные электроды</x:v>
      </x:c>
      <x:c r="E468" s="16" t="str">
        <x:v>Т</x:v>
      </x:c>
      <x:c r="F468" s="30" t="n">
        <x:v>0.003</x:v>
      </x:c>
      <x:c r="G468" s="17" t="n">
        <x:v>102930.64360000001</x:v>
      </x:c>
      <x:c r="H468" s="17" t="n">
        <x:f>G468*F468</x:f>
        <x:v>308.79193080000005</x:v>
      </x:c>
      <x:c r="I468" s="22" t="str">
        <x:f>HYPERLINK("https://etp-aktiv.ru/catalog/materialy/svarochnye-ehlektrody/2000635998-V311/","Открыть позицию")</x:f>
        <x:v>Открыть позицию</x:v>
      </x:c>
    </x:row>
    <x:row r="469" ht="28" customHeight="1">
      <x:c r="A469" s="16" t="str">
        <x:v>Назаровская ГРЭС</x:v>
      </x:c>
      <x:c r="B469" s="16" t="str">
        <x:v>2000142936-V311</x:v>
      </x:c>
      <x:c r="C469" s="16" t="str">
        <x:v>ЭЛЕКТРОД ОЗЛ-6 3ММ ГОСТ9466-75</x:v>
      </x:c>
      <x:c r="D469" s="16" t="str">
        <x:v>Сварочные электроды</x:v>
      </x:c>
      <x:c r="E469" s="16" t="str">
        <x:v>Т</x:v>
      </x:c>
      <x:c r="F469" s="30" t="n">
        <x:v>0.031</x:v>
      </x:c>
      <x:c r="G469" s="17" t="n">
        <x:v>161097.1936</x:v>
      </x:c>
      <x:c r="H469" s="17" t="n">
        <x:f>G469*F469</x:f>
        <x:v>4994.0130016</x:v>
      </x:c>
      <x:c r="I469" s="22" t="str">
        <x:f>HYPERLINK("https://etp-aktiv.ru/catalog/materialy/svarochnye-ehlektrody/2000142936-V311/","Открыть позицию")</x:f>
        <x:v>Открыть позицию</x:v>
      </x:c>
    </x:row>
    <x:row r="470" ht="28" customHeight="1">
      <x:c r="A470" s="16" t="str">
        <x:v>Назаровская ГРЭС</x:v>
      </x:c>
      <x:c r="B470" s="16" t="str">
        <x:v>2000016861-V311</x:v>
      </x:c>
      <x:c r="C470" s="16" t="str">
        <x:v>ЭЛЕКТРОД Т-590 4ММ ГОСТ9466-75</x:v>
      </x:c>
      <x:c r="D470" s="16" t="str">
        <x:v>Сварочные электроды</x:v>
      </x:c>
      <x:c r="E470" s="16" t="str">
        <x:v>Т</x:v>
      </x:c>
      <x:c r="F470" s="30" t="n">
        <x:v>0.034</x:v>
      </x:c>
      <x:c r="G470" s="17" t="n">
        <x:v>139042.1434</x:v>
      </x:c>
      <x:c r="H470" s="17" t="n">
        <x:f>G470*F470</x:f>
        <x:v>4727.4328756</x:v>
      </x:c>
      <x:c r="I470" s="22" t="str">
        <x:f>HYPERLINK("https://etp-aktiv.ru/catalog/materialy/svarochnye-ehlektrody/2000016861-V311/","Открыть позицию")</x:f>
        <x:v>Открыть позицию</x:v>
      </x:c>
    </x:row>
    <x:row r="471" ht="28" customHeight="1">
      <x:c r="A471" s="16" t="str">
        <x:v>Назаровская ГРЭС</x:v>
      </x:c>
      <x:c r="B471" s="16" t="str">
        <x:v>2000546299-V311</x:v>
      </x:c>
      <x:c r="C471" s="16" t="str">
        <x:v>ЭЛЕКТРОД ТМЛ-1У 3ММ</x:v>
      </x:c>
      <x:c r="D471" s="16" t="str">
        <x:v>Сварочные электроды</x:v>
      </x:c>
      <x:c r="E471" s="16" t="str">
        <x:v>Т</x:v>
      </x:c>
      <x:c r="F471" s="30" t="n">
        <x:v>0.217</x:v>
      </x:c>
      <x:c r="G471" s="17" t="n">
        <x:v>139504.0354</x:v>
      </x:c>
      <x:c r="H471" s="17" t="n">
        <x:f>G471*F471</x:f>
        <x:v>30272.3756818</x:v>
      </x:c>
      <x:c r="I471" s="22" t="str">
        <x:f>HYPERLINK("https://etp-aktiv.ru/catalog/materialy/svarochnye-ehlektrody/2000546299-V311/","Открыть позицию")</x:f>
        <x:v>Открыть позицию</x:v>
      </x:c>
    </x:row>
    <x:row r="472" ht="28" customHeight="1">
      <x:c r="A472" s="16" t="str">
        <x:v>Назаровская ГРЭС</x:v>
      </x:c>
      <x:c r="B472" s="16" t="str">
        <x:v>2000725747-V311</x:v>
      </x:c>
      <x:c r="C472" s="16" t="str">
        <x:v>ЭЛЕКТРОД ТМЛ-3У 4ММ ГОСТ9467-75 (КГ)</x:v>
      </x:c>
      <x:c r="D472" s="16" t="str">
        <x:v>Сварочные электроды</x:v>
      </x:c>
      <x:c r="E472" s="16" t="str">
        <x:v>КГ</x:v>
      </x:c>
      <x:c r="F472" s="21" t="n">
        <x:v>22</x:v>
      </x:c>
      <x:c r="G472" s="17" t="n">
        <x:v>164.79760000000002</x:v>
      </x:c>
      <x:c r="H472" s="17" t="n">
        <x:f>G472*F472</x:f>
        <x:v>3625.5472000000004</x:v>
      </x:c>
      <x:c r="I472" s="22" t="str">
        <x:f>HYPERLINK("https://etp-aktiv.ru/catalog/materialy/svarochnye-ehlektrody/2000725747-V311/","Открыть позицию")</x:f>
        <x:v>Открыть позицию</x:v>
      </x:c>
    </x:row>
    <x:row r="473" ht="28" customHeight="1">
      <x:c r="A473" s="16" t="str">
        <x:v>Назаровская ГРЭС</x:v>
      </x:c>
      <x:c r="B473" s="16" t="str">
        <x:v>2000068192-V311</x:v>
      </x:c>
      <x:c r="C473" s="16" t="str">
        <x:v>ЭЛЕКТРОД ТМУ-21У 4ММ ГОСТ9466-75</x:v>
      </x:c>
      <x:c r="D473" s="16" t="str">
        <x:v>Сварочные электроды</x:v>
      </x:c>
      <x:c r="E473" s="16" t="str">
        <x:v>Т</x:v>
      </x:c>
      <x:c r="F473" s="30" t="n">
        <x:v>0.028</x:v>
      </x:c>
      <x:c r="G473" s="17" t="n">
        <x:v>98461.39319999999</x:v>
      </x:c>
      <x:c r="H473" s="17" t="n">
        <x:f>G473*F473</x:f>
        <x:v>2756.9190095999998</x:v>
      </x:c>
      <x:c r="I473" s="22" t="str">
        <x:f>HYPERLINK("https://etp-aktiv.ru/catalog/materialy/svarochnye-ehlektrody/2000068192-V311/","Открыть позицию")</x:f>
        <x:v>Открыть позицию</x:v>
      </x:c>
    </x:row>
    <x:row r="474" ht="28" customHeight="1">
      <x:c r="A474" s="16" t="str">
        <x:v>Назаровская ГРЭС</x:v>
      </x:c>
      <x:c r="B474" s="16" t="str">
        <x:v>2000546306-V311</x:v>
      </x:c>
      <x:c r="C474" s="16" t="str">
        <x:v>ЭЛЕКТРОД УОНИ 13/45 4ММ ГОСТ9466-75 (КГ)</x:v>
      </x:c>
      <x:c r="D474" s="16" t="str">
        <x:v>Сварочные электроды</x:v>
      </x:c>
      <x:c r="E474" s="16" t="str">
        <x:v>КГ</x:v>
      </x:c>
      <x:c r="F474" s="30" t="n">
        <x:v>0.998</x:v>
      </x:c>
      <x:c r="G474" s="17" t="n">
        <x:v>77.04299999999999</x:v>
      </x:c>
      <x:c r="H474" s="17" t="n">
        <x:f>G474*F474</x:f>
        <x:v>76.88891399999999</x:v>
      </x:c>
      <x:c r="I474" s="22" t="str">
        <x:f>HYPERLINK("https://etp-aktiv.ru/catalog/materialy/svarochnye-ehlektrody/2000546306-V311/","Открыть позицию")</x:f>
        <x:v>Открыть позицию</x:v>
      </x:c>
    </x:row>
    <x:row r="475" ht="28" customHeight="1">
      <x:c r="A475" s="16" t="str">
        <x:v>Назаровская ГРЭС</x:v>
      </x:c>
      <x:c r="B475" s="16" t="str">
        <x:v>2000546308-V311</x:v>
      </x:c>
      <x:c r="C475" s="16" t="str">
        <x:v>ЭЛЕКТРОД УОНИ 13/45А 4ММ ГОСТ9466-75</x:v>
      </x:c>
      <x:c r="D475" s="16" t="str">
        <x:v>Сварочные электроды</x:v>
      </x:c>
      <x:c r="E475" s="16" t="str">
        <x:v>КГ</x:v>
      </x:c>
      <x:c r="F475" s="26" t="n">
        <x:v>117.154</x:v>
      </x:c>
      <x:c r="G475" s="17" t="n">
        <x:v>39.9184</x:v>
      </x:c>
      <x:c r="H475" s="17" t="n">
        <x:f>G475*F475</x:f>
        <x:v>4676.600233599999</x:v>
      </x:c>
      <x:c r="I475" s="22" t="str">
        <x:f>HYPERLINK("https://etp-aktiv.ru/catalog/materialy/svarochnye-ehlektrody/2000546308-V311/","Открыть позицию")</x:f>
        <x:v>Открыть позицию</x:v>
      </x:c>
    </x:row>
    <x:row r="476" ht="28" customHeight="1">
      <x:c r="A476" s="16" t="str">
        <x:v>Назаровская ГРЭС</x:v>
      </x:c>
      <x:c r="B476" s="16" t="str">
        <x:v>2000015694-V311</x:v>
      </x:c>
      <x:c r="C476" s="16" t="str">
        <x:v>ЭЛЕКТРОД УОНИ-13/45 3ММ ГОСТ9466-75</x:v>
      </x:c>
      <x:c r="D476" s="16" t="str">
        <x:v>Сварочные электроды</x:v>
      </x:c>
      <x:c r="E476" s="16" t="str">
        <x:v>Т</x:v>
      </x:c>
      <x:c r="F476" s="30" t="n">
        <x:v>0.013</x:v>
      </x:c>
      <x:c r="G476" s="17" t="n">
        <x:v>87424.02879999999</x:v>
      </x:c>
      <x:c r="H476" s="17" t="n">
        <x:f>G476*F476</x:f>
        <x:v>1136.5123743999998</x:v>
      </x:c>
      <x:c r="I476" s="22" t="str">
        <x:f>HYPERLINK("https://etp-aktiv.ru/catalog/materialy/svarochnye-ehlektrody/2000015694-V311/","Открыть позицию")</x:f>
        <x:v>Открыть позицию</x:v>
      </x:c>
    </x:row>
    <x:row r="477" ht="28" customHeight="1">
      <x:c r="A477" s="16" t="str">
        <x:v>Назаровская ГРЭС</x:v>
      </x:c>
      <x:c r="B477" s="16" t="str">
        <x:v>2000546320-V311</x:v>
      </x:c>
      <x:c r="C477" s="16" t="str">
        <x:v>ЭЛЕКТРОД ЦЛ-39 3ММ ГОСТ9466-75</x:v>
      </x:c>
      <x:c r="D477" s="16" t="str">
        <x:v>Сварочные электроды</x:v>
      </x:c>
      <x:c r="E477" s="16" t="str">
        <x:v>КГ</x:v>
      </x:c>
      <x:c r="F477" s="21" t="n">
        <x:v>19</x:v>
      </x:c>
      <x:c r="G477" s="17" t="n">
        <x:v>169.9582</x:v>
      </x:c>
      <x:c r="H477" s="17" t="n">
        <x:f>G477*F477</x:f>
        <x:v>3229.2058</x:v>
      </x:c>
      <x:c r="I477" s="22" t="str">
        <x:f>HYPERLINK("https://etp-aktiv.ru/catalog/materialy/svarochnye-ehlektrody/2000546320-V311/","Открыть позицию")</x:f>
        <x:v>Открыть позицию</x:v>
      </x:c>
    </x:row>
    <x:row r="478" ht="28" customHeight="1">
      <x:c r="A478" s="16" t="str">
        <x:v>Назаровская ГРЭС</x:v>
      </x:c>
      <x:c r="B478" s="16" t="str">
        <x:v>2000546323-V311</x:v>
      </x:c>
      <x:c r="C478" s="16" t="str">
        <x:v>ЭЛЕКТРОД ЦН-6Л 4ММ ГОСТ9466-75</x:v>
      </x:c>
      <x:c r="D478" s="16" t="str">
        <x:v>Сварочные электроды</x:v>
      </x:c>
      <x:c r="E478" s="16" t="str">
        <x:v>КГ</x:v>
      </x:c>
      <x:c r="F478" s="26" t="n">
        <x:v>49.26</x:v>
      </x:c>
      <x:c r="G478" s="17" t="n">
        <x:v>494.66119999999995</x:v>
      </x:c>
      <x:c r="H478" s="17" t="n">
        <x:f>G478*F478</x:f>
        <x:v>24367.010711999996</x:v>
      </x:c>
      <x:c r="I478" s="22" t="str">
        <x:f>HYPERLINK("https://etp-aktiv.ru/catalog/materialy/svarochnye-ehlektrody/2000546323-V311/","Открыть позицию")</x:f>
        <x:v>Открыть позицию</x:v>
      </x:c>
    </x:row>
    <x:row r="479" ht="28" customHeight="1">
      <x:c r="A479" s="16" t="str">
        <x:v>Назаровская ГРЭС</x:v>
      </x:c>
      <x:c r="B479" s="16" t="str">
        <x:v>2000546325-V311</x:v>
      </x:c>
      <x:c r="C479" s="16" t="str">
        <x:v>ЭЛЕКТРОД ЦТ-15 2,5ММ ГОСТ9466-75</x:v>
      </x:c>
      <x:c r="D479" s="16" t="str">
        <x:v>Сварочные электроды</x:v>
      </x:c>
      <x:c r="E479" s="16" t="str">
        <x:v>КГ</x:v>
      </x:c>
      <x:c r="F479" s="26" t="n">
        <x:v>52.18</x:v>
      </x:c>
      <x:c r="G479" s="17" t="n">
        <x:v>562.6518</x:v>
      </x:c>
      <x:c r="H479" s="17" t="n">
        <x:f>G479*F479</x:f>
        <x:v>29359.170924</x:v>
      </x:c>
      <x:c r="I479" s="22" t="str">
        <x:f>HYPERLINK("https://etp-aktiv.ru/catalog/materialy/svarochnye-ehlektrody/2000546325-V311/","Открыть позицию")</x:f>
        <x:v>Открыть позицию</x:v>
      </x:c>
    </x:row>
    <x:row r="480" ht="28" customHeight="1">
      <x:c r="A480" s="16" t="str">
        <x:v>Назаровская ГРЭС</x:v>
      </x:c>
      <x:c r="B480" s="16" t="str">
        <x:v>2000244197-V311</x:v>
      </x:c>
      <x:c r="C480" s="16" t="str">
        <x:v>ЭЛЕКТРОД Э42 5ММ ГОСТ9467-75</x:v>
      </x:c>
      <x:c r="D480" s="16" t="str">
        <x:v>Сварочные электроды</x:v>
      </x:c>
      <x:c r="E480" s="16" t="str">
        <x:v>Т</x:v>
      </x:c>
      <x:c r="F480" s="30" t="n">
        <x:v>0.021</x:v>
      </x:c>
      <x:c r="G480" s="17" t="n">
        <x:v>66909.375</x:v>
      </x:c>
      <x:c r="H480" s="17" t="n">
        <x:f>G480*F480</x:f>
        <x:v>1405.0968750000002</x:v>
      </x:c>
      <x:c r="I480" s="22" t="str">
        <x:f>HYPERLINK("https://etp-aktiv.ru/catalog/materialy/svarochnye-ehlektrody/2000244197-V311/","Открыть позицию")</x:f>
        <x:v>Открыть позицию</x:v>
      </x:c>
    </x:row>
    <x:row r="481" ht="28" customHeight="1">
      <x:c r="A481" s="16" t="str">
        <x:v>Назаровская ГРЭС</x:v>
      </x:c>
      <x:c r="B481" s="16" t="str">
        <x:v>2000244198-V311</x:v>
      </x:c>
      <x:c r="C481" s="16" t="str">
        <x:v>ЭЛЕКТРОД Э42 6ММ ГОСТ9467-75</x:v>
      </x:c>
      <x:c r="D481" s="16" t="str">
        <x:v>Сварочные электроды</x:v>
      </x:c>
      <x:c r="E481" s="16" t="str">
        <x:v>Т</x:v>
      </x:c>
      <x:c r="F481" s="30" t="n">
        <x:v>0.046</x:v>
      </x:c>
      <x:c r="G481" s="17" t="n">
        <x:v>89212.5</x:v>
      </x:c>
      <x:c r="H481" s="17" t="n">
        <x:f>G481*F481</x:f>
        <x:v>4103.775</x:v>
      </x:c>
      <x:c r="I481" s="22" t="str">
        <x:f>HYPERLINK("https://etp-aktiv.ru/catalog/materialy/svarochnye-ehlektrody/2000244198-V311/","Открыть позицию")</x:f>
        <x:v>Открыть позицию</x:v>
      </x:c>
    </x:row>
    <x:row r="482" ht="28" customHeight="1">
      <x:c r="A482" s="16" t="str">
        <x:v>Назаровская ГРЭС</x:v>
      </x:c>
      <x:c r="B482" s="16" t="str">
        <x:v>2000829245-V311</x:v>
      </x:c>
      <x:c r="C482" s="16" t="str">
        <x:v>ЭЛЕКТРОД Э50А 4ММ ГОСТ9467-75</x:v>
      </x:c>
      <x:c r="D482" s="16" t="str">
        <x:v>Сварочные электроды</x:v>
      </x:c>
      <x:c r="E482" s="16" t="str">
        <x:v>КГ</x:v>
      </x:c>
      <x:c r="F482" s="21" t="n">
        <x:v>22</x:v>
      </x:c>
      <x:c r="G482" s="17" t="n">
        <x:v>93.33</x:v>
      </x:c>
      <x:c r="H482" s="17" t="n">
        <x:f>G482*F482</x:f>
        <x:v>2053.2599999999998</x:v>
      </x:c>
      <x:c r="I482" s="22" t="str">
        <x:f>HYPERLINK("https://etp-aktiv.ru/catalog/materialy/svarochnye-ehlektrody/2000829245-V311/","Открыть позицию")</x:f>
        <x:v>Открыть позицию</x:v>
      </x:c>
    </x:row>
    <x:row r="483" ht="28" customHeight="1">
      <x:c r="A483" s="16" t="str">
        <x:v>Назаровская ГРЭС</x:v>
      </x:c>
      <x:c r="B483" s="16" t="str">
        <x:v>2000018469-V311</x:v>
      </x:c>
      <x:c r="C483" s="16" t="str">
        <x:v>ЭЛЕКТРОД ЭА-395/9 4ММ ГОСТ9466-75</x:v>
      </x:c>
      <x:c r="D483" s="16" t="str">
        <x:v>Сварочные электроды</x:v>
      </x:c>
      <x:c r="E483" s="16" t="str">
        <x:v>Т</x:v>
      </x:c>
      <x:c r="F483" s="30" t="n">
        <x:v>0.024</x:v>
      </x:c>
      <x:c r="G483" s="17" t="n">
        <x:v>1017943.9903999999</x:v>
      </x:c>
      <x:c r="H483" s="17" t="n">
        <x:f>G483*F483</x:f>
        <x:v>24430.655769599998</x:v>
      </x:c>
      <x:c r="I483" s="22" t="str">
        <x:f>HYPERLINK("https://etp-aktiv.ru/catalog/materialy/svarochnye-ehlektrody/2000018469-V311/","Открыть позицию")</x:f>
        <x:v>Открыть позицию</x:v>
      </x:c>
    </x:row>
    <x:row r="484" ht="28" customHeight="1">
      <x:c r="A484" s="16" t="str">
        <x:v>Назаровские тепловые сети</x:v>
      </x:c>
      <x:c r="B484" s="16" t="str">
        <x:v>2000170236-V321</x:v>
      </x:c>
      <x:c r="C484" s="16" t="str">
        <x:v>УГОЛОК СТ3 50*5 ГОСТ8509-93</x:v>
      </x:c>
      <x:c r="D484" s="16" t="str">
        <x:v>М/прокат черный</x:v>
      </x:c>
      <x:c r="E484" s="16" t="str">
        <x:v>Т</x:v>
      </x:c>
      <x:c r="F484" s="30" t="n">
        <x:v>0.438</x:v>
      </x:c>
      <x:c r="G484" s="17" t="n">
        <x:v>48237.8728</x:v>
      </x:c>
      <x:c r="H484" s="17" t="n">
        <x:f>G484*F484</x:f>
        <x:v>21128.1882864</x:v>
      </x:c>
      <x:c r="I484" s="22" t="str">
        <x:f>HYPERLINK("https://etp-aktiv.ru/catalog/materialy/metalloprodukciya/2000170236-V321/","Открыть позицию")</x:f>
        <x:v>Открыть позицию</x:v>
      </x:c>
    </x:row>
    <x:row r="485" ht="28" customHeight="1">
      <x:c r="A485" s="16" t="str">
        <x:v>Назаровские тепловые сети</x:v>
      </x:c>
      <x:c r="B485" s="16" t="str">
        <x:v>2000811716-V321</x:v>
      </x:c>
      <x:c r="C485" s="16" t="str">
        <x:v>ШВЕЛЛЕР С245 8П ГОСТ8240-97</x:v>
      </x:c>
      <x:c r="D485" s="16" t="str">
        <x:v>М/прокат черный</x:v>
      </x:c>
      <x:c r="E485" s="16" t="str">
        <x:v>Т</x:v>
      </x:c>
      <x:c r="F485" s="30" t="n">
        <x:v>0.047</x:v>
      </x:c>
      <x:c r="G485" s="17" t="n">
        <x:v>60428.149399999995</x:v>
      </x:c>
      <x:c r="H485" s="17" t="n">
        <x:f>G485*F485</x:f>
        <x:v>2840.1230217999996</x:v>
      </x:c>
      <x:c r="I485" s="22" t="str">
        <x:f>HYPERLINK("https://etp-aktiv.ru/catalog/materialy/metalloprodukciya/2000811716-V321/","Открыть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36c9d98aaf11401e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Кабельно-проводниковая продукция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КрасТЭК</x:v>
      </x:c>
      <x:c r="B5" s="16" t="str">
        <x:v>2000604260-VG11</x:v>
      </x:c>
      <x:c r="C5" s="16" t="str">
        <x:v>КАБЕЛЬ КВК-2П 2*0,75</x:v>
      </x:c>
      <x:c r="D5" s="16" t="str">
        <x:v>Расходные материалы</x:v>
      </x:c>
      <x:c r="E5" s="16" t="str">
        <x:v>М</x:v>
      </x:c>
      <x:c r="F5" s="21" t="n">
        <x:v>200</x:v>
      </x:c>
      <x:c r="G5" s="17" t="n">
        <x:v>15.4452</x:v>
      </x:c>
      <x:c r="H5" s="17" t="n">
        <x:f>G5*F5</x:f>
        <x:v>3089.04</x:v>
      </x:c>
      <x:c r="I5" s="22" t="str">
        <x:f>HYPERLINK("https://etp-aktiv.ru/catalog/materialy/komplektuyushchie-i-zapasnye-chasti-k-kompyuternomu-i-ofisnomu-oborudovaniyu/2000604260-VG11/","Открыть позицию")</x:f>
        <x:v>Открыть позицию</x:v>
      </x:c>
    </x:row>
    <x:row r="6" ht="28" customHeight="1">
      <x:c r="A6" s="16" t="str">
        <x:v>КрасТЭК</x:v>
      </x:c>
      <x:c r="B6" s="16" t="str">
        <x:v>2000277567-VG11</x:v>
      </x:c>
      <x:c r="C6" s="16" t="str">
        <x:v>КАБЕЛЬ РК-50-2-11 1*1,5 0,1КВ</x:v>
      </x:c>
      <x:c r="D6" s="16" t="str">
        <x:v>Расходные материалы</x:v>
      </x:c>
      <x:c r="E6" s="16" t="str">
        <x:v>КМ</x:v>
      </x:c>
      <x:c r="F6" s="30" t="n">
        <x:v>0.24</x:v>
      </x:c>
      <x:c r="G6" s="17" t="n">
        <x:v>9254.8834</x:v>
      </x:c>
      <x:c r="H6" s="17" t="n">
        <x:f>G6*F6</x:f>
        <x:v>2221.172016</x:v>
      </x:c>
      <x:c r="I6" s="22" t="str">
        <x:f>HYPERLINK("https://etp-aktiv.ru/catalog/materialy/komplektuyushchie-i-zapasnye-chasti-k-kompyuternomu-i-ofisnomu-oborudovaniyu/2000277567-VG11/","Открыть позицию")</x:f>
        <x:v>Открыть позицию</x:v>
      </x:c>
    </x:row>
    <x:row r="7" ht="28" customHeight="1">
      <x:c r="A7" s="16" t="str">
        <x:v>Красноярская ГРЭС-2</x:v>
      </x:c>
      <x:c r="B7" s="16" t="str">
        <x:v>2000616491-V116</x:v>
      </x:c>
      <x:c r="C7" s="16" t="str">
        <x:v>ВВОД КАБЕЛЬНЫЙ FORTISFLEX PG-M-21 60885</x:v>
      </x:c>
      <x:c r="D7" s="16" t="str">
        <x:v>Монтажн изд д/кабел</x:v>
      </x:c>
      <x:c r="E7" s="16" t="str">
        <x:v>ШТ</x:v>
      </x:c>
      <x:c r="F7" s="21" t="n">
        <x:v>10</x:v>
      </x:c>
      <x:c r="G7" s="17" t="n">
        <x:v>110.83699999999999</x:v>
      </x:c>
      <x:c r="H7" s="17" t="n">
        <x:f>G7*F7</x:f>
        <x:v>1108.37</x:v>
      </x:c>
      <x:c r="I7" s="22" t="str">
        <x:f>HYPERLINK("https://etp-aktiv.ru/catalog/materialy/ehlektrotekhnicheskie-materialy/2000616491-V116/","Открыть позицию")</x:f>
        <x:v>Открыть позицию</x:v>
      </x:c>
    </x:row>
    <x:row r="8" ht="28" customHeight="1">
      <x:c r="A8" s="16" t="str">
        <x:v>Красноярская ГРЭС-2</x:v>
      </x:c>
      <x:c r="B8" s="16" t="str">
        <x:v>2000643118-V116</x:v>
      </x:c>
      <x:c r="C8" s="16" t="str">
        <x:v>КАБЕЛЬ LAVITA SRL 24-2CR</x:v>
      </x:c>
      <x:c r="D8" s="16" t="str">
        <x:v>@Кабел-проводн проду</x:v>
      </x:c>
      <x:c r="E8" s="16" t="str">
        <x:v>М</x:v>
      </x:c>
      <x:c r="F8" s="21" t="n">
        <x:v>20</x:v>
      </x:c>
      <x:c r="G8" s="17" t="n">
        <x:v>367.1468</x:v>
      </x:c>
      <x:c r="H8" s="17" t="n">
        <x:f>G8*F8</x:f>
        <x:v>7342.936</x:v>
      </x:c>
      <x:c r="I8" s="22" t="str">
        <x:f>HYPERLINK("https://etp-aktiv.ru/catalog/materialy/kabelno-provodnikovaya-produkciya/2000643118-V116/","Открыть позицию")</x:f>
        <x:v>Открыть позицию</x:v>
      </x:c>
    </x:row>
    <x:row r="9" ht="28" customHeight="1">
      <x:c r="A9" s="16" t="str">
        <x:v>Красноярская ГРЭС-2</x:v>
      </x:c>
      <x:c r="B9" s="16" t="str">
        <x:v>2000016089-V116</x:v>
      </x:c>
      <x:c r="C9" s="16" t="str">
        <x:v>КАБЕЛЬ КВВГНГ 4*1,5 0,66КВ</x:v>
      </x:c>
      <x:c r="D9" s="16" t="str">
        <x:v>Кабель общ и провод</x:v>
      </x:c>
      <x:c r="E9" s="16" t="str">
        <x:v>КМ</x:v>
      </x:c>
      <x:c r="F9" s="30" t="n">
        <x:v>0.058</x:v>
      </x:c>
      <x:c r="G9" s="17" t="n">
        <x:v>42627.288</x:v>
      </x:c>
      <x:c r="H9" s="17" t="n">
        <x:f>G9*F9</x:f>
        <x:v>2472.382704</x:v>
      </x:c>
      <x:c r="I9" s="22" t="str">
        <x:f>HYPERLINK("https://etp-aktiv.ru/catalog/materialy/kabelno-provodnikovaya-produkciya/2000016089-V116/","Открыть позицию")</x:f>
        <x:v>Открыть позицию</x:v>
      </x:c>
    </x:row>
    <x:row r="10" ht="28" customHeight="1">
      <x:c r="A10" s="16" t="str">
        <x:v>Красноярская ГРЭС-2</x:v>
      </x:c>
      <x:c r="B10" s="16" t="str">
        <x:v>2000581704-V116</x:v>
      </x:c>
      <x:c r="C10" s="16" t="str">
        <x:v>КАБЕЛЬ КГВВНГ(А)-LS 7*0,5 0,66КВ</x:v>
      </x:c>
      <x:c r="D10" s="16" t="str">
        <x:v>Кабель общ и провод</x:v>
      </x:c>
      <x:c r="E10" s="16" t="str">
        <x:v>М</x:v>
      </x:c>
      <x:c r="F10" s="21" t="n">
        <x:v>20</x:v>
      </x:c>
      <x:c r="G10" s="17" t="n">
        <x:v>31.8298</x:v>
      </x:c>
      <x:c r="H10" s="17" t="n">
        <x:f>G10*F10</x:f>
        <x:v>636.596</x:v>
      </x:c>
      <x:c r="I10" s="22" t="str">
        <x:f>HYPERLINK("https://etp-aktiv.ru/catalog/materialy/kabelno-provodnikovaya-produkciya/2000581704-V116/","Открыть позицию")</x:f>
        <x:v>Открыть позицию</x:v>
      </x:c>
    </x:row>
    <x:row r="11" ht="28" customHeight="1">
      <x:c r="A11" s="16" t="str">
        <x:v>Красноярская ГРЭС-2</x:v>
      </x:c>
      <x:c r="B11" s="16" t="str">
        <x:v>2000646239-V116</x:v>
      </x:c>
      <x:c r="C11" s="16" t="str">
        <x:v>ПРОВОД ГПМП 1Х6 ТУ 16-К79-006-88</x:v>
      </x:c>
      <x:c r="D11" s="16" t="str">
        <x:v>@Кабел-проводн проду</x:v>
      </x:c>
      <x:c r="E11" s="16" t="str">
        <x:v>М</x:v>
      </x:c>
      <x:c r="F11" s="21" t="n">
        <x:v>100</x:v>
      </x:c>
      <x:c r="G11" s="17" t="n">
        <x:v>51.471799999999995</x:v>
      </x:c>
      <x:c r="H11" s="17" t="n">
        <x:f>G11*F11</x:f>
        <x:v>5147.179999999999</x:v>
      </x:c>
      <x:c r="I11" s="22" t="str">
        <x:f>HYPERLINK("https://etp-aktiv.ru/catalog/materialy/kabelno-provodnikovaya-produkciya/2000646239-V116/","Открыть позицию")</x:f>
        <x:v>Открыть позицию</x:v>
      </x:c>
    </x:row>
    <x:row r="12" ht="28" customHeight="1">
      <x:c r="A12" s="16" t="str">
        <x:v>Красноярская ГРЭС-2</x:v>
      </x:c>
      <x:c r="B12" s="16" t="str">
        <x:v>2000646275-V116</x:v>
      </x:c>
      <x:c r="C12" s="16" t="str">
        <x:v>ПРОВОД ПТФФ-200-ХК 2*2,5</x:v>
      </x:c>
      <x:c r="D12" s="16" t="str">
        <x:v>ЗЧ КИПиА</x:v>
      </x:c>
      <x:c r="E12" s="16" t="str">
        <x:v>М</x:v>
      </x:c>
      <x:c r="F12" s="21" t="n">
        <x:v>20</x:v>
      </x:c>
      <x:c r="G12" s="17" t="n">
        <x:v>180.01100000000002</x:v>
      </x:c>
      <x:c r="H12" s="17" t="n">
        <x:f>G12*F12</x:f>
        <x:v>3600.2200000000003</x:v>
      </x:c>
      <x:c r="I12" s="22" t="str">
        <x:f>HYPERLINK("https://etp-aktiv.ru/catalog/materialy/zapasnye-chasti-i-prinadlezhnosti-dlya-priborov-kipia/2000646275-V116/","Открыть позицию")</x:f>
        <x:v>Открыть позицию</x:v>
      </x:c>
    </x:row>
    <x:row r="13" ht="28" customHeight="1">
      <x:c r="A13" s="16" t="str">
        <x:v>Красноярская ГРЭС-2</x:v>
      </x:c>
      <x:c r="B13" s="16" t="str">
        <x:v>2000067366-V116</x:v>
      </x:c>
      <x:c r="C13" s="16" t="str">
        <x:v>ПРОВОД ПЭТВ-2 0,09</x:v>
      </x:c>
      <x:c r="D13" s="16" t="str">
        <x:v>Кабель общ и провод</x:v>
      </x:c>
      <x:c r="E13" s="16" t="str">
        <x:v>КГ</x:v>
      </x:c>
      <x:c r="F13" s="21" t="n">
        <x:v>0</x:v>
      </x:c>
      <x:c r="G13" s="17" t="n">
        <x:v>1000.4</x:v>
      </x:c>
      <x:c r="H13" s="17" t="n">
        <x:f>G13*F13</x:f>
        <x:v>0</x:v>
      </x:c>
      <x:c r="I13" s="22" t="str">
        <x:f>HYPERLINK("https://etp-aktiv.ru/catalog/materialy/kabelno-provodnikovaya-produkciya/2000067366-V116/","Открыть позицию")</x:f>
        <x:v>Открыть позицию</x:v>
      </x:c>
    </x:row>
    <x:row r="14" ht="28" customHeight="1">
      <x:c r="A14" s="16" t="str">
        <x:v>Красноярская ГРЭС-2</x:v>
      </x:c>
      <x:c r="B14" s="16" t="str">
        <x:v>2000035756-V116</x:v>
      </x:c>
      <x:c r="C14" s="16" t="str">
        <x:v>ПРОВОД ПЭТВ-2 0,265</x:v>
      </x:c>
      <x:c r="D14" s="16" t="str">
        <x:v>@Кабел-проводн проду</x:v>
      </x:c>
      <x:c r="E14" s="16" t="str">
        <x:v>КГ</x:v>
      </x:c>
      <x:c r="F14" s="21" t="n">
        <x:v>0</x:v>
      </x:c>
      <x:c r="G14" s="17" t="n">
        <x:v>1000.4</x:v>
      </x:c>
      <x:c r="H14" s="17" t="n">
        <x:f>G14*F14</x:f>
        <x:v>0</x:v>
      </x:c>
      <x:c r="I14" s="22" t="str">
        <x:f>HYPERLINK("https://etp-aktiv.ru/catalog/materialy/kabelno-provodnikovaya-produkciya/2000035756-V116/","Открыть позицию")</x:f>
        <x:v>Открыть позицию</x:v>
      </x:c>
    </x:row>
    <x:row r="15" ht="28" customHeight="1">
      <x:c r="A15" s="16" t="str">
        <x:v>Красноярская ГРЭС-2</x:v>
      </x:c>
      <x:c r="B15" s="16" t="str">
        <x:v>2000007191-V116</x:v>
      </x:c>
      <x:c r="C15" s="16" t="str">
        <x:v>ПРОВОД ПЭТВ-2 0,315</x:v>
      </x:c>
      <x:c r="D15" s="16" t="str">
        <x:v>Кабель общ и провод</x:v>
      </x:c>
      <x:c r="E15" s="16" t="str">
        <x:v>КГ</x:v>
      </x:c>
      <x:c r="F15" s="30" t="n">
        <x:v>0.67</x:v>
      </x:c>
      <x:c r="G15" s="17" t="n">
        <x:v>1000.4</x:v>
      </x:c>
      <x:c r="H15" s="17" t="n">
        <x:f>G15*F15</x:f>
        <x:v>670.268</x:v>
      </x:c>
      <x:c r="I15" s="22" t="str">
        <x:f>HYPERLINK("https://etp-aktiv.ru/catalog/materialy/kabelno-provodnikovaya-produkciya/2000007191-V116/","Открыть позицию")</x:f>
        <x:v>Открыть позицию</x:v>
      </x:c>
    </x:row>
    <x:row r="16" ht="28" customHeight="1">
      <x:c r="A16" s="16" t="str">
        <x:v>Красноярская ГРЭС-2</x:v>
      </x:c>
      <x:c r="B16" s="16" t="str">
        <x:v>2001096640-V116</x:v>
      </x:c>
      <x:c r="C16" s="16" t="str">
        <x:v>ПРОВОД ПЭТВ-2 0,53</x:v>
      </x:c>
      <x:c r="D16" s="16" t="str">
        <x:v>Кабель общ и провод</x:v>
      </x:c>
      <x:c r="E16" s="16" t="str">
        <x:v>КГ</x:v>
      </x:c>
      <x:c r="F16" s="21" t="n">
        <x:v>0</x:v>
      </x:c>
      <x:c r="G16" s="17" t="n">
        <x:v>1000.4</x:v>
      </x:c>
      <x:c r="H16" s="17" t="n">
        <x:f>G16*F16</x:f>
        <x:v>0</x:v>
      </x:c>
      <x:c r="I16" s="22" t="str">
        <x:f>HYPERLINK("https://etp-aktiv.ru/catalog/materialy/kabelno-provodnikovaya-produkciya/2001096640-V116/","Открыть позицию")</x:f>
        <x:v>Открыть позицию</x:v>
      </x:c>
    </x:row>
    <x:row r="17" ht="28" customHeight="1">
      <x:c r="A17" s="16" t="str">
        <x:v>Красноярская ГРЭС-2</x:v>
      </x:c>
      <x:c r="B17" s="16" t="str">
        <x:v>2001103664-V116</x:v>
      </x:c>
      <x:c r="C17" s="16" t="str">
        <x:v>ПРОВОД ПЭТВ-2 1,16</x:v>
      </x:c>
      <x:c r="D17" s="16" t="str">
        <x:v>Кабель общ и провод</x:v>
      </x:c>
      <x:c r="E17" s="16" t="str">
        <x:v>КГ</x:v>
      </x:c>
      <x:c r="F17" s="21" t="n">
        <x:v>0</x:v>
      </x:c>
      <x:c r="G17" s="17" t="n">
        <x:v>1005.036</x:v>
      </x:c>
      <x:c r="H17" s="17" t="n">
        <x:f>G17*F17</x:f>
        <x:v>0</x:v>
      </x:c>
      <x:c r="I17" s="22" t="str">
        <x:f>HYPERLINK("https://etp-aktiv.ru/catalog/materialy/kabelno-provodnikovaya-produkciya/2001103664-V116/","Открыть позицию")</x:f>
        <x:v>Открыть позицию</x:v>
      </x:c>
    </x:row>
    <x:row r="18" ht="28" customHeight="1">
      <x:c r="A18" s="16" t="str">
        <x:v>Красноярская ГРЭС-2</x:v>
      </x:c>
      <x:c r="B18" s="16" t="str">
        <x:v>2000522729-V116</x:v>
      </x:c>
      <x:c r="C18" s="16" t="str">
        <x:v>ЭЛЕМЕНТ КРЕПЕЖНЫЙ РКН-10 У2 IP54</x:v>
      </x:c>
      <x:c r="D18" s="16" t="str">
        <x:v>Монтажн изд д/кабел</x:v>
      </x:c>
      <x:c r="E18" s="16" t="str">
        <x:v>ШТ</x:v>
      </x:c>
      <x:c r="F18" s="21" t="n">
        <x:v>10</x:v>
      </x:c>
      <x:c r="G18" s="17" t="n">
        <x:v>24.7294</x:v>
      </x:c>
      <x:c r="H18" s="17" t="n">
        <x:f>G18*F18</x:f>
        <x:v>247.29399999999998</x:v>
      </x:c>
      <x:c r="I18" s="22" t="str">
        <x:f>HYPERLINK("https://etp-aktiv.ru/catalog/materialy/ehlektrotekhnicheskie-materialy/2000522729-V116/","Открыть позицию")</x:f>
        <x:v>Открыть позицию</x:v>
      </x:c>
    </x:row>
    <x:row r="19" ht="28" customHeight="1">
      <x:c r="A19" s="16" t="str">
        <x:v>Красноярская ТЭЦ-1</x:v>
      </x:c>
      <x:c r="B19" s="16" t="str">
        <x:v>2000582290-V119</x:v>
      </x:c>
      <x:c r="C19" s="16" t="str">
        <x:v>ВВОД ВК-Л-ВЭЛ 4Т-М25-EXD-G3/4-B1,5</x:v>
      </x:c>
      <x:c r="D19" s="16" t="str">
        <x:v>Монтажн изд д/кабел</x:v>
      </x:c>
      <x:c r="E19" s="16" t="str">
        <x:v>ШТ</x:v>
      </x:c>
      <x:c r="F19" s="21" t="n">
        <x:v>4</x:v>
      </x:c>
      <x:c r="G19" s="17" t="n">
        <x:v>457.5</x:v>
      </x:c>
      <x:c r="H19" s="17" t="n">
        <x:f>G19*F19</x:f>
        <x:v>1830</x:v>
      </x:c>
      <x:c r="I19" s="22" t="str">
        <x:f>HYPERLINK("https://etp-aktiv.ru/catalog/materialy/ehlektrotekhnicheskie-materialy/2000582290-V119/","Открыть позицию")</x:f>
        <x:v>Открыть позицию</x:v>
      </x:c>
    </x:row>
    <x:row r="20" ht="28" customHeight="1">
      <x:c r="A20" s="16" t="str">
        <x:v>Красноярская ТЭЦ-1</x:v>
      </x:c>
      <x:c r="B20" s="16" t="str">
        <x:v>2000016041-V119</x:v>
      </x:c>
      <x:c r="C20" s="16" t="str">
        <x:v>КАБЕЛЬ КВВГ 5*1,5 0,66КВ</x:v>
      </x:c>
      <x:c r="D20" s="16" t="str">
        <x:v>Кабель общ и провод</x:v>
      </x:c>
      <x:c r="E20" s="16" t="str">
        <x:v>КМ</x:v>
      </x:c>
      <x:c r="F20" s="30" t="n">
        <x:v>0.004</x:v>
      </x:c>
      <x:c r="G20" s="17" t="n">
        <x:v>15577.875</x:v>
      </x:c>
      <x:c r="H20" s="17" t="n">
        <x:f>G20*F20</x:f>
        <x:v>62.3115</x:v>
      </x:c>
      <x:c r="I20" s="22" t="str">
        <x:f>HYPERLINK("https://etp-aktiv.ru/catalog/materialy/kabelno-provodnikovaya-produkciya/2000016041-V119/","Открыть позицию")</x:f>
        <x:v>Открыть позицию</x:v>
      </x:c>
    </x:row>
    <x:row r="21" ht="28" customHeight="1">
      <x:c r="A21" s="16" t="str">
        <x:v>Красноярская ТЭЦ-1</x:v>
      </x:c>
      <x:c r="B21" s="16" t="str">
        <x:v>2000462916-V119</x:v>
      </x:c>
      <x:c r="C21" s="16" t="str">
        <x:v>КАБЕЛЬ КВВГЭНГ(А)-LS 10*2,5 0,66КВ</x:v>
      </x:c>
      <x:c r="D21" s="16" t="str">
        <x:v>Кабель общ и провод</x:v>
      </x:c>
      <x:c r="E21" s="16" t="str">
        <x:v>КМ</x:v>
      </x:c>
      <x:c r="F21" s="30" t="n">
        <x:v>0.01</x:v>
      </x:c>
      <x:c r="G21" s="17" t="n">
        <x:v>89598.1786</x:v>
      </x:c>
      <x:c r="H21" s="17" t="n">
        <x:f>G21*F21</x:f>
        <x:v>895.981786</x:v>
      </x:c>
      <x:c r="I21" s="22" t="str">
        <x:f>HYPERLINK("https://etp-aktiv.ru/catalog/materialy/kabelno-provodnikovaya-produkciya/2000462916-V119/","Открыть позицию")</x:f>
        <x:v>Открыть позицию</x:v>
      </x:c>
    </x:row>
    <x:row r="22" ht="28" customHeight="1">
      <x:c r="A22" s="16" t="str">
        <x:v>Красноярская ТЭЦ-1</x:v>
      </x:c>
      <x:c r="B22" s="16" t="str">
        <x:v>2000623440-V119</x:v>
      </x:c>
      <x:c r="C22" s="16" t="str">
        <x:v>КАБЕЛЬ КВВГЭНГ-LS 14*1,5 0,66КВ</x:v>
      </x:c>
      <x:c r="D22" s="16" t="str">
        <x:v>Кабель общ и провод</x:v>
      </x:c>
      <x:c r="E22" s="16" t="str">
        <x:v>КМ</x:v>
      </x:c>
      <x:c r="F22" s="21" t="n">
        <x:v>0</x:v>
      </x:c>
      <x:c r="G22" s="17" t="n">
        <x:v>142860.6336</x:v>
      </x:c>
      <x:c r="H22" s="17" t="n">
        <x:f>G22*F22</x:f>
        <x:v>0</x:v>
      </x:c>
      <x:c r="I22" s="22" t="str">
        <x:f>HYPERLINK("https://etp-aktiv.ru/catalog/materialy/kabelno-provodnikovaya-produkciya/2000623440-V119/","Открыть позицию")</x:f>
        <x:v>Открыть позицию</x:v>
      </x:c>
    </x:row>
    <x:row r="23" ht="28" customHeight="1">
      <x:c r="A23" s="16" t="str">
        <x:v>Красноярская ТЭЦ-1</x:v>
      </x:c>
      <x:c r="B23" s="16" t="str">
        <x:v>2000532564-V119</x:v>
      </x:c>
      <x:c r="C23" s="16" t="str">
        <x:v>КАБЕЛЬ-КАНАЛ DLP 50*80*2000 БЕЛЫЙ 10419</x:v>
      </x:c>
      <x:c r="D23" s="16" t="str">
        <x:v>Монтажн изд д/кабел</x:v>
      </x:c>
      <x:c r="E23" s="16" t="str">
        <x:v>ШТ</x:v>
      </x:c>
      <x:c r="F23" s="21" t="n">
        <x:v>32</x:v>
      </x:c>
      <x:c r="G23" s="17" t="n">
        <x:v>117.12</x:v>
      </x:c>
      <x:c r="H23" s="17" t="n">
        <x:f>G23*F23</x:f>
        <x:v>3747.84</x:v>
      </x:c>
      <x:c r="I23" s="22" t="str">
        <x:f>HYPERLINK("https://etp-aktiv.ru/catalog/materialy/ehlektrotekhnicheskie-materialy/2000532564-V119/","Открыть позицию")</x:f>
        <x:v>Открыть позицию</x:v>
      </x:c>
    </x:row>
    <x:row r="24" ht="28" customHeight="1">
      <x:c r="A24" s="16" t="str">
        <x:v>Красноярская ТЭЦ-1</x:v>
      </x:c>
      <x:c r="B24" s="16" t="str">
        <x:v>2000536445-V119</x:v>
      </x:c>
      <x:c r="C24" s="16" t="str">
        <x:v>КЛЕММА 3-ПРОВОДНАЯ WAGO 1,5-4ММ2 273-503</x:v>
      </x:c>
      <x:c r="D24" s="16" t="str">
        <x:v>Низковол апп-ра и ЗЧ</x:v>
      </x:c>
      <x:c r="E24" s="16" t="str">
        <x:v>ШТ</x:v>
      </x:c>
      <x:c r="F24" s="21" t="n">
        <x:v>5</x:v>
      </x:c>
      <x:c r="G24" s="17" t="n">
        <x:v>3033.6032</x:v>
      </x:c>
      <x:c r="H24" s="17" t="n">
        <x:f>G24*F24</x:f>
        <x:v>15168.016</x:v>
      </x:c>
      <x:c r="I24" s="22" t="str">
        <x:f>HYPERLINK("https://etp-aktiv.ru/catalog/materialy/nizkovoltnaya-apparatura-i-zapasnye-chasti/2000536445-V119/","Открыть позицию")</x:f>
        <x:v>Открыть позицию</x:v>
      </x:c>
    </x:row>
    <x:row r="25" ht="28" customHeight="1">
      <x:c r="A25" s="16" t="str">
        <x:v>Красноярская ТЭЦ-1</x:v>
      </x:c>
      <x:c r="B25" s="16" t="str">
        <x:v>2000582296-V119</x:v>
      </x:c>
      <x:c r="C25" s="16" t="str">
        <x:v>КОЛОДКА КЛЕММНАЯ 1Р 11*5,3ММ DKC T1611</x:v>
      </x:c>
      <x:c r="D25" s="16" t="str">
        <x:v>Монтажн изд д/кабел</x:v>
      </x:c>
      <x:c r="E25" s="16" t="str">
        <x:v>ШТ</x:v>
      </x:c>
      <x:c r="F25" s="21" t="n">
        <x:v>10</x:v>
      </x:c>
      <x:c r="G25" s="17" t="n">
        <x:v>118.97439999999999</x:v>
      </x:c>
      <x:c r="H25" s="17" t="n">
        <x:f>G25*F25</x:f>
        <x:v>1189.744</x:v>
      </x:c>
      <x:c r="I25" s="22" t="str">
        <x:f>HYPERLINK("https://etp-aktiv.ru/catalog/materialy/ehlektrotekhnicheskie-materialy/2000582296-V119/","Открыть позицию")</x:f>
        <x:v>Открыть позицию</x:v>
      </x:c>
    </x:row>
    <x:row r="26" ht="28" customHeight="1">
      <x:c r="A26" s="16" t="str">
        <x:v>Красноярская ТЭЦ-1</x:v>
      </x:c>
      <x:c r="B26" s="16" t="str">
        <x:v>2000582298-V119</x:v>
      </x:c>
      <x:c r="C26" s="16" t="str">
        <x:v>КОЛОДКА КЛЕММНАЯ 1Р 7*5,3ММ DKC T167</x:v>
      </x:c>
      <x:c r="D26" s="16" t="str">
        <x:v>Монтажн изд д/кабел</x:v>
      </x:c>
      <x:c r="E26" s="16" t="str">
        <x:v>ШТ</x:v>
      </x:c>
      <x:c r="F26" s="21" t="n">
        <x:v>19</x:v>
      </x:c>
      <x:c r="G26" s="17" t="n">
        <x:v>91.07300000000001</x:v>
      </x:c>
      <x:c r="H26" s="17" t="n">
        <x:f>G26*F26</x:f>
        <x:v>1730.3870000000002</x:v>
      </x:c>
      <x:c r="I26" s="22" t="str">
        <x:f>HYPERLINK("https://etp-aktiv.ru/catalog/materialy/ehlektrotekhnicheskie-materialy/2000582298-V119/","Открыть позицию")</x:f>
        <x:v>Открыть позицию</x:v>
      </x:c>
    </x:row>
    <x:row r="27" ht="28" customHeight="1">
      <x:c r="A27" s="16" t="str">
        <x:v>Красноярская ТЭЦ-1</x:v>
      </x:c>
      <x:c r="B27" s="16" t="str">
        <x:v>2000532983-V119</x:v>
      </x:c>
      <x:c r="C27" s="16" t="str">
        <x:v>НАКОНЕЧНИК НШВИ 0,34-8</x:v>
      </x:c>
      <x:c r="D27" s="16" t="str">
        <x:v>Монтажн изд д/кабел</x:v>
      </x:c>
      <x:c r="E27" s="16" t="str">
        <x:v>ШТ</x:v>
      </x:c>
      <x:c r="F27" s="21" t="n">
        <x:v>300</x:v>
      </x:c>
      <x:c r="G27" s="17" t="n">
        <x:v>0.427</x:v>
      </x:c>
      <x:c r="H27" s="17" t="n">
        <x:f>G27*F27</x:f>
        <x:v>128.1</x:v>
      </x:c>
      <x:c r="I27" s="22" t="str">
        <x:f>HYPERLINK("https://etp-aktiv.ru/catalog/materialy/ehlektrotekhnicheskie-materialy/2000532983-V119/","Открыть позицию")</x:f>
        <x:v>Открыть позицию</x:v>
      </x:c>
    </x:row>
    <x:row r="28" ht="28" customHeight="1">
      <x:c r="A28" s="16" t="str">
        <x:v>Красноярская ТЭЦ-1</x:v>
      </x:c>
      <x:c r="B28" s="16" t="str">
        <x:v>2000532989-V119</x:v>
      </x:c>
      <x:c r="C28" s="16" t="str">
        <x:v>НАКОНЕЧНИК НШВИ(2) 0,5-8</x:v>
      </x:c>
      <x:c r="D28" s="16" t="str">
        <x:v>Монтажн изд д/кабел</x:v>
      </x:c>
      <x:c r="E28" s="16" t="str">
        <x:v>ШТ</x:v>
      </x:c>
      <x:c r="F28" s="21" t="n">
        <x:v>100</x:v>
      </x:c>
      <x:c r="G28" s="17" t="n">
        <x:v>0.427</x:v>
      </x:c>
      <x:c r="H28" s="17" t="n">
        <x:f>G28*F28</x:f>
        <x:v>42.699999999999996</x:v>
      </x:c>
      <x:c r="I28" s="22" t="str">
        <x:f>HYPERLINK("https://etp-aktiv.ru/catalog/materialy/ehlektrotekhnicheskie-materialy/2000532989-V119/","Открыть позицию")</x:f>
        <x:v>Открыть позицию</x:v>
      </x:c>
    </x:row>
    <x:row r="29" ht="28" customHeight="1">
      <x:c r="A29" s="16" t="str">
        <x:v>Красноярская ТЭЦ-1</x:v>
      </x:c>
      <x:c r="B29" s="16" t="str">
        <x:v>2000076067-V119</x:v>
      </x:c>
      <x:c r="C29" s="16" t="str">
        <x:v>ПОЛКА К1163Ц УТ1,5</x:v>
      </x:c>
      <x:c r="D29" s="16" t="str">
        <x:v>Монтажн изд д/кабел</x:v>
      </x:c>
      <x:c r="E29" s="16" t="str">
        <x:v>ШТ</x:v>
      </x:c>
      <x:c r="F29" s="21" t="n">
        <x:v>16</x:v>
      </x:c>
      <x:c r="G29" s="17" t="n">
        <x:v>62.4396</x:v>
      </x:c>
      <x:c r="H29" s="17" t="n">
        <x:f>G29*F29</x:f>
        <x:v>999.0336</x:v>
      </x:c>
      <x:c r="I29" s="22" t="str">
        <x:f>HYPERLINK("https://etp-aktiv.ru/catalog/materialy/ehlektrotekhnicheskie-materialy/2000076067-V119/","Открыть позицию")</x:f>
        <x:v>Открыть позицию</x:v>
      </x:c>
    </x:row>
    <x:row r="30" ht="28" customHeight="1">
      <x:c r="A30" s="16" t="str">
        <x:v>Красноярская ТЭЦ-1</x:v>
      </x:c>
      <x:c r="B30" s="16" t="str">
        <x:v>2000014073-V119</x:v>
      </x:c>
      <x:c r="C30" s="16" t="str">
        <x:v>ПРОВОД БПВЛ 1,5</x:v>
      </x:c>
      <x:c r="D30" s="16" t="str">
        <x:v>Кабель общ и провод</x:v>
      </x:c>
      <x:c r="E30" s="16" t="str">
        <x:v>КМ</x:v>
      </x:c>
      <x:c r="F30" s="30" t="n">
        <x:v>0.07</x:v>
      </x:c>
      <x:c r="G30" s="17" t="n">
        <x:v>46891.46859999999</x:v>
      </x:c>
      <x:c r="H30" s="17" t="n">
        <x:f>G30*F30</x:f>
        <x:v>3282.4028019999996</x:v>
      </x:c>
      <x:c r="I30" s="22" t="str">
        <x:f>HYPERLINK("https://etp-aktiv.ru/catalog/materialy/kabelno-provodnikovaya-produkciya/2000014073-V119/","Открыть позицию")</x:f>
        <x:v>Открыть позицию</x:v>
      </x:c>
    </x:row>
    <x:row r="31" ht="28" customHeight="1">
      <x:c r="A31" s="16" t="str">
        <x:v>Красноярская ТЭЦ-1</x:v>
      </x:c>
      <x:c r="B31" s="16" t="str">
        <x:v>2000016009-V119</x:v>
      </x:c>
      <x:c r="C31" s="16" t="str">
        <x:v>ПРОВОД БПВЛ 6</x:v>
      </x:c>
      <x:c r="D31" s="16" t="str">
        <x:v>Кабель общ и провод</x:v>
      </x:c>
      <x:c r="E31" s="16" t="str">
        <x:v>КМ</x:v>
      </x:c>
      <x:c r="F31" s="30" t="n">
        <x:v>0.04</x:v>
      </x:c>
      <x:c r="G31" s="17" t="n">
        <x:v>90358.5436</x:v>
      </x:c>
      <x:c r="H31" s="17" t="n">
        <x:f>G31*F31</x:f>
        <x:v>3614.3417440000003</x:v>
      </x:c>
      <x:c r="I31" s="22" t="str">
        <x:f>HYPERLINK("https://etp-aktiv.ru/catalog/materialy/kabelno-provodnikovaya-produkciya/2000016009-V119/","Открыть позицию")</x:f>
        <x:v>Открыть позицию</x:v>
      </x:c>
    </x:row>
    <x:row r="32" ht="28" customHeight="1">
      <x:c r="A32" s="16" t="str">
        <x:v>Красноярская ТЭЦ-1</x:v>
      </x:c>
      <x:c r="B32" s="16" t="str">
        <x:v>2000035725-V119</x:v>
      </x:c>
      <x:c r="C32" s="16" t="str">
        <x:v>ПРОВОД ПВ-3 1*2,5 (М)</x:v>
      </x:c>
      <x:c r="D32" s="16" t="str">
        <x:v>Кабель общ и провод</x:v>
      </x:c>
      <x:c r="E32" s="16" t="str">
        <x:v>М</x:v>
      </x:c>
      <x:c r="F32" s="26" t="n">
        <x:v>399.75</x:v>
      </x:c>
      <x:c r="G32" s="17" t="n">
        <x:v>14.0422</x:v>
      </x:c>
      <x:c r="H32" s="17" t="n">
        <x:f>G32*F32</x:f>
        <x:v>5613.36945</x:v>
      </x:c>
      <x:c r="I32" s="22" t="str">
        <x:f>HYPERLINK("https://etp-aktiv.ru/catalog/materialy/kabelno-provodnikovaya-produkciya/2000035725-V119/","Открыть позицию")</x:f>
        <x:v>Открыть позицию</x:v>
      </x:c>
    </x:row>
    <x:row r="33" ht="28" customHeight="1">
      <x:c r="A33" s="16" t="str">
        <x:v>Красноярская ТЭЦ-1</x:v>
      </x:c>
      <x:c r="B33" s="16" t="str">
        <x:v>2000012803-V119</x:v>
      </x:c>
      <x:c r="C33" s="16" t="str">
        <x:v>ПРОВОД ПРППМ 0,9</x:v>
      </x:c>
      <x:c r="D33" s="16" t="str">
        <x:v>Расходные материалы</x:v>
      </x:c>
      <x:c r="E33" s="16" t="str">
        <x:v>КМ</x:v>
      </x:c>
      <x:c r="F33" s="30" t="n">
        <x:v>0.3</x:v>
      </x:c>
      <x:c r="G33" s="17" t="n">
        <x:v>6418.4322</x:v>
      </x:c>
      <x:c r="H33" s="17" t="n">
        <x:f>G33*F33</x:f>
        <x:v>1925.52966</x:v>
      </x:c>
      <x:c r="I33" s="22" t="str">
        <x:f>HYPERLINK("https://etp-aktiv.ru/catalog/materialy/komplektuyushchie-i-zapasnye-chasti-k-kompyuternomu-i-ofisnomu-oborudovaniyu/2000012803-V119/","Открыть позицию")</x:f>
        <x:v>Открыть позицию</x:v>
      </x:c>
    </x:row>
    <x:row r="34" ht="28" customHeight="1">
      <x:c r="A34" s="16" t="str">
        <x:v>Красноярская ТЭЦ-1</x:v>
      </x:c>
      <x:c r="B34" s="16" t="str">
        <x:v>2000242730-V119</x:v>
      </x:c>
      <x:c r="C34" s="16" t="str">
        <x:v>ПРОВОД ПУГВ 1</x:v>
      </x:c>
      <x:c r="D34" s="16" t="str">
        <x:v>Кабель общ и провод</x:v>
      </x:c>
      <x:c r="E34" s="16" t="str">
        <x:v>КМ</x:v>
      </x:c>
      <x:c r="F34" s="30" t="n">
        <x:v>0.05</x:v>
      </x:c>
      <x:c r="G34" s="17" t="n">
        <x:v>81652.3552</x:v>
      </x:c>
      <x:c r="H34" s="17" t="n">
        <x:f>G34*F34</x:f>
        <x:v>4082.6177600000005</x:v>
      </x:c>
      <x:c r="I34" s="22" t="str">
        <x:f>HYPERLINK("https://etp-aktiv.ru/catalog/materialy/kabelno-provodnikovaya-produkciya/2000242730-V119/","Открыть позицию")</x:f>
        <x:v>Открыть позицию</x:v>
      </x:c>
    </x:row>
    <x:row r="35" ht="28" customHeight="1">
      <x:c r="A35" s="16" t="str">
        <x:v>Красноярская ТЭЦ-1</x:v>
      </x:c>
      <x:c r="B35" s="16" t="str">
        <x:v>2000531660-V119</x:v>
      </x:c>
      <x:c r="C35" s="16" t="str">
        <x:v>ПРОВОД ШВВП 3*0,35</x:v>
      </x:c>
      <x:c r="D35" s="16" t="str">
        <x:v>Кабель общ и провод</x:v>
      </x:c>
      <x:c r="E35" s="16" t="str">
        <x:v>М</x:v>
      </x:c>
      <x:c r="F35" s="21" t="n">
        <x:v>260</x:v>
      </x:c>
      <x:c r="G35" s="17" t="n">
        <x:v>11.1386</x:v>
      </x:c>
      <x:c r="H35" s="17" t="n">
        <x:f>G35*F35</x:f>
        <x:v>2896.036</x:v>
      </x:c>
      <x:c r="I35" s="22" t="str">
        <x:f>HYPERLINK("https://etp-aktiv.ru/catalog/materialy/kabelno-provodnikovaya-produkciya/2000531660-V119/","Открыть позицию")</x:f>
        <x:v>Открыть позицию</x:v>
      </x:c>
    </x:row>
    <x:row r="36" ht="28" customHeight="1">
      <x:c r="A36" s="16" t="str">
        <x:v>Красноярская ТЭЦ-1</x:v>
      </x:c>
      <x:c r="B36" s="16" t="str">
        <x:v>2000268327-V119</x:v>
      </x:c>
      <x:c r="C36" s="16" t="str">
        <x:v>САЛЬНИК MG 32 18-25ММ IP68</x:v>
      </x:c>
      <x:c r="D36" s="16" t="str">
        <x:v>Монтажн изд д/кабел</x:v>
      </x:c>
      <x:c r="E36" s="16" t="str">
        <x:v>ШТ</x:v>
      </x:c>
      <x:c r="F36" s="21" t="n">
        <x:v>100</x:v>
      </x:c>
      <x:c r="G36" s="17" t="n">
        <x:v>17.177599999999998</x:v>
      </x:c>
      <x:c r="H36" s="17" t="n">
        <x:f>G36*F36</x:f>
        <x:v>1717.7599999999998</x:v>
      </x:c>
      <x:c r="I36" s="22" t="str">
        <x:f>HYPERLINK("https://etp-aktiv.ru/catalog/materialy/ehlektrotekhnicheskie-materialy/2000268327-V119/","Открыть позицию")</x:f>
        <x:v>Открыть позицию</x:v>
      </x:c>
    </x:row>
    <x:row r="37" ht="28" customHeight="1">
      <x:c r="A37" s="16" t="str">
        <x:v>Красноярская ТЭЦ-2</x:v>
      </x:c>
      <x:c r="B37" s="16" t="str">
        <x:v>2000930263-V113</x:v>
      </x:c>
      <x:c r="C37" s="16" t="str">
        <x:v>КАБЕЛЬ АПВПУГ 3*500 10КВ</x:v>
      </x:c>
      <x:c r="D37" s="16" t="str">
        <x:v>Кабель общ и провод</x:v>
      </x:c>
      <x:c r="E37" s="16" t="str">
        <x:v>КМ</x:v>
      </x:c>
      <x:c r="F37" s="30" t="n">
        <x:v>0.229</x:v>
      </x:c>
      <x:c r="G37" s="17" t="n">
        <x:v>1455227.4435999999</x:v>
      </x:c>
      <x:c r="H37" s="17" t="n">
        <x:f>G37*F37</x:f>
        <x:v>333247.0845844</x:v>
      </x:c>
      <x:c r="I37" s="22" t="str">
        <x:f>HYPERLINK("https://etp-aktiv.ru/catalog/materialy/kabelno-provodnikovaya-produkciya/2000930263-V113/","Открыть позицию")</x:f>
        <x:v>Открыть позицию</x:v>
      </x:c>
    </x:row>
    <x:row r="38" ht="28" customHeight="1">
      <x:c r="A38" s="16" t="str">
        <x:v>Красноярская ТЭЦ-2</x:v>
      </x:c>
      <x:c r="B38" s="16" t="str">
        <x:v>2001085314-V113</x:v>
      </x:c>
      <x:c r="C38" s="16" t="str">
        <x:v>КАБЕЛЬ КВВГЭНГ(А)-LS 4*1 0,66КВ</x:v>
      </x:c>
      <x:c r="D38" s="16" t="str">
        <x:v>Кабель общ и провод</x:v>
      </x:c>
      <x:c r="E38" s="16" t="str">
        <x:v>КМ</x:v>
      </x:c>
      <x:c r="F38" s="30" t="n">
        <x:v>0.8</x:v>
      </x:c>
      <x:c r="G38" s="17" t="n">
        <x:v>37829.577</x:v>
      </x:c>
      <x:c r="H38" s="17" t="n">
        <x:f>G38*F38</x:f>
        <x:v>30263.6616</x:v>
      </x:c>
      <x:c r="I38" s="22" t="str">
        <x:f>HYPERLINK("https://etp-aktiv.ru/catalog/materialy/kabelno-provodnikovaya-produkciya/2001085314-V113/","Открыть позицию")</x:f>
        <x:v>Открыть позицию</x:v>
      </x:c>
    </x:row>
    <x:row r="39" ht="28" customHeight="1">
      <x:c r="A39" s="16" t="str">
        <x:v>Красноярская ТЭЦ-2</x:v>
      </x:c>
      <x:c r="B39" s="16" t="str">
        <x:v>2001011472-V113</x:v>
      </x:c>
      <x:c r="C39" s="16" t="str">
        <x:v>КАБЕЛЬ КПГ2У 3*2,5 1КВ</x:v>
      </x:c>
      <x:c r="D39" s="16" t="str">
        <x:v>Кабель общ и провод</x:v>
      </x:c>
      <x:c r="E39" s="16" t="str">
        <x:v>КМ</x:v>
      </x:c>
      <x:c r="F39" s="30" t="n">
        <x:v>0.1</x:v>
      </x:c>
      <x:c r="G39" s="17" t="n">
        <x:v>282549.7186</x:v>
      </x:c>
      <x:c r="H39" s="17" t="n">
        <x:f>G39*F39</x:f>
        <x:v>28254.971860000005</x:v>
      </x:c>
      <x:c r="I39" s="22" t="str">
        <x:f>HYPERLINK("https://etp-aktiv.ru/catalog/materialy/kabelno-provodnikovaya-produkciya/2001011472-V113/","Открыть позицию")</x:f>
        <x:v>Открыть позицию</x:v>
      </x:c>
    </x:row>
    <x:row r="40" ht="28" customHeight="1">
      <x:c r="A40" s="16" t="str">
        <x:v>Красноярская ТЭЦ-2</x:v>
      </x:c>
      <x:c r="B40" s="16" t="str">
        <x:v>2000159523-V113</x:v>
      </x:c>
      <x:c r="C40" s="16" t="str">
        <x:v>КАБЕЛЬ СБЗПУ 24*2*0,9 0,38КВ</x:v>
      </x:c>
      <x:c r="D40" s="16" t="str">
        <x:v>Кабель общ и провод</x:v>
      </x:c>
      <x:c r="E40" s="16" t="str">
        <x:v>КМ</x:v>
      </x:c>
      <x:c r="F40" s="30" t="n">
        <x:v>0.267</x:v>
      </x:c>
      <x:c r="G40" s="17" t="n">
        <x:v>228416.92779999998</x:v>
      </x:c>
      <x:c r="H40" s="17" t="n">
        <x:f>G40*F40</x:f>
        <x:v>60987.3197226</x:v>
      </x:c>
      <x:c r="I40" s="22" t="str">
        <x:f>HYPERLINK("https://etp-aktiv.ru/catalog/materialy/kabelno-provodnikovaya-produkciya/2000159523-V113/","Открыть позицию")</x:f>
        <x:v>Открыть позицию</x:v>
      </x:c>
    </x:row>
    <x:row r="41" ht="28" customHeight="1">
      <x:c r="A41" s="16" t="str">
        <x:v>Красноярская ТЭЦ-2</x:v>
      </x:c>
      <x:c r="B41" s="16" t="str">
        <x:v>2000986806-V113</x:v>
      </x:c>
      <x:c r="C41" s="16" t="str">
        <x:v>ПРОВОД ПУГВНГ(А)-LS 1*4 ЧЕРНЫЙ</x:v>
      </x:c>
      <x:c r="D41" s="16" t="str">
        <x:v>Кабель общ и провод</x:v>
      </x:c>
      <x:c r="E41" s="16" t="str">
        <x:v>М</x:v>
      </x:c>
      <x:c r="F41" s="21" t="n">
        <x:v>100</x:v>
      </x:c>
      <x:c r="G41" s="17" t="n">
        <x:v>30.012</x:v>
      </x:c>
      <x:c r="H41" s="17" t="n">
        <x:f>G41*F41</x:f>
        <x:v>3001.2</x:v>
      </x:c>
      <x:c r="I41" s="22" t="str">
        <x:f>HYPERLINK("https://etp-aktiv.ru/catalog/materialy/kabelno-provodnikovaya-produkciya/2000986806-V113/","Открыть позицию")</x:f>
        <x:v>Открыть позицию</x:v>
      </x:c>
    </x:row>
    <x:row r="42" ht="28" customHeight="1">
      <x:c r="A42" s="16" t="str">
        <x:v>Красноярская ТЭЦ-2</x:v>
      </x:c>
      <x:c r="B42" s="16" t="str">
        <x:v>2000014034-V113</x:v>
      </x:c>
      <x:c r="C42" s="16" t="str">
        <x:v>ПРОВОД ШВВП 3*0,75</x:v>
      </x:c>
      <x:c r="D42" s="16" t="str">
        <x:v>Кабель общ и провод</x:v>
      </x:c>
      <x:c r="E42" s="16" t="str">
        <x:v>КМ</x:v>
      </x:c>
      <x:c r="F42" s="30" t="n">
        <x:v>0.7</x:v>
      </x:c>
      <x:c r="G42" s="17" t="n">
        <x:v>16312.2174</x:v>
      </x:c>
      <x:c r="H42" s="17" t="n">
        <x:f>G42*F42</x:f>
        <x:v>11418.552179999999</x:v>
      </x:c>
      <x:c r="I42" s="22" t="str">
        <x:f>HYPERLINK("https://etp-aktiv.ru/catalog/materialy/kabelno-provodnikovaya-produkciya/2000014034-V113/","Открыть позицию")</x:f>
        <x:v>Открыть позицию</x:v>
      </x:c>
    </x:row>
    <x:row r="43" ht="28" customHeight="1">
      <x:c r="A43" s="16" t="str">
        <x:v>Красноярская ТЭЦ-3</x:v>
      </x:c>
      <x:c r="B43" s="16" t="str">
        <x:v>2000531662-V114</x:v>
      </x:c>
      <x:c r="C43" s="16" t="str">
        <x:v>ПРОВОД ПЭТВ-2 0,41</x:v>
      </x:c>
      <x:c r="D43" s="16" t="str">
        <x:v>Кабель общ и провод</x:v>
      </x:c>
      <x:c r="E43" s="16" t="str">
        <x:v>КГ</x:v>
      </x:c>
      <x:c r="F43" s="21" t="n">
        <x:v>0</x:v>
      </x:c>
      <x:c r="G43" s="17" t="n">
        <x:v>1000.4</x:v>
      </x:c>
      <x:c r="H43" s="17" t="n">
        <x:f>G43*F43</x:f>
        <x:v>0</x:v>
      </x:c>
      <x:c r="I43" s="22" t="str">
        <x:f>HYPERLINK("https://etp-aktiv.ru/catalog/materialy/kabelno-provodnikovaya-produkciya/2000531662-V114/","Открыть позицию")</x:f>
        <x:v>Открыть позицию</x:v>
      </x:c>
    </x:row>
    <x:row r="44" ht="28" customHeight="1">
      <x:c r="A44" s="16" t="str">
        <x:v>Красноярская ТЭЦ-3</x:v>
      </x:c>
      <x:c r="B44" s="16" t="str">
        <x:v>2001152654-V114</x:v>
      </x:c>
      <x:c r="C44" s="16" t="str">
        <x:v>ПРОВОД ПЭТВ-2 1,04ММ2</x:v>
      </x:c>
      <x:c r="D44" s="16" t="str">
        <x:v>Кабель общ и провод</x:v>
      </x:c>
      <x:c r="E44" s="16" t="str">
        <x:v>КГ</x:v>
      </x:c>
      <x:c r="F44" s="26" t="n">
        <x:v>19.95</x:v>
      </x:c>
      <x:c r="G44" s="17" t="n">
        <x:v>1388.5796</x:v>
      </x:c>
      <x:c r="H44" s="17" t="n">
        <x:f>G44*F44</x:f>
        <x:v>27702.16302</x:v>
      </x:c>
      <x:c r="I44" s="22" t="str">
        <x:f>HYPERLINK("https://etp-aktiv.ru/catalog/materialy/kabelno-provodnikovaya-produkciya/2001152654-V114/","Открыть позицию")</x:f>
        <x:v>Открыть позицию</x:v>
      </x:c>
    </x:row>
    <x:row r="45" ht="28" customHeight="1">
      <x:c r="A45" s="16" t="str">
        <x:v>Красноярская ТЭЦ-3</x:v>
      </x:c>
      <x:c r="B45" s="16" t="str">
        <x:v>2000006429-V114</x:v>
      </x:c>
      <x:c r="C45" s="16" t="str">
        <x:v>ПРОВОД ПЭТВ-2 1,12</x:v>
      </x:c>
      <x:c r="D45" s="16" t="str">
        <x:v>Кабель общ и провод</x:v>
      </x:c>
      <x:c r="E45" s="16" t="str">
        <x:v>КГ</x:v>
      </x:c>
      <x:c r="F45" s="26" t="n">
        <x:v>24.45</x:v>
      </x:c>
      <x:c r="G45" s="17" t="n">
        <x:v>1281.1341999999997</x:v>
      </x:c>
      <x:c r="H45" s="17" t="n">
        <x:f>G45*F45</x:f>
        <x:v>31323.73118999999</x:v>
      </x:c>
      <x:c r="I45" s="22" t="str">
        <x:f>HYPERLINK("https://etp-aktiv.ru/catalog/materialy/kabelno-provodnikovaya-produkciya/2000006429-V114/","Открыть позицию")</x:f>
        <x:v>Открыть позицию</x:v>
      </x:c>
    </x:row>
    <x:row r="46" ht="28" customHeight="1">
      <x:c r="A46" s="16" t="str">
        <x:v>Красноярская ТЭЦ-3</x:v>
      </x:c>
      <x:c r="B46" s="16" t="str">
        <x:v>2000006417-V114</x:v>
      </x:c>
      <x:c r="C46" s="16" t="str">
        <x:v>ПРОВОД ПЭТВ-2 2</x:v>
      </x:c>
      <x:c r="D46" s="16" t="str">
        <x:v>Кабель общ и провод</x:v>
      </x:c>
      <x:c r="E46" s="16" t="str">
        <x:v>КГ</x:v>
      </x:c>
      <x:c r="F46" s="21" t="n">
        <x:v>0</x:v>
      </x:c>
      <x:c r="G46" s="17" t="n">
        <x:v>1000.4</x:v>
      </x:c>
      <x:c r="H46" s="17" t="n">
        <x:f>G46*F46</x:f>
        <x:v>0</x:v>
      </x:c>
      <x:c r="I46" s="22" t="str">
        <x:f>HYPERLINK("https://etp-aktiv.ru/catalog/materialy/kabelno-provodnikovaya-produkciya/2000006417-V114/","Открыть позицию")</x:f>
        <x:v>Открыть позицию</x:v>
      </x:c>
    </x:row>
    <x:row r="47" ht="28" customHeight="1">
      <x:c r="A47" s="16" t="str">
        <x:v>Минусинская ТЭЦ</x:v>
      </x:c>
      <x:c r="B47" s="16" t="str">
        <x:v>2000469981-V112</x:v>
      </x:c>
      <x:c r="C47" s="16" t="str">
        <x:v>КАБЕЛЬ ВВГЭНГ(А)-LS 2*10 0,66КВ</x:v>
      </x:c>
      <x:c r="D47" s="16" t="str">
        <x:v>Кабель общ и провод</x:v>
      </x:c>
      <x:c r="E47" s="16" t="str">
        <x:v>КМ</x:v>
      </x:c>
      <x:c r="F47" s="30" t="n">
        <x:v>0.309</x:v>
      </x:c>
      <x:c r="G47" s="17" t="n">
        <x:v>174341.1232</x:v>
      </x:c>
      <x:c r="H47" s="17" t="n">
        <x:f>G47*F47</x:f>
        <x:v>53871.4070688</x:v>
      </x:c>
      <x:c r="I47" s="22" t="str">
        <x:f>HYPERLINK("https://etp-aktiv.ru/catalog/materialy/kabelno-provodnikovaya-produkciya/2000469981-V112/","Открыть позицию")</x:f>
        <x:v>Открыть позицию</x:v>
      </x:c>
    </x:row>
    <x:row r="48" ht="28" customHeight="1">
      <x:c r="A48" s="16" t="str">
        <x:v>Минусинская ТЭЦ</x:v>
      </x:c>
      <x:c r="B48" s="16" t="str">
        <x:v>2000031851-V112</x:v>
      </x:c>
      <x:c r="C48" s="16" t="str">
        <x:v>НАКОНЕЧНИК МЕДНЫЙ П 16-8М</x:v>
      </x:c>
      <x:c r="D48" s="16" t="str">
        <x:v>Монтажн изд д/кабел</x:v>
      </x:c>
      <x:c r="E48" s="16" t="str">
        <x:v>ШТ</x:v>
      </x:c>
      <x:c r="F48" s="21" t="n">
        <x:v>1</x:v>
      </x:c>
      <x:c r="G48" s="17" t="n">
        <x:v>17.2386</x:v>
      </x:c>
      <x:c r="H48" s="17" t="n">
        <x:f>G48*F48</x:f>
        <x:v>17.2386</x:v>
      </x:c>
      <x:c r="I48" s="22" t="str">
        <x:f>HYPERLINK("https://etp-aktiv.ru/catalog/materialy/ehlektrotekhnicheskie-materialy/2000031851-V112/","Открыть позицию")</x:f>
        <x:v>Открыть позицию</x:v>
      </x:c>
    </x:row>
    <x:row r="49" ht="28" customHeight="1">
      <x:c r="A49" s="16" t="str">
        <x:v>Минусинская ТЭЦ</x:v>
      </x:c>
      <x:c r="B49" s="16" t="str">
        <x:v>2000712430-V112</x:v>
      </x:c>
      <x:c r="C49" s="16" t="str">
        <x:v>ПРОВОД ПУГВ 1*10</x:v>
      </x:c>
      <x:c r="D49" s="16" t="str">
        <x:v>Кабель общ и провод</x:v>
      </x:c>
      <x:c r="E49" s="16" t="str">
        <x:v>КМ</x:v>
      </x:c>
      <x:c r="F49" s="30" t="n">
        <x:v>0.005</x:v>
      </x:c>
      <x:c r="G49" s="17" t="n">
        <x:v>67208.58</x:v>
      </x:c>
      <x:c r="H49" s="17" t="n">
        <x:f>G49*F49</x:f>
        <x:v>336.04290000000003</x:v>
      </x:c>
      <x:c r="I49" s="22" t="str">
        <x:f>HYPERLINK("https://etp-aktiv.ru/catalog/materialy/kabelno-provodnikovaya-produkciya/2000712430-V112/","Открыть позицию")</x:f>
        <x:v>Открыть позицию</x:v>
      </x:c>
    </x:row>
    <x:row r="50" ht="28" customHeight="1">
      <x:c r="A50" s="16" t="str">
        <x:v>Минусинская ТЭЦ</x:v>
      </x:c>
      <x:c r="B50" s="16" t="str">
        <x:v>2000256814-V112</x:v>
      </x:c>
      <x:c r="C50" s="16" t="str">
        <x:v>ПРОВОД ПУГВ 1*35</x:v>
      </x:c>
      <x:c r="D50" s="16" t="str">
        <x:v>Кабель общ и провод</x:v>
      </x:c>
      <x:c r="E50" s="16" t="str">
        <x:v>КМ</x:v>
      </x:c>
      <x:c r="F50" s="30" t="n">
        <x:v>0.003</x:v>
      </x:c>
      <x:c r="G50" s="17" t="n">
        <x:v>228603.6</x:v>
      </x:c>
      <x:c r="H50" s="17" t="n">
        <x:f>G50*F50</x:f>
        <x:v>685.8108000000001</x:v>
      </x:c>
      <x:c r="I50" s="22" t="str">
        <x:f>HYPERLINK("https://etp-aktiv.ru/catalog/materialy/kabelno-provodnikovaya-produkciya/2000256814-V112/","Открыть позицию")</x:f>
        <x:v>Открыть позицию</x:v>
      </x:c>
    </x:row>
    <x:row r="51" ht="28" customHeight="1">
      <x:c r="A51" s="16" t="str">
        <x:v>Минусинская ТЭЦ</x:v>
      </x:c>
      <x:c r="B51" s="16" t="str">
        <x:v>2000242696-V112</x:v>
      </x:c>
      <x:c r="C51" s="16" t="str">
        <x:v>ПРОВОД ПУГВ 25</x:v>
      </x:c>
      <x:c r="D51" s="16" t="str">
        <x:v>Кабель общ и провод</x:v>
      </x:c>
      <x:c r="E51" s="16" t="str">
        <x:v>КМ</x:v>
      </x:c>
      <x:c r="F51" s="30" t="n">
        <x:v>0.003</x:v>
      </x:c>
      <x:c r="G51" s="17" t="n">
        <x:v>163430.4436</x:v>
      </x:c>
      <x:c r="H51" s="17" t="n">
        <x:f>G51*F51</x:f>
        <x:v>490.2913308</x:v>
      </x:c>
      <x:c r="I51" s="22" t="str">
        <x:f>HYPERLINK("https://etp-aktiv.ru/catalog/materialy/kabelno-provodnikovaya-produkciya/2000242696-V112/","Открыть позицию")</x:f>
        <x:v>Открыть позицию</x:v>
      </x:c>
    </x:row>
    <x:row r="52" ht="28" customHeight="1">
      <x:c r="A52" s="16" t="str">
        <x:v>Минусинская ТЭЦ</x:v>
      </x:c>
      <x:c r="B52" s="16" t="str">
        <x:v>2000006442-V112</x:v>
      </x:c>
      <x:c r="C52" s="16" t="str">
        <x:v>ПРОВОД ПЭТВ-2 0,67</x:v>
      </x:c>
      <x:c r="D52" s="16" t="str">
        <x:v>Кабель общ и провод</x:v>
      </x:c>
      <x:c r="E52" s="16" t="str">
        <x:v>КГ</x:v>
      </x:c>
      <x:c r="F52" s="26" t="n">
        <x:v>3.1</x:v>
      </x:c>
      <x:c r="G52" s="17" t="n">
        <x:v>1000.4</x:v>
      </x:c>
      <x:c r="H52" s="17" t="n">
        <x:f>G52*F52</x:f>
        <x:v>3101.2400000000002</x:v>
      </x:c>
      <x:c r="I52" s="22" t="str">
        <x:f>HYPERLINK("https://etp-aktiv.ru/catalog/materialy/kabelno-provodnikovaya-produkciya/2000006442-V112/","Открыть позицию")</x:f>
        <x:v>Открыть позицию</x:v>
      </x:c>
    </x:row>
    <x:row r="53" ht="28" customHeight="1">
      <x:c r="A53" s="16" t="str">
        <x:v>Минусинская ТЭЦ</x:v>
      </x:c>
      <x:c r="B53" s="16" t="str">
        <x:v>2000006757-V112</x:v>
      </x:c>
      <x:c r="C53" s="16" t="str">
        <x:v>ПРОВОД ПЭТВ-2 0,9</x:v>
      </x:c>
      <x:c r="D53" s="16" t="str">
        <x:v>Кабель общ и провод</x:v>
      </x:c>
      <x:c r="E53" s="16" t="str">
        <x:v>КГ</x:v>
      </x:c>
      <x:c r="F53" s="21" t="n">
        <x:v>0</x:v>
      </x:c>
      <x:c r="G53" s="17" t="n">
        <x:v>1000.4</x:v>
      </x:c>
      <x:c r="H53" s="17" t="n">
        <x:f>G53*F53</x:f>
        <x:v>0</x:v>
      </x:c>
      <x:c r="I53" s="22" t="str">
        <x:f>HYPERLINK("https://etp-aktiv.ru/catalog/materialy/kabelno-provodnikovaya-produkciya/2000006757-V112/","Открыть позицию")</x:f>
        <x:v>Открыть позицию</x:v>
      </x:c>
    </x:row>
    <x:row r="54" ht="28" customHeight="1">
      <x:c r="A54" s="16" t="str">
        <x:v>Минусинская ТЭЦ</x:v>
      </x:c>
      <x:c r="B54" s="16" t="str">
        <x:v>2000006773-V112</x:v>
      </x:c>
      <x:c r="C54" s="16" t="str">
        <x:v>ПРОВОД ПЭТВ-2 1,06</x:v>
      </x:c>
      <x:c r="D54" s="16" t="str">
        <x:v>Кабель общ и провод</x:v>
      </x:c>
      <x:c r="E54" s="16" t="str">
        <x:v>КГ</x:v>
      </x:c>
      <x:c r="F54" s="21" t="n">
        <x:v>0</x:v>
      </x:c>
      <x:c r="G54" s="17" t="n">
        <x:v>1000.4</x:v>
      </x:c>
      <x:c r="H54" s="17" t="n">
        <x:f>G54*F54</x:f>
        <x:v>0</x:v>
      </x:c>
      <x:c r="I54" s="22" t="str">
        <x:f>HYPERLINK("https://etp-aktiv.ru/catalog/materialy/kabelno-provodnikovaya-produkciya/2000006773-V112/","Открыть позицию")</x:f>
        <x:v>Открыть позицию</x:v>
      </x:c>
    </x:row>
    <x:row r="55" ht="28" customHeight="1">
      <x:c r="A55" s="16" t="str">
        <x:v>Минусинская ТЭЦ</x:v>
      </x:c>
      <x:c r="B55" s="16" t="str">
        <x:v>2000006425-V112</x:v>
      </x:c>
      <x:c r="C55" s="16" t="str">
        <x:v>ПРОВОД ПЭТВ-2 1,32</x:v>
      </x:c>
      <x:c r="D55" s="16" t="str">
        <x:v>Кабель общ и провод</x:v>
      </x:c>
      <x:c r="E55" s="16" t="str">
        <x:v>КГ</x:v>
      </x:c>
      <x:c r="F55" s="21" t="n">
        <x:v>0</x:v>
      </x:c>
      <x:c r="G55" s="17" t="n">
        <x:v>1000.4</x:v>
      </x:c>
      <x:c r="H55" s="17" t="n">
        <x:f>G55*F55</x:f>
        <x:v>0</x:v>
      </x:c>
      <x:c r="I55" s="22" t="str">
        <x:f>HYPERLINK("https://etp-aktiv.ru/catalog/materialy/kabelno-provodnikovaya-produkciya/2000006425-V112/","Открыть позицию")</x:f>
        <x:v>Открыть позицию</x:v>
      </x:c>
    </x:row>
    <x:row r="56" ht="28" customHeight="1">
      <x:c r="A56" s="16" t="str">
        <x:v>Назаровская ГРЭС</x:v>
      </x:c>
      <x:c r="B56" s="16" t="str">
        <x:v>2000926728-V311</x:v>
      </x:c>
      <x:c r="C56" s="16" t="str">
        <x:v>АДАПТЕР АТР-25 У2 IP43 ZETA41403</x:v>
      </x:c>
      <x:c r="D56" s="16" t="str">
        <x:v>Монтажн изд д/кабел</x:v>
      </x:c>
      <x:c r="E56" s="16" t="str">
        <x:v>ШТ</x:v>
      </x:c>
      <x:c r="F56" s="21" t="n">
        <x:v>95</x:v>
      </x:c>
      <x:c r="G56" s="17" t="n">
        <x:v>150.4748</x:v>
      </x:c>
      <x:c r="H56" s="17" t="n">
        <x:f>G56*F56</x:f>
        <x:v>14295.105999999998</x:v>
      </x:c>
      <x:c r="I56" s="22" t="str">
        <x:f>HYPERLINK("https://etp-aktiv.ru/catalog/materialy/ehlektrotekhnicheskie-materialy/2000926728-V311/","Открыть позицию")</x:f>
        <x:v>Открыть позицию</x:v>
      </x:c>
    </x:row>
    <x:row r="57" ht="28" customHeight="1">
      <x:c r="A57" s="16" t="str">
        <x:v>Назаровская ГРЭС</x:v>
      </x:c>
      <x:c r="B57" s="16" t="str">
        <x:v>2000532479-V311</x:v>
      </x:c>
      <x:c r="C57" s="16" t="str">
        <x:v>ВИНТ М6*10 ВМ610К (OSTEC)</x:v>
      </x:c>
      <x:c r="D57" s="16" t="str">
        <x:v>Монтажн изд д/кабел</x:v>
      </x:c>
      <x:c r="E57" s="16" t="str">
        <x:v>ШТ</x:v>
      </x:c>
      <x:c r="F57" s="21" t="n">
        <x:v>400</x:v>
      </x:c>
      <x:c r="G57" s="17" t="n">
        <x:v>0.5978</x:v>
      </x:c>
      <x:c r="H57" s="17" t="n">
        <x:f>G57*F57</x:f>
        <x:v>239.12</x:v>
      </x:c>
      <x:c r="I57" s="22" t="str">
        <x:f>HYPERLINK("https://etp-aktiv.ru/catalog/materialy/ehlektrotekhnicheskie-materialy/2000532479-V311/","Открыть позицию")</x:f>
        <x:v>Открыть позицию</x:v>
      </x:c>
    </x:row>
    <x:row r="58" ht="28" customHeight="1">
      <x:c r="A58" s="16" t="str">
        <x:v>Назаровская ГРЭС</x:v>
      </x:c>
      <x:c r="B58" s="16" t="str">
        <x:v>2000290781-V311</x:v>
      </x:c>
      <x:c r="C58" s="16" t="str">
        <x:v>ДЕРЖАТЕЛЬ D10-20ММ DKC 51220</x:v>
      </x:c>
      <x:c r="D58" s="16" t="str">
        <x:v>Монтажн изд д/кабел</x:v>
      </x:c>
      <x:c r="E58" s="16" t="str">
        <x:v>ШТ</x:v>
      </x:c>
      <x:c r="F58" s="21" t="n">
        <x:v>207</x:v>
      </x:c>
      <x:c r="G58" s="17" t="n">
        <x:v>7.271199999999999</x:v>
      </x:c>
      <x:c r="H58" s="17" t="n">
        <x:f>G58*F58</x:f>
        <x:v>1505.1383999999998</x:v>
      </x:c>
      <x:c r="I58" s="22" t="str">
        <x:f>HYPERLINK("https://etp-aktiv.ru/catalog/materialy/ehlektrotekhnicheskie-materialy/2000290781-V311/","Открыть позицию")</x:f>
        <x:v>Открыть позицию</x:v>
      </x:c>
    </x:row>
    <x:row r="59" ht="28" customHeight="1">
      <x:c r="A59" s="16" t="str">
        <x:v>Назаровская ГРЭС</x:v>
      </x:c>
      <x:c r="B59" s="16" t="str">
        <x:v>2000541506-V311</x:v>
      </x:c>
      <x:c r="C59" s="16" t="str">
        <x:v>КАБЕЛЬ 1 LEMO 00-1 LEMO 00 1М</x:v>
      </x:c>
      <x:c r="D59" s="16" t="str">
        <x:v>ЗЧ КИПиА</x:v>
      </x:c>
      <x:c r="E59" s="16" t="str">
        <x:v>ШТ</x:v>
      </x:c>
      <x:c r="F59" s="21" t="n">
        <x:v>2</x:v>
      </x:c>
      <x:c r="G59" s="17" t="n">
        <x:v>984.3448</x:v>
      </x:c>
      <x:c r="H59" s="17" t="n">
        <x:f>G59*F59</x:f>
        <x:v>1968.6896</x:v>
      </x:c>
      <x:c r="I59" s="22" t="str">
        <x:f>HYPERLINK("https://etp-aktiv.ru/catalog/materialy/zapasnye-chasti-i-prinadlezhnosti-dlya-priborov-kipia/2000541506-V311/","Открыть позицию")</x:f>
        <x:v>Открыть позицию</x:v>
      </x:c>
    </x:row>
    <x:row r="60" ht="28" customHeight="1">
      <x:c r="A60" s="16" t="str">
        <x:v>Назаровская ГРЭС</x:v>
      </x:c>
      <x:c r="B60" s="16" t="str">
        <x:v>2000541507-V311</x:v>
      </x:c>
      <x:c r="C60" s="16" t="str">
        <x:v>КАБЕЛЬ 2 LEMO 00-2 LEMO 00 1,5М</x:v>
      </x:c>
      <x:c r="D60" s="16" t="str">
        <x:v>ЗЧ КИПиА</x:v>
      </x:c>
      <x:c r="E60" s="16" t="str">
        <x:v>ШТ</x:v>
      </x:c>
      <x:c r="F60" s="21" t="n">
        <x:v>2</x:v>
      </x:c>
      <x:c r="G60" s="17" t="n">
        <x:v>984.3448</x:v>
      </x:c>
      <x:c r="H60" s="17" t="n">
        <x:f>G60*F60</x:f>
        <x:v>1968.6896</x:v>
      </x:c>
      <x:c r="I60" s="22" t="str">
        <x:f>HYPERLINK("https://etp-aktiv.ru/catalog/materialy/zapasnye-chasti-i-prinadlezhnosti-dlya-priborov-kipia/2000541507-V311/","Открыть позицию")</x:f>
        <x:v>Открыть позицию</x:v>
      </x:c>
    </x:row>
    <x:row r="61" ht="28" customHeight="1">
      <x:c r="A61" s="16" t="str">
        <x:v>Назаровская ГРЭС</x:v>
      </x:c>
      <x:c r="B61" s="16" t="str">
        <x:v>2000563663-V311</x:v>
      </x:c>
      <x:c r="C61" s="16" t="str">
        <x:v>КАБЕЛЬ 3*2*22AWG 8776 060100 ХРОМ 100М</x:v>
      </x:c>
      <x:c r="D61" s="16" t="str">
        <x:v>Расходные материалы</x:v>
      </x:c>
      <x:c r="E61" s="16" t="str">
        <x:v>ШТ</x:v>
      </x:c>
      <x:c r="F61" s="21" t="n">
        <x:v>1</x:v>
      </x:c>
      <x:c r="G61" s="17" t="n">
        <x:v>19441.9566</x:v>
      </x:c>
      <x:c r="H61" s="17" t="n">
        <x:f>G61*F61</x:f>
        <x:v>19441.9566</x:v>
      </x:c>
      <x:c r="I61" s="22" t="str">
        <x:f>HYPERLINK("https://etp-aktiv.ru/catalog/materialy/komplektuyushchie-i-zapasnye-chasti-k-kompyuternomu-i-ofisnomu-oborudovaniyu/2000563663-V311/","Открыть позицию")</x:f>
        <x:v>Открыть позицию</x:v>
      </x:c>
    </x:row>
    <x:row r="62" ht="28" customHeight="1">
      <x:c r="A62" s="16" t="str">
        <x:v>Назаровская ГРЭС</x:v>
      </x:c>
      <x:c r="B62" s="16" t="str">
        <x:v>2000919275-V311</x:v>
      </x:c>
      <x:c r="C62" s="16" t="str">
        <x:v>КАБЕЛЬ F-CY-JZ 16349 7G*0,75 0,5КВ</x:v>
      </x:c>
      <x:c r="D62" s="16" t="str">
        <x:v>Кабель общ и провод</x:v>
      </x:c>
      <x:c r="E62" s="16" t="str">
        <x:v>КМ</x:v>
      </x:c>
      <x:c r="F62" s="30" t="n">
        <x:v>0.005</x:v>
      </x:c>
      <x:c r="G62" s="17" t="n">
        <x:v>525266.73</x:v>
      </x:c>
      <x:c r="H62" s="17" t="n">
        <x:f>G62*F62</x:f>
        <x:v>2626.33365</x:v>
      </x:c>
      <x:c r="I62" s="22" t="str">
        <x:f>HYPERLINK("https://etp-aktiv.ru/catalog/materialy/kabelno-provodnikovaya-produkciya/2000919275-V311/","Открыть позицию")</x:f>
        <x:v>Открыть позицию</x:v>
      </x:c>
    </x:row>
    <x:row r="63" ht="28" customHeight="1">
      <x:c r="A63" s="16" t="str">
        <x:v>Назаровская ГРЭС</x:v>
      </x:c>
      <x:c r="B63" s="16" t="str">
        <x:v>2000340890-V311</x:v>
      </x:c>
      <x:c r="C63" s="16" t="str">
        <x:v>КАБЕЛЬ NETLAN F/UTP PE-40C 305М</x:v>
      </x:c>
      <x:c r="D63" s="16" t="str">
        <x:v>Расходные материалы</x:v>
      </x:c>
      <x:c r="E63" s="16" t="str">
        <x:v>ШТ</x:v>
      </x:c>
      <x:c r="F63" s="21" t="n">
        <x:v>1</x:v>
      </x:c>
      <x:c r="G63" s="17" t="n">
        <x:v>6244.875</x:v>
      </x:c>
      <x:c r="H63" s="17" t="n">
        <x:f>G63*F63</x:f>
        <x:v>6244.875</x:v>
      </x:c>
      <x:c r="I63" s="22" t="str">
        <x:f>HYPERLINK("https://etp-aktiv.ru/catalog/materialy/komplektuyushchie-i-zapasnye-chasti-k-kompyuternomu-i-ofisnomu-oborudovaniyu/2000340890-V311/","Открыть позицию")</x:f>
        <x:v>Открыть позицию</x:v>
      </x:c>
    </x:row>
    <x:row r="64" ht="28" customHeight="1">
      <x:c r="A64" s="16" t="str">
        <x:v>Назаровская ГРЭС</x:v>
      </x:c>
      <x:c r="B64" s="16" t="str">
        <x:v>2000871600-V311</x:v>
      </x:c>
      <x:c r="C64" s="16" t="str">
        <x:v>КАБЕЛЬ SF/UTP 4*2*AWG 24/1 FRNC 81609</x:v>
      </x:c>
      <x:c r="D64" s="16" t="str">
        <x:v>Расходные материалы</x:v>
      </x:c>
      <x:c r="E64" s="16" t="str">
        <x:v>КМ</x:v>
      </x:c>
      <x:c r="F64" s="30" t="n">
        <x:v>0.005</x:v>
      </x:c>
      <x:c r="G64" s="17" t="n">
        <x:v>1347451.875</x:v>
      </x:c>
      <x:c r="H64" s="17" t="n">
        <x:f>G64*F64</x:f>
        <x:v>6737.259375000001</x:v>
      </x:c>
      <x:c r="I64" s="22" t="str">
        <x:f>HYPERLINK("https://etp-aktiv.ru/catalog/materialy/komplektuyushchie-i-zapasnye-chasti-k-kompyuternomu-i-ofisnomu-oborudovaniyu/2000871600-V311/","Открыть позицию")</x:f>
        <x:v>Открыть позицию</x:v>
      </x:c>
    </x:row>
    <x:row r="65" ht="28" customHeight="1">
      <x:c r="A65" s="16" t="str">
        <x:v>Назаровская ГРЭС</x:v>
      </x:c>
      <x:c r="B65" s="16" t="str">
        <x:v>2000174676-V311</x:v>
      </x:c>
      <x:c r="C65" s="16" t="str">
        <x:v>КАБЕЛЬ ВВГНГ 4*25 1КВ</x:v>
      </x:c>
      <x:c r="D65" s="16" t="str">
        <x:v>Кабель общ и провод</x:v>
      </x:c>
      <x:c r="E65" s="16" t="str">
        <x:v>КМ</x:v>
      </x:c>
      <x:c r="F65" s="30" t="n">
        <x:v>0.02</x:v>
      </x:c>
      <x:c r="G65" s="17" t="n">
        <x:v>815339.115</x:v>
      </x:c>
      <x:c r="H65" s="17" t="n">
        <x:f>G65*F65</x:f>
        <x:v>16306.7823</x:v>
      </x:c>
      <x:c r="I65" s="22" t="str">
        <x:f>HYPERLINK("https://etp-aktiv.ru/catalog/materialy/kabelno-provodnikovaya-produkciya/2000174676-V311/","Открыть позицию")</x:f>
        <x:v>Открыть позицию</x:v>
      </x:c>
    </x:row>
    <x:row r="66" ht="28" customHeight="1">
      <x:c r="A66" s="16" t="str">
        <x:v>Назаровская ГРЭС</x:v>
      </x:c>
      <x:c r="B66" s="16" t="str">
        <x:v>2000472133-V311</x:v>
      </x:c>
      <x:c r="C66" s="16" t="str">
        <x:v>КАБЕЛЬ ВВГНГ(А)-LS 4*95 1КВ</x:v>
      </x:c>
      <x:c r="D66" s="16" t="str">
        <x:v>Кабель общ и провод</x:v>
      </x:c>
      <x:c r="E66" s="16" t="str">
        <x:v>КМ</x:v>
      </x:c>
      <x:c r="F66" s="30" t="n">
        <x:v>0.012</x:v>
      </x:c>
      <x:c r="G66" s="17" t="n">
        <x:v>2552850</x:v>
      </x:c>
      <x:c r="H66" s="17" t="n">
        <x:f>G66*F66</x:f>
        <x:v>30634.2</x:v>
      </x:c>
      <x:c r="I66" s="22" t="str">
        <x:f>HYPERLINK("https://etp-aktiv.ru/catalog/materialy/kabelno-provodnikovaya-produkciya/2000472133-V311/","Открыть позицию")</x:f>
        <x:v>Открыть позицию</x:v>
      </x:c>
    </x:row>
    <x:row r="67" ht="28" customHeight="1">
      <x:c r="A67" s="16" t="str">
        <x:v>Назаровская ГРЭС</x:v>
      </x:c>
      <x:c r="B67" s="16" t="str">
        <x:v>2000742409-V311</x:v>
      </x:c>
      <x:c r="C67" s="16" t="str">
        <x:v>КАБЕЛЬ ВВГЭНГ(A)-LS 10*2,5 1КВ</x:v>
      </x:c>
      <x:c r="D67" s="16" t="str">
        <x:v>Кабель общ и провод</x:v>
      </x:c>
      <x:c r="E67" s="16" t="str">
        <x:v>КМ</x:v>
      </x:c>
      <x:c r="F67" s="30" t="n">
        <x:v>0.035</x:v>
      </x:c>
      <x:c r="G67" s="17" t="n">
        <x:v>137030.4</x:v>
      </x:c>
      <x:c r="H67" s="17" t="n">
        <x:f>G67*F67</x:f>
        <x:v>4796.064</x:v>
      </x:c>
      <x:c r="I67" s="22" t="str">
        <x:f>HYPERLINK("https://etp-aktiv.ru/catalog/materialy/kabelno-provodnikovaya-produkciya/2000742409-V311/","Открыть позицию")</x:f>
        <x:v>Открыть позицию</x:v>
      </x:c>
    </x:row>
    <x:row r="68" ht="28" customHeight="1">
      <x:c r="A68" s="16" t="str">
        <x:v>Назаровская ГРЭС</x:v>
      </x:c>
      <x:c r="B68" s="16" t="str">
        <x:v>2000609948-V311</x:v>
      </x:c>
      <x:c r="C68" s="16" t="str">
        <x:v>КАБЕЛЬ КВВГНГ(А)-LS 5*2,5 0,66КВ</x:v>
      </x:c>
      <x:c r="D68" s="16" t="str">
        <x:v>Кабель общ и провод</x:v>
      </x:c>
      <x:c r="E68" s="16" t="str">
        <x:v>КМ</x:v>
      </x:c>
      <x:c r="F68" s="21" t="n">
        <x:v>0</x:v>
      </x:c>
      <x:c r="G68" s="17" t="n">
        <x:v>71370</x:v>
      </x:c>
      <x:c r="H68" s="17" t="n">
        <x:f>G68*F68</x:f>
        <x:v>0</x:v>
      </x:c>
      <x:c r="I68" s="22" t="str">
        <x:f>HYPERLINK("https://etp-aktiv.ru/catalog/materialy/kabelno-provodnikovaya-produkciya/2000609948-V311/","Открыть позицию")</x:f>
        <x:v>Открыть позицию</x:v>
      </x:c>
    </x:row>
    <x:row r="69" ht="28" customHeight="1">
      <x:c r="A69" s="16" t="str">
        <x:v>Назаровская ГРЭС</x:v>
      </x:c>
      <x:c r="B69" s="16" t="str">
        <x:v>2000383380-V311</x:v>
      </x:c>
      <x:c r="C69" s="16" t="str">
        <x:v>КАБЕЛЬ КВВГЭНГ 2*1,5 0,69КВ</x:v>
      </x:c>
      <x:c r="D69" s="16" t="str">
        <x:v>Кабель общ и провод</x:v>
      </x:c>
      <x:c r="E69" s="16" t="str">
        <x:v>КМ</x:v>
      </x:c>
      <x:c r="F69" s="30" t="n">
        <x:v>0.275</x:v>
      </x:c>
      <x:c r="G69" s="17" t="n">
        <x:v>111515.625</x:v>
      </x:c>
      <x:c r="H69" s="17" t="n">
        <x:f>G69*F69</x:f>
        <x:v>30666.796875000004</x:v>
      </x:c>
      <x:c r="I69" s="22" t="str">
        <x:f>HYPERLINK("https://etp-aktiv.ru/catalog/materialy/kabelno-provodnikovaya-produkciya/2000383380-V311/","Открыть позицию")</x:f>
        <x:v>Открыть позицию</x:v>
      </x:c>
    </x:row>
    <x:row r="70" ht="28" customHeight="1">
      <x:c r="A70" s="16" t="str">
        <x:v>Назаровская ГРЭС</x:v>
      </x:c>
      <x:c r="B70" s="16" t="str">
        <x:v>2000142821-V311</x:v>
      </x:c>
      <x:c r="C70" s="16" t="str">
        <x:v>КАБЕЛЬ КВВГЭНГ 4*1 0,66КВ</x:v>
      </x:c>
      <x:c r="D70" s="16" t="str">
        <x:v>Кабель общ и провод</x:v>
      </x:c>
      <x:c r="E70" s="16" t="str">
        <x:v>КМ</x:v>
      </x:c>
      <x:c r="F70" s="30" t="n">
        <x:v>0.593</x:v>
      </x:c>
      <x:c r="G70" s="17" t="n">
        <x:v>36876.317800000004</x:v>
      </x:c>
      <x:c r="H70" s="17" t="n">
        <x:f>G70*F70</x:f>
        <x:v>21867.656455400003</x:v>
      </x:c>
      <x:c r="I70" s="22" t="str">
        <x:f>HYPERLINK("https://etp-aktiv.ru/catalog/materialy/kabelno-provodnikovaya-produkciya/2000142821-V311/","Открыть позицию")</x:f>
        <x:v>Открыть позицию</x:v>
      </x:c>
    </x:row>
    <x:row r="71" ht="28" customHeight="1">
      <x:c r="A71" s="16" t="str">
        <x:v>Назаровская ГРЭС</x:v>
      </x:c>
      <x:c r="B71" s="16" t="str">
        <x:v>2000425304-V311</x:v>
      </x:c>
      <x:c r="C71" s="16" t="str">
        <x:v>КАБЕЛЬ КВВГЭНГ 4*4 0,66КВ</x:v>
      </x:c>
      <x:c r="D71" s="16" t="str">
        <x:v>Кабель общ и провод</x:v>
      </x:c>
      <x:c r="E71" s="16" t="str">
        <x:v>КМ</x:v>
      </x:c>
      <x:c r="F71" s="30" t="n">
        <x:v>0.115</x:v>
      </x:c>
      <x:c r="G71" s="17" t="n">
        <x:v>90729.1186</x:v>
      </x:c>
      <x:c r="H71" s="17" t="n">
        <x:f>G71*F71</x:f>
        <x:v>10433.848639</x:v>
      </x:c>
      <x:c r="I71" s="22" t="str">
        <x:f>HYPERLINK("https://etp-aktiv.ru/catalog/materialy/kabelno-provodnikovaya-produkciya/2000425304-V311/","Открыть позицию")</x:f>
        <x:v>Открыть позицию</x:v>
      </x:c>
    </x:row>
    <x:row r="72" ht="28" customHeight="1">
      <x:c r="A72" s="16" t="str">
        <x:v>Назаровская ГРЭС</x:v>
      </x:c>
      <x:c r="B72" s="16" t="str">
        <x:v>2000425306-V311</x:v>
      </x:c>
      <x:c r="C72" s="16" t="str">
        <x:v>КАБЕЛЬ КВВГЭНГ 7*4 0,66КВ</x:v>
      </x:c>
      <x:c r="D72" s="16" t="str">
        <x:v>@Кабел-проводн проду</x:v>
      </x:c>
      <x:c r="E72" s="16" t="str">
        <x:v>КМ</x:v>
      </x:c>
      <x:c r="F72" s="30" t="n">
        <x:v>0.116</x:v>
      </x:c>
      <x:c r="G72" s="17" t="n">
        <x:v>205875</x:v>
      </x:c>
      <x:c r="H72" s="17" t="n">
        <x:f>G72*F72</x:f>
        <x:v>23881.5</x:v>
      </x:c>
      <x:c r="I72" s="22" t="str">
        <x:f>HYPERLINK("https://etp-aktiv.ru/catalog/materialy/kabelno-provodnikovaya-produkciya/2000425306-V311/","Открыть позицию")</x:f>
        <x:v>Открыть позицию</x:v>
      </x:c>
    </x:row>
    <x:row r="73" ht="28" customHeight="1">
      <x:c r="A73" s="16" t="str">
        <x:v>Назаровская ГРЭС</x:v>
      </x:c>
      <x:c r="B73" s="16" t="str">
        <x:v>2000314601-V311</x:v>
      </x:c>
      <x:c r="C73" s="16" t="str">
        <x:v>КАБЕЛЬ КВВГЭНГ(А)-LS 4*2,5 0,66КВ</x:v>
      </x:c>
      <x:c r="D73" s="16" t="str">
        <x:v>Кабель общ и провод</x:v>
      </x:c>
      <x:c r="E73" s="16" t="str">
        <x:v>КМ</x:v>
      </x:c>
      <x:c r="F73" s="30" t="n">
        <x:v>0.036</x:v>
      </x:c>
      <x:c r="G73" s="17" t="n">
        <x:v>71148.692</x:v>
      </x:c>
      <x:c r="H73" s="17" t="n">
        <x:f>G73*F73</x:f>
        <x:v>2561.352912</x:v>
      </x:c>
      <x:c r="I73" s="22" t="str">
        <x:f>HYPERLINK("https://etp-aktiv.ru/catalog/materialy/kabelno-provodnikovaya-produkciya/2000314601-V311/","Открыть позицию")</x:f>
        <x:v>Открыть позицию</x:v>
      </x:c>
    </x:row>
    <x:row r="74" ht="28" customHeight="1">
      <x:c r="A74" s="16" t="str">
        <x:v>Назаровская ГРЭС</x:v>
      </x:c>
      <x:c r="B74" s="16" t="str">
        <x:v>2000489114-V311</x:v>
      </x:c>
      <x:c r="C74" s="16" t="str">
        <x:v>КАБЕЛЬ КВВГЭНГ(А)-LS 4*4 0,66КВ</x:v>
      </x:c>
      <x:c r="D74" s="16" t="str">
        <x:v>Кабель общ и провод</x:v>
      </x:c>
      <x:c r="E74" s="16" t="str">
        <x:v>КМ</x:v>
      </x:c>
      <x:c r="F74" s="30" t="n">
        <x:v>0.76</x:v>
      </x:c>
      <x:c r="G74" s="17" t="n">
        <x:v>98781.8872</x:v>
      </x:c>
      <x:c r="H74" s="17" t="n">
        <x:f>G74*F74</x:f>
        <x:v>75074.234272</x:v>
      </x:c>
      <x:c r="I74" s="22" t="str">
        <x:f>HYPERLINK("https://etp-aktiv.ru/catalog/materialy/kabelno-provodnikovaya-produkciya/2000489114-V311/","Открыть позицию")</x:f>
        <x:v>Открыть позицию</x:v>
      </x:c>
    </x:row>
    <x:row r="75" ht="28" customHeight="1">
      <x:c r="A75" s="16" t="str">
        <x:v>Назаровская ГРЭС</x:v>
      </x:c>
      <x:c r="B75" s="16" t="str">
        <x:v>2000649908-V311</x:v>
      </x:c>
      <x:c r="C75" s="16" t="str">
        <x:v>КАБЕЛЬ КВВГЭНГ-FRLS 5*2,5 0,66КВ</x:v>
      </x:c>
      <x:c r="D75" s="16" t="str">
        <x:v>@Кабел-проводн проду</x:v>
      </x:c>
      <x:c r="E75" s="16" t="str">
        <x:v>КМ</x:v>
      </x:c>
      <x:c r="F75" s="26" t="n">
        <x:v>1.504</x:v>
      </x:c>
      <x:c r="G75" s="17" t="n">
        <x:v>68210.3342</x:v>
      </x:c>
      <x:c r="H75" s="17" t="n">
        <x:f>G75*F75</x:f>
        <x:v>102588.3426368</x:v>
      </x:c>
      <x:c r="I75" s="22" t="str">
        <x:f>HYPERLINK("https://etp-aktiv.ru/catalog/materialy/kabelno-provodnikovaya-produkciya/2000649908-V311/","Открыть позицию")</x:f>
        <x:v>Открыть позицию</x:v>
      </x:c>
    </x:row>
    <x:row r="76" ht="28" customHeight="1">
      <x:c r="A76" s="16" t="str">
        <x:v>Назаровская ГРЭС</x:v>
      </x:c>
      <x:c r="B76" s="16" t="str">
        <x:v>2000280174-V311</x:v>
      </x:c>
      <x:c r="C76" s="16" t="str">
        <x:v>КАБЕЛЬ КВВГЭНГ-FRLS 7*1,5 0,66КВ</x:v>
      </x:c>
      <x:c r="D76" s="16" t="str">
        <x:v>Кабель общ и провод</x:v>
      </x:c>
      <x:c r="E76" s="16" t="str">
        <x:v>КМ</x:v>
      </x:c>
      <x:c r="F76" s="30" t="n">
        <x:v>0.007</x:v>
      </x:c>
      <x:c r="G76" s="17" t="n">
        <x:v>101976.75</x:v>
      </x:c>
      <x:c r="H76" s="17" t="n">
        <x:f>G76*F76</x:f>
        <x:v>713.83725</x:v>
      </x:c>
      <x:c r="I76" s="22" t="str">
        <x:f>HYPERLINK("https://etp-aktiv.ru/catalog/materialy/kabelno-provodnikovaya-produkciya/2000280174-V311/","Открыть позицию")</x:f>
        <x:v>Открыть позицию</x:v>
      </x:c>
    </x:row>
    <x:row r="77" ht="28" customHeight="1">
      <x:c r="A77" s="16" t="str">
        <x:v>Назаровская ГРЭС</x:v>
      </x:c>
      <x:c r="B77" s="16" t="str">
        <x:v>2000623441-V311</x:v>
      </x:c>
      <x:c r="C77" s="16" t="str">
        <x:v>КАБЕЛЬ КВВГЭНГ-LS 4*4 0,66КВ</x:v>
      </x:c>
      <x:c r="D77" s="16" t="str">
        <x:v>Кабель общ и провод</x:v>
      </x:c>
      <x:c r="E77" s="16" t="str">
        <x:v>КМ</x:v>
      </x:c>
      <x:c r="F77" s="30" t="n">
        <x:v>0.115</x:v>
      </x:c>
      <x:c r="G77" s="17" t="n">
        <x:v>90729.1186</x:v>
      </x:c>
      <x:c r="H77" s="17" t="n">
        <x:f>G77*F77</x:f>
        <x:v>10433.848639</x:v>
      </x:c>
      <x:c r="I77" s="22" t="str">
        <x:f>HYPERLINK("https://etp-aktiv.ru/catalog/materialy/kabelno-provodnikovaya-produkciya/2000623441-V311/","Открыть позицию")</x:f>
        <x:v>Открыть позицию</x:v>
      </x:c>
    </x:row>
    <x:row r="78" ht="28" customHeight="1">
      <x:c r="A78" s="16" t="str">
        <x:v>Назаровская ГРЭС</x:v>
      </x:c>
      <x:c r="B78" s="16" t="str">
        <x:v>2000024750-V311</x:v>
      </x:c>
      <x:c r="C78" s="16" t="str">
        <x:v>КАБЕЛЬ КГ 4*4 0,66КВ</x:v>
      </x:c>
      <x:c r="D78" s="16" t="str">
        <x:v>Кабель общ и провод</x:v>
      </x:c>
      <x:c r="E78" s="16" t="str">
        <x:v>КМ</x:v>
      </x:c>
      <x:c r="F78" s="30" t="n">
        <x:v>0.05</x:v>
      </x:c>
      <x:c r="G78" s="17" t="n">
        <x:v>60349.923</x:v>
      </x:c>
      <x:c r="H78" s="17" t="n">
        <x:f>G78*F78</x:f>
        <x:v>3017.4961500000004</x:v>
      </x:c>
      <x:c r="I78" s="22" t="str">
        <x:f>HYPERLINK("https://etp-aktiv.ru/catalog/materialy/kabelno-provodnikovaya-produkciya/2000024750-V311/","Открыть позицию")</x:f>
        <x:v>Открыть позицию</x:v>
      </x:c>
    </x:row>
    <x:row r="79" ht="28" customHeight="1">
      <x:c r="A79" s="16" t="str">
        <x:v>Назаровская ГРЭС</x:v>
      </x:c>
      <x:c r="B79" s="16" t="str">
        <x:v>2000693876-V311</x:v>
      </x:c>
      <x:c r="C79" s="16" t="str">
        <x:v>КАБЕЛЬ КГВЭВНГ(A)-LS 4*1,5 0,66КВ</x:v>
      </x:c>
      <x:c r="D79" s="16" t="str">
        <x:v>@Кабел-проводн проду</x:v>
      </x:c>
      <x:c r="E79" s="16" t="str">
        <x:v>КМ</x:v>
      </x:c>
      <x:c r="F79" s="30" t="n">
        <x:v>0.3</x:v>
      </x:c>
      <x:c r="G79" s="17" t="n">
        <x:v>63907.02819999999</x:v>
      </x:c>
      <x:c r="H79" s="17" t="n">
        <x:f>G79*F79</x:f>
        <x:v>19172.108459999996</x:v>
      </x:c>
      <x:c r="I79" s="22" t="str">
        <x:f>HYPERLINK("https://etp-aktiv.ru/catalog/materialy/kabelno-provodnikovaya-produkciya/2000693876-V311/","Открыть позицию")</x:f>
        <x:v>Открыть позицию</x:v>
      </x:c>
    </x:row>
    <x:row r="80" ht="28" customHeight="1">
      <x:c r="A80" s="16" t="str">
        <x:v>Назаровская ГРЭС</x:v>
      </x:c>
      <x:c r="B80" s="16" t="str">
        <x:v>2000484972-V311</x:v>
      </x:c>
      <x:c r="C80" s="16" t="str">
        <x:v>КАБЕЛЬ КПСЭНГ(А)-FRLS 1*2*0,5 0,3КВ</x:v>
      </x:c>
      <x:c r="D80" s="16" t="str">
        <x:v>Кабель общ и провод</x:v>
      </x:c>
      <x:c r="E80" s="16" t="str">
        <x:v>КМ</x:v>
      </x:c>
      <x:c r="F80" s="30" t="n">
        <x:v>0.05</x:v>
      </x:c>
      <x:c r="G80" s="17" t="n">
        <x:v>41175</x:v>
      </x:c>
      <x:c r="H80" s="17" t="n">
        <x:f>G80*F80</x:f>
        <x:v>2058.75</x:v>
      </x:c>
      <x:c r="I80" s="22" t="str">
        <x:f>HYPERLINK("https://etp-aktiv.ru/catalog/materialy/kabelno-provodnikovaya-produkciya/2000484972-V311/","Открыть позицию")</x:f>
        <x:v>Открыть позицию</x:v>
      </x:c>
    </x:row>
    <x:row r="81" ht="28" customHeight="1">
      <x:c r="A81" s="16" t="str">
        <x:v>Назаровская ГРЭС</x:v>
      </x:c>
      <x:c r="B81" s="16" t="str">
        <x:v>2000322909-V311</x:v>
      </x:c>
      <x:c r="C81" s="16" t="str">
        <x:v>КАБЕЛЬ РК 50-2-11 1*0,67 0,22КВ</x:v>
      </x:c>
      <x:c r="D81" s="16" t="str">
        <x:v>Расходные материалы</x:v>
      </x:c>
      <x:c r="E81" s="16" t="str">
        <x:v>КМ</x:v>
      </x:c>
      <x:c r="F81" s="30" t="n">
        <x:v>0.18</x:v>
      </x:c>
      <x:c r="G81" s="17" t="n">
        <x:v>10625.59</x:v>
      </x:c>
      <x:c r="H81" s="17" t="n">
        <x:f>G81*F81</x:f>
        <x:v>1912.6062</x:v>
      </x:c>
      <x:c r="I81" s="22" t="str">
        <x:f>HYPERLINK("https://etp-aktiv.ru/catalog/materialy/komplektuyushchie-i-zapasnye-chasti-k-kompyuternomu-i-ofisnomu-oborudovaniyu/2000322909-V311/","Открыть позицию")</x:f>
        <x:v>Открыть позицию</x:v>
      </x:c>
    </x:row>
    <x:row r="82" ht="28" customHeight="1">
      <x:c r="A82" s="16" t="str">
        <x:v>Назаровская ГРЭС</x:v>
      </x:c>
      <x:c r="B82" s="16" t="str">
        <x:v>2000016937-V311</x:v>
      </x:c>
      <x:c r="C82" s="16" t="str">
        <x:v>КАБЕЛЬ ТППЭП 30*2*0,5 0,145КВ</x:v>
      </x:c>
      <x:c r="D82" s="16" t="str">
        <x:v>Кабель ГШО</x:v>
      </x:c>
      <x:c r="E82" s="16" t="str">
        <x:v>КМ</x:v>
      </x:c>
      <x:c r="F82" s="30" t="n">
        <x:v>0.13</x:v>
      </x:c>
      <x:c r="G82" s="17" t="n">
        <x:v>70872.4718</x:v>
      </x:c>
      <x:c r="H82" s="17" t="n">
        <x:f>G82*F82</x:f>
        <x:v>9213.421334</x:v>
      </x:c>
      <x:c r="I82" s="22" t="str">
        <x:f>HYPERLINK("https://etp-aktiv.ru/catalog/materialy/kabelno-provodnikovaya-produkciya/2000016937-V311/","Открыть позицию")</x:f>
        <x:v>Открыть позицию</x:v>
      </x:c>
    </x:row>
    <x:row r="83" ht="28" customHeight="1">
      <x:c r="A83" s="16" t="str">
        <x:v>Назаровская ГРЭС</x:v>
      </x:c>
      <x:c r="B83" s="16" t="str">
        <x:v>2000806957-V311</x:v>
      </x:c>
      <x:c r="C83" s="16" t="str">
        <x:v>КРЫШКА ЛОТКА OSTEC КЛЗТ-300*3000 020034</x:v>
      </x:c>
      <x:c r="D83" s="16" t="str">
        <x:v>Монтажн изд д/кабел</x:v>
      </x:c>
      <x:c r="E83" s="16" t="str">
        <x:v>ШТ</x:v>
      </x:c>
      <x:c r="F83" s="21" t="n">
        <x:v>1</x:v>
      </x:c>
      <x:c r="G83" s="17" t="n">
        <x:v>1075.4056</x:v>
      </x:c>
      <x:c r="H83" s="17" t="n">
        <x:f>G83*F83</x:f>
        <x:v>1075.4056</x:v>
      </x:c>
      <x:c r="I83" s="22" t="str">
        <x:f>HYPERLINK("https://etp-aktiv.ru/catalog/materialy/ehlektrotekhnicheskie-materialy/2000806957-V311/","Открыть позицию")</x:f>
        <x:v>Открыть позицию</x:v>
      </x:c>
    </x:row>
    <x:row r="84" ht="28" customHeight="1">
      <x:c r="A84" s="16" t="str">
        <x:v>Назаровская ГРЭС</x:v>
      </x:c>
      <x:c r="B84" s="16" t="str">
        <x:v>2000533007-V311</x:v>
      </x:c>
      <x:c r="C84" s="16" t="str">
        <x:v>НАКОНЕЧНИК Е4,0-09 (4009)UGN10-004-04-09</x:v>
      </x:c>
      <x:c r="D84" s="16" t="str">
        <x:v>Монтажн изд д/кабел</x:v>
      </x:c>
      <x:c r="E84" s="16" t="str">
        <x:v>ШТ</x:v>
      </x:c>
      <x:c r="F84" s="21" t="n">
        <x:v>100</x:v>
      </x:c>
      <x:c r="G84" s="17" t="n">
        <x:v>0.7442</x:v>
      </x:c>
      <x:c r="H84" s="17" t="n">
        <x:f>G84*F84</x:f>
        <x:v>74.42</x:v>
      </x:c>
      <x:c r="I84" s="22" t="str">
        <x:f>HYPERLINK("https://etp-aktiv.ru/catalog/materialy/ehlektrotekhnicheskie-materialy/2000533007-V311/","Открыть позицию")</x:f>
        <x:v>Открыть позицию</x:v>
      </x:c>
    </x:row>
    <x:row r="85" ht="28" customHeight="1">
      <x:c r="A85" s="16" t="str">
        <x:v>Назаровская ГРЭС</x:v>
      </x:c>
      <x:c r="B85" s="16" t="str">
        <x:v>2000807140-V311</x:v>
      </x:c>
      <x:c r="C85" s="16" t="str">
        <x:v>НАКОНЕЧНИК КАБ H2,5/15T GR 9021070000</x:v>
      </x:c>
      <x:c r="D85" s="16" t="str">
        <x:v>Монтажн изд д/кабел</x:v>
      </x:c>
      <x:c r="E85" s="16" t="str">
        <x:v>ШТ</x:v>
      </x:c>
      <x:c r="F85" s="21" t="n">
        <x:v>50</x:v>
      </x:c>
      <x:c r="G85" s="17" t="n">
        <x:v>3.1841999999999997</x:v>
      </x:c>
      <x:c r="H85" s="17" t="n">
        <x:f>G85*F85</x:f>
        <x:v>159.20999999999998</x:v>
      </x:c>
      <x:c r="I85" s="22" t="str">
        <x:f>HYPERLINK("https://etp-aktiv.ru/catalog/materialy/ehlektrotekhnicheskie-materialy/2000807140-V311/","Открыть позицию")</x:f>
        <x:v>Открыть позицию</x:v>
      </x:c>
    </x:row>
    <x:row r="86" ht="28" customHeight="1">
      <x:c r="A86" s="16" t="str">
        <x:v>Назаровская ГРЭС</x:v>
      </x:c>
      <x:c r="B86" s="16" t="str">
        <x:v>2000532959-V311</x:v>
      </x:c>
      <x:c r="C86" s="16" t="str">
        <x:v>НАКОНЕЧНИК МЕДНЫЙ JG-16 TDMSQ0509-0003</x:v>
      </x:c>
      <x:c r="D86" s="16" t="str">
        <x:v>Монтажн изд д/кабел</x:v>
      </x:c>
      <x:c r="E86" s="16" t="str">
        <x:v>ШТ</x:v>
      </x:c>
      <x:c r="F86" s="21" t="n">
        <x:v>25</x:v>
      </x:c>
      <x:c r="G86" s="17" t="n">
        <x:v>14.761999999999999</x:v>
      </x:c>
      <x:c r="H86" s="17" t="n">
        <x:f>G86*F86</x:f>
        <x:v>369.04999999999995</x:v>
      </x:c>
      <x:c r="I86" s="22" t="str">
        <x:f>HYPERLINK("https://etp-aktiv.ru/catalog/materialy/ehlektrotekhnicheskie-materialy/2000532959-V311/","Открыть позицию")</x:f>
        <x:v>Открыть позицию</x:v>
      </x:c>
    </x:row>
    <x:row r="87" ht="28" customHeight="1">
      <x:c r="A87" s="16" t="str">
        <x:v>Назаровская ГРЭС</x:v>
      </x:c>
      <x:c r="B87" s="16" t="str">
        <x:v>2000888041-V311</x:v>
      </x:c>
      <x:c r="C87" s="16" t="str">
        <x:v>НАКОНЕЧНИК НВИ 1,25-4 КРАСНЫЙ 100ШТ</x:v>
      </x:c>
      <x:c r="D87" s="16" t="str">
        <x:v>Монтажн изд д/кабел</x:v>
      </x:c>
      <x:c r="E87" s="16" t="str">
        <x:v>УПК</x:v>
      </x:c>
      <x:c r="F87" s="21" t="n">
        <x:v>1</x:v>
      </x:c>
      <x:c r="G87" s="17" t="n">
        <x:v>71.8336</x:v>
      </x:c>
      <x:c r="H87" s="17" t="n">
        <x:f>G87*F87</x:f>
        <x:v>71.8336</x:v>
      </x:c>
      <x:c r="I87" s="22" t="str">
        <x:f>HYPERLINK("https://etp-aktiv.ru/catalog/materialy/ehlektrotekhnicheskie-materialy/2000888041-V311/","Открыть позицию")</x:f>
        <x:v>Открыть позицию</x:v>
      </x:c>
    </x:row>
    <x:row r="88" ht="28" customHeight="1">
      <x:c r="A88" s="16" t="str">
        <x:v>Назаровская ГРЭС</x:v>
      </x:c>
      <x:c r="B88" s="16" t="str">
        <x:v>2000477819-V311</x:v>
      </x:c>
      <x:c r="C88" s="16" t="str">
        <x:v>ПЛАСТИНА МОНТАЖНАЯ DKC 59609</x:v>
      </x:c>
      <x:c r="D88" s="16" t="str">
        <x:v>Монтажн изд д/кабел</x:v>
      </x:c>
      <x:c r="E88" s="16" t="str">
        <x:v>ШТ</x:v>
      </x:c>
      <x:c r="F88" s="21" t="n">
        <x:v>2</x:v>
      </x:c>
      <x:c r="G88" s="17" t="n">
        <x:v>234.9964</x:v>
      </x:c>
      <x:c r="H88" s="17" t="n">
        <x:f>G88*F88</x:f>
        <x:v>469.9928</x:v>
      </x:c>
      <x:c r="I88" s="22" t="str">
        <x:f>HYPERLINK("https://etp-aktiv.ru/catalog/materialy/ehlektrotekhnicheskie-materialy/2000477819-V311/","Открыть позицию")</x:f>
        <x:v>Открыть позицию</x:v>
      </x:c>
    </x:row>
    <x:row r="89" ht="28" customHeight="1">
      <x:c r="A89" s="16" t="str">
        <x:v>Назаровская ГРЭС</x:v>
      </x:c>
      <x:c r="B89" s="16" t="str">
        <x:v>2000533045-V311</x:v>
      </x:c>
      <x:c r="C89" s="16" t="str">
        <x:v>ПОЛКА К1163 УЗ</x:v>
      </x:c>
      <x:c r="D89" s="16" t="str">
        <x:v>Монтажн изд д/кабел</x:v>
      </x:c>
      <x:c r="E89" s="16" t="str">
        <x:v>ШТ</x:v>
      </x:c>
      <x:c r="F89" s="21" t="n">
        <x:v>435</x:v>
      </x:c>
      <x:c r="G89" s="17" t="n">
        <x:v>58.486799999999995</x:v>
      </x:c>
      <x:c r="H89" s="17" t="n">
        <x:f>G89*F89</x:f>
        <x:v>25441.757999999998</x:v>
      </x:c>
      <x:c r="I89" s="22" t="str">
        <x:f>HYPERLINK("https://etp-aktiv.ru/catalog/materialy/ehlektrotekhnicheskie-materialy/2000533045-V311/","Открыть позицию")</x:f>
        <x:v>Открыть позицию</x:v>
      </x:c>
    </x:row>
    <x:row r="90" ht="28" customHeight="1">
      <x:c r="A90" s="16" t="str">
        <x:v>Назаровская ГРЭС</x:v>
      </x:c>
      <x:c r="B90" s="16" t="str">
        <x:v>2000566954-V311</x:v>
      </x:c>
      <x:c r="C90" s="16" t="str">
        <x:v>ПОЛКА КАБЕЛЬН К1161 УТ2,5 ТУ36.1496-85</x:v>
      </x:c>
      <x:c r="D90" s="16" t="str">
        <x:v>Монтажн изд д/кабел</x:v>
      </x:c>
      <x:c r="E90" s="16" t="str">
        <x:v>ШТ</x:v>
      </x:c>
      <x:c r="F90" s="21" t="n">
        <x:v>2</x:v>
      </x:c>
      <x:c r="G90" s="17" t="n">
        <x:v>35.733799999999995</x:v>
      </x:c>
      <x:c r="H90" s="17" t="n">
        <x:f>G90*F90</x:f>
        <x:v>71.46759999999999</x:v>
      </x:c>
      <x:c r="I90" s="22" t="str">
        <x:f>HYPERLINK("https://etp-aktiv.ru/catalog/materialy/ehlektrotekhnicheskie-materialy/2000566954-V311/","Открыть позицию")</x:f>
        <x:v>Открыть позицию</x:v>
      </x:c>
    </x:row>
    <x:row r="91" ht="28" customHeight="1">
      <x:c r="A91" s="16" t="str">
        <x:v>Назаровская ГРЭС</x:v>
      </x:c>
      <x:c r="B91" s="16" t="str">
        <x:v>2000531578-V311</x:v>
      </x:c>
      <x:c r="C91" s="16" t="str">
        <x:v>ПРОВОД МГШВ 1*0,25</x:v>
      </x:c>
      <x:c r="D91" s="16" t="str">
        <x:v>Кабель общ и провод</x:v>
      </x:c>
      <x:c r="E91" s="16" t="str">
        <x:v>М</x:v>
      </x:c>
      <x:c r="F91" s="21" t="n">
        <x:v>36</x:v>
      </x:c>
      <x:c r="G91" s="17" t="n">
        <x:v>44.6032</x:v>
      </x:c>
      <x:c r="H91" s="17" t="n">
        <x:f>G91*F91</x:f>
        <x:v>1605.7152</x:v>
      </x:c>
      <x:c r="I91" s="22" t="str">
        <x:f>HYPERLINK("https://etp-aktiv.ru/catalog/materialy/kabelno-provodnikovaya-produkciya/2000531578-V311/","Открыть позицию")</x:f>
        <x:v>Открыть позицию</x:v>
      </x:c>
    </x:row>
    <x:row r="92" ht="28" customHeight="1">
      <x:c r="A92" s="16" t="str">
        <x:v>Назаровская ГРЭС</x:v>
      </x:c>
      <x:c r="B92" s="16" t="str">
        <x:v>2000011809-V311</x:v>
      </x:c>
      <x:c r="C92" s="16" t="str">
        <x:v>ПРОВОД МГШВ 1*0,35</x:v>
      </x:c>
      <x:c r="D92" s="16" t="str">
        <x:v>Кабель общ и провод</x:v>
      </x:c>
      <x:c r="E92" s="16" t="str">
        <x:v>КМ</x:v>
      </x:c>
      <x:c r="F92" s="30" t="n">
        <x:v>0.55</x:v>
      </x:c>
      <x:c r="G92" s="17" t="n">
        <x:v>5356.3734</x:v>
      </x:c>
      <x:c r="H92" s="17" t="n">
        <x:f>G92*F92</x:f>
        <x:v>2946.0053700000003</x:v>
      </x:c>
      <x:c r="I92" s="22" t="str">
        <x:f>HYPERLINK("https://etp-aktiv.ru/catalog/materialy/kabelno-provodnikovaya-produkciya/2000011809-V311/","Открыть позицию")</x:f>
        <x:v>Открыть позицию</x:v>
      </x:c>
    </x:row>
    <x:row r="93" ht="28" customHeight="1">
      <x:c r="A93" s="16" t="str">
        <x:v>Назаровская ГРЭС</x:v>
      </x:c>
      <x:c r="B93" s="16" t="str">
        <x:v>2000178244-V311</x:v>
      </x:c>
      <x:c r="C93" s="16" t="str">
        <x:v>ПРОВОД ПВ-3 1*16</x:v>
      </x:c>
      <x:c r="D93" s="16" t="str">
        <x:v>Кабель общ и провод</x:v>
      </x:c>
      <x:c r="E93" s="16" t="str">
        <x:v>КМ</x:v>
      </x:c>
      <x:c r="F93" s="30" t="n">
        <x:v>0.013</x:v>
      </x:c>
      <x:c r="G93" s="17" t="n">
        <x:v>74611.2106</x:v>
      </x:c>
      <x:c r="H93" s="17" t="n">
        <x:f>G93*F93</x:f>
        <x:v>969.9457378000001</x:v>
      </x:c>
      <x:c r="I93" s="22" t="str">
        <x:f>HYPERLINK("https://etp-aktiv.ru/catalog/materialy/kabelno-provodnikovaya-produkciya/2000178244-V311/","Открыть позицию")</x:f>
        <x:v>Открыть позицию</x:v>
      </x:c>
    </x:row>
    <x:row r="94" ht="28" customHeight="1">
      <x:c r="A94" s="16" t="str">
        <x:v>Назаровская ГРЭС</x:v>
      </x:c>
      <x:c r="B94" s="16" t="str">
        <x:v>2000335396-V311</x:v>
      </x:c>
      <x:c r="C94" s="16" t="str">
        <x:v>ПРОВОД ПВ-4 З-Ж 2,5 ГОСТ6323-79</x:v>
      </x:c>
      <x:c r="D94" s="16" t="str">
        <x:v>Кабель общ и провод</x:v>
      </x:c>
      <x:c r="E94" s="16" t="str">
        <x:v>КМ</x:v>
      </x:c>
      <x:c r="F94" s="30" t="n">
        <x:v>0.02</x:v>
      </x:c>
      <x:c r="G94" s="17" t="n">
        <x:v>16099.425</x:v>
      </x:c>
      <x:c r="H94" s="17" t="n">
        <x:f>G94*F94</x:f>
        <x:v>321.9885</x:v>
      </x:c>
      <x:c r="I94" s="22" t="str">
        <x:f>HYPERLINK("https://etp-aktiv.ru/catalog/materialy/kabelno-provodnikovaya-produkciya/2000335396-V311/","Открыть позицию")</x:f>
        <x:v>Открыть позицию</x:v>
      </x:c>
    </x:row>
    <x:row r="95" ht="28" customHeight="1">
      <x:c r="A95" s="16" t="str">
        <x:v>Назаровская ГРЭС</x:v>
      </x:c>
      <x:c r="B95" s="16" t="str">
        <x:v>2000531598-V311</x:v>
      </x:c>
      <x:c r="C95" s="16" t="str">
        <x:v>ПРОВОД ПВСнг-LS 3*2,5</x:v>
      </x:c>
      <x:c r="D95" s="16" t="str">
        <x:v>Кабель общ и провод</x:v>
      </x:c>
      <x:c r="E95" s="16" t="str">
        <x:v>М</x:v>
      </x:c>
      <x:c r="F95" s="21" t="n">
        <x:v>20</x:v>
      </x:c>
      <x:c r="G95" s="17" t="n">
        <x:v>57.644999999999996</x:v>
      </x:c>
      <x:c r="H95" s="17" t="n">
        <x:f>G95*F95</x:f>
        <x:v>1152.8999999999999</x:v>
      </x:c>
      <x:c r="I95" s="22" t="str">
        <x:f>HYPERLINK("https://etp-aktiv.ru/catalog/materialy/kabelno-provodnikovaya-produkciya/2000531598-V311/","Открыть позицию")</x:f>
        <x:v>Открыть позицию</x:v>
      </x:c>
    </x:row>
    <x:row r="96" ht="28" customHeight="1">
      <x:c r="A96" s="16" t="str">
        <x:v>Назаровская ГРЭС</x:v>
      </x:c>
      <x:c r="B96" s="16" t="str">
        <x:v>2000531627-V311</x:v>
      </x:c>
      <x:c r="C96" s="16" t="str">
        <x:v>ПРОВОД ПУВ 1*4</x:v>
      </x:c>
      <x:c r="D96" s="16" t="str">
        <x:v>Кабель общ и провод</x:v>
      </x:c>
      <x:c r="E96" s="16" t="str">
        <x:v>М</x:v>
      </x:c>
      <x:c r="F96" s="21" t="n">
        <x:v>30</x:v>
      </x:c>
      <x:c r="G96" s="17" t="n">
        <x:v>28.3894</x:v>
      </x:c>
      <x:c r="H96" s="17" t="n">
        <x:f>G96*F96</x:f>
        <x:v>851.6819999999999</x:v>
      </x:c>
      <x:c r="I96" s="22" t="str">
        <x:f>HYPERLINK("https://etp-aktiv.ru/catalog/materialy/kabelno-provodnikovaya-produkciya/2000531627-V311/","Открыть позицию")</x:f>
        <x:v>Открыть позицию</x:v>
      </x:c>
    </x:row>
    <x:row r="97" ht="28" customHeight="1">
      <x:c r="A97" s="16" t="str">
        <x:v>Назаровская ГРЭС</x:v>
      </x:c>
      <x:c r="B97" s="16" t="str">
        <x:v>2000569892-V311</x:v>
      </x:c>
      <x:c r="C97" s="16" t="str">
        <x:v>ПРОВОД ПУГВ 1*1,5 (М)</x:v>
      </x:c>
      <x:c r="D97" s="16" t="str">
        <x:v>Кабель общ и провод</x:v>
      </x:c>
      <x:c r="E97" s="16" t="str">
        <x:v>М</x:v>
      </x:c>
      <x:c r="F97" s="21" t="n">
        <x:v>40</x:v>
      </x:c>
      <x:c r="G97" s="17" t="n">
        <x:v>11.3826</x:v>
      </x:c>
      <x:c r="H97" s="17" t="n">
        <x:f>G97*F97</x:f>
        <x:v>455.304</x:v>
      </x:c>
      <x:c r="I97" s="22" t="str">
        <x:f>HYPERLINK("https://etp-aktiv.ru/catalog/materialy/kabelno-provodnikovaya-produkciya/2000569892-V311/","Открыть позицию")</x:f>
        <x:v>Открыть позицию</x:v>
      </x:c>
    </x:row>
    <x:row r="98" ht="28" customHeight="1">
      <x:c r="A98" s="16" t="str">
        <x:v>Назаровская ГРЭС</x:v>
      </x:c>
      <x:c r="B98" s="16" t="str">
        <x:v>2000565002-V311</x:v>
      </x:c>
      <x:c r="C98" s="16" t="str">
        <x:v>ПРОВОД ПУГВ 2,5 (М)</x:v>
      </x:c>
      <x:c r="D98" s="16" t="str">
        <x:v>Кабель общ и провод</x:v>
      </x:c>
      <x:c r="E98" s="16" t="str">
        <x:v>М</x:v>
      </x:c>
      <x:c r="F98" s="21" t="n">
        <x:v>7</x:v>
      </x:c>
      <x:c r="G98" s="17" t="n">
        <x:v>14.0422</x:v>
      </x:c>
      <x:c r="H98" s="17" t="n">
        <x:f>G98*F98</x:f>
        <x:v>98.2954</x:v>
      </x:c>
      <x:c r="I98" s="22" t="str">
        <x:f>HYPERLINK("https://etp-aktiv.ru/catalog/materialy/kabelno-provodnikovaya-produkciya/2000565002-V311/","Открыть позицию")</x:f>
        <x:v>Открыть позицию</x:v>
      </x:c>
    </x:row>
    <x:row r="99" ht="28" customHeight="1">
      <x:c r="A99" s="16" t="str">
        <x:v>Назаровская ГРЭС</x:v>
      </x:c>
      <x:c r="B99" s="16" t="str">
        <x:v>2000035715-V311</x:v>
      </x:c>
      <x:c r="C99" s="16" t="str">
        <x:v>ПРОВОД ПЩ 4</x:v>
      </x:c>
      <x:c r="D99" s="16" t="str">
        <x:v>Кабель общ и провод</x:v>
      </x:c>
      <x:c r="E99" s="16" t="str">
        <x:v>КГ</x:v>
      </x:c>
      <x:c r="F99" s="26" t="n">
        <x:v>7.912</x:v>
      </x:c>
      <x:c r="G99" s="17" t="n">
        <x:v>1423.1056</x:v>
      </x:c>
      <x:c r="H99" s="17" t="n">
        <x:f>G99*F99</x:f>
        <x:v>11259.611507200001</x:v>
      </x:c>
      <x:c r="I99" s="22" t="str">
        <x:f>HYPERLINK("https://etp-aktiv.ru/catalog/materialy/kabelno-provodnikovaya-produkciya/2000035715-V311/","Открыть позицию")</x:f>
        <x:v>Открыть позицию</x:v>
      </x:c>
    </x:row>
    <x:row r="100" ht="28" customHeight="1">
      <x:c r="A100" s="16" t="str">
        <x:v>Назаровская ГРЭС</x:v>
      </x:c>
      <x:c r="B100" s="16" t="str">
        <x:v>2000532112-V311</x:v>
      </x:c>
      <x:c r="C100" s="16" t="str">
        <x:v>ПЫЛЕПРОВОД 118.23.43.000МЧ</x:v>
      </x:c>
      <x:c r="D100" s="16" t="str">
        <x:v>ЗЧ к КВО</x:v>
      </x:c>
      <x:c r="E100" s="16" t="str">
        <x:v>Т</x:v>
      </x:c>
      <x:c r="F100" s="26" t="n">
        <x:v>10.11</x:v>
      </x:c>
      <x:c r="G100" s="17" t="n">
        <x:v>111461.11540000001</x:v>
      </x:c>
      <x:c r="H100" s="17" t="n">
        <x:f>G100*F100</x:f>
        <x:v>1126871.876694</x:v>
      </x:c>
      <x:c r="I100" s="22" t="str">
        <x:f>HYPERLINK("https://etp-aktiv.ru/catalog/materialy/zapasnye-chasti-osnovnogo-ehnergeticheskogo-oborudovaniya/2000532112-V311/","Открыть позицию")</x:f>
        <x:v>Открыть позицию</x:v>
      </x:c>
    </x:row>
    <x:row r="101" ht="28" customHeight="1">
      <x:c r="A101" s="16" t="str">
        <x:v>Назаровская ГРЭС</x:v>
      </x:c>
      <x:c r="B101" s="16" t="str">
        <x:v>2000533078-V311</x:v>
      </x:c>
      <x:c r="C101" s="16" t="str">
        <x:v>РАЗЪЕМ D-SUB DB-15M</x:v>
      </x:c>
      <x:c r="D101" s="16" t="str">
        <x:v>Монтажн изд д/кабел</x:v>
      </x:c>
      <x:c r="E101" s="16" t="str">
        <x:v>ШТ</x:v>
      </x:c>
      <x:c r="F101" s="21" t="n">
        <x:v>2</x:v>
      </x:c>
      <x:c r="G101" s="17" t="n">
        <x:v>15.1036</x:v>
      </x:c>
      <x:c r="H101" s="17" t="n">
        <x:f>G101*F101</x:f>
        <x:v>30.2072</x:v>
      </x:c>
      <x:c r="I101" s="22" t="str">
        <x:f>HYPERLINK("https://etp-aktiv.ru/catalog/materialy/ehlektrotekhnicheskie-materialy/2000533078-V311/","Открыть позицию")</x:f>
        <x:v>Открыть позицию</x:v>
      </x:c>
    </x:row>
    <x:row r="102" ht="28" customHeight="1">
      <x:c r="A102" s="16" t="str">
        <x:v>Назаровская ГРЭС</x:v>
      </x:c>
      <x:c r="B102" s="16" t="str">
        <x:v>2000251371-V311</x:v>
      </x:c>
      <x:c r="C102" s="16" t="str">
        <x:v>САЛЬНИК PG 9 6-7ММ</x:v>
      </x:c>
      <x:c r="D102" s="16" t="str">
        <x:v>Монтажн изд д/кабел</x:v>
      </x:c>
      <x:c r="E102" s="16" t="str">
        <x:v>ШТ</x:v>
      </x:c>
      <x:c r="F102" s="21" t="n">
        <x:v>2</x:v>
      </x:c>
      <x:c r="G102" s="17" t="n">
        <x:v>5.2459999999999996</x:v>
      </x:c>
      <x:c r="H102" s="17" t="n">
        <x:f>G102*F102</x:f>
        <x:v>10.491999999999999</x:v>
      </x:c>
      <x:c r="I102" s="22" t="str">
        <x:f>HYPERLINK("https://etp-aktiv.ru/catalog/materialy/ehlektrotekhnicheskie-materialy/2000251371-V311/","Открыть позицию")</x:f>
        <x:v>Открыть позицию</x:v>
      </x:c>
    </x:row>
    <x:row r="103" ht="28" customHeight="1">
      <x:c r="A103" s="16" t="str">
        <x:v>Назаровская ГРЭС</x:v>
      </x:c>
      <x:c r="B103" s="16" t="str">
        <x:v>2000533145-V311</x:v>
      </x:c>
      <x:c r="C103" s="16" t="str">
        <x:v>СТОЙКА К1150 УХЛ2,5</x:v>
      </x:c>
      <x:c r="D103" s="16" t="str">
        <x:v>Монтажн изд д/кабел</x:v>
      </x:c>
      <x:c r="E103" s="16" t="str">
        <x:v>ШТ</x:v>
      </x:c>
      <x:c r="F103" s="21" t="n">
        <x:v>63</x:v>
      </x:c>
      <x:c r="G103" s="17" t="n">
        <x:v>50.5812</x:v>
      </x:c>
      <x:c r="H103" s="17" t="n">
        <x:f>G103*F103</x:f>
        <x:v>3186.6156</x:v>
      </x:c>
      <x:c r="I103" s="22" t="str">
        <x:f>HYPERLINK("https://etp-aktiv.ru/catalog/materialy/ehlektrotekhnicheskie-materialy/2000533145-V311/","Открыть позицию")</x:f>
        <x:v>Открыть позицию</x:v>
      </x:c>
    </x:row>
    <x:row r="104" ht="28" customHeight="1">
      <x:c r="A104" s="16" t="str">
        <x:v>Назаровская ГРЭС</x:v>
      </x:c>
      <x:c r="B104" s="16" t="str">
        <x:v>2000076058-V311</x:v>
      </x:c>
      <x:c r="C104" s="16" t="str">
        <x:v>СТОЙКА КАБЕЛЬНАЯ К1151 УЗ</x:v>
      </x:c>
      <x:c r="D104" s="16" t="str">
        <x:v>Монтажн изд д/кабел</x:v>
      </x:c>
      <x:c r="E104" s="16" t="str">
        <x:v>ШТ</x:v>
      </x:c>
      <x:c r="F104" s="21" t="n">
        <x:v>10</x:v>
      </x:c>
      <x:c r="G104" s="17" t="n">
        <x:v>94.0498</x:v>
      </x:c>
      <x:c r="H104" s="17" t="n">
        <x:f>G104*F104</x:f>
        <x:v>940.498</x:v>
      </x:c>
      <x:c r="I104" s="22" t="str">
        <x:f>HYPERLINK("https://etp-aktiv.ru/catalog/materialy/ehlektrotekhnicheskie-materialy/2000076058-V311/","Открыть позицию")</x:f>
        <x:v>Открыть позицию</x:v>
      </x:c>
    </x:row>
    <x:row r="105" ht="28" customHeight="1">
      <x:c r="A105" s="16" t="str">
        <x:v>Назаровская ГРЭС</x:v>
      </x:c>
      <x:c r="B105" s="16" t="str">
        <x:v>2000489309-V311</x:v>
      </x:c>
      <x:c r="C105" s="16" t="str">
        <x:v>СТОЙКА КАБЕЛЬНАЯ К1152УЗ</x:v>
      </x:c>
      <x:c r="D105" s="16" t="str">
        <x:v>Монтажн изд д/кабел</x:v>
      </x:c>
      <x:c r="E105" s="16" t="str">
        <x:v>ШТ</x:v>
      </x:c>
      <x:c r="F105" s="21" t="n">
        <x:v>55</x:v>
      </x:c>
      <x:c r="G105" s="17" t="n">
        <x:v>123.3298</x:v>
      </x:c>
      <x:c r="H105" s="17" t="n">
        <x:f>G105*F105</x:f>
        <x:v>6783.139</x:v>
      </x:c>
      <x:c r="I105" s="22" t="str">
        <x:f>HYPERLINK("https://etp-aktiv.ru/catalog/materialy/ehlektrotekhnicheskie-materialy/2000489309-V311/","Открыть позицию")</x:f>
        <x:v>Открыть позицию</x:v>
      </x:c>
    </x:row>
    <x:row r="106" ht="28" customHeight="1">
      <x:c r="A106" s="16" t="str">
        <x:v>Назаровская ГРЭС</x:v>
      </x:c>
      <x:c r="B106" s="16" t="str">
        <x:v>2000566953-V311</x:v>
      </x:c>
      <x:c r="C106" s="16" t="str">
        <x:v>СТОЙКА КАБЕЛЬНАЯ К1153Ц УТ2,5</x:v>
      </x:c>
      <x:c r="D106" s="16" t="str">
        <x:v>Монтажн изд д/кабел</x:v>
      </x:c>
      <x:c r="E106" s="16" t="str">
        <x:v>ШТ</x:v>
      </x:c>
      <x:c r="F106" s="21" t="n">
        <x:v>55</x:v>
      </x:c>
      <x:c r="G106" s="17" t="n">
        <x:v>163.5288</x:v>
      </x:c>
      <x:c r="H106" s="17" t="n">
        <x:f>G106*F106</x:f>
        <x:v>8994.083999999999</x:v>
      </x:c>
      <x:c r="I106" s="22" t="str">
        <x:f>HYPERLINK("https://etp-aktiv.ru/catalog/materialy/ehlektrotekhnicheskie-materialy/2000566953-V311/","Открыть позицию")</x:f>
        <x:v>Открыть позицию</x:v>
      </x:c>
    </x:row>
    <x:row r="107" ht="28" customHeight="1">
      <x:c r="A107" s="16" t="str">
        <x:v>Назаровская ГРЭС</x:v>
      </x:c>
      <x:c r="B107" s="16" t="str">
        <x:v>2000314005-V311</x:v>
      </x:c>
      <x:c r="C107" s="16" t="str">
        <x:v>УГОЛОК ПЕРФОРИРОВАННЫЙ К-237 У2</x:v>
      </x:c>
      <x:c r="D107" s="16" t="str">
        <x:v>Монтажн изд д/кабел</x:v>
      </x:c>
      <x:c r="E107" s="16" t="str">
        <x:v>ШТ</x:v>
      </x:c>
      <x:c r="F107" s="21" t="n">
        <x:v>3</x:v>
      </x:c>
      <x:c r="G107" s="17" t="n">
        <x:v>483.55920000000003</x:v>
      </x:c>
      <x:c r="H107" s="17" t="n">
        <x:f>G107*F107</x:f>
        <x:v>1450.6776</x:v>
      </x:c>
      <x:c r="I107" s="22" t="str">
        <x:f>HYPERLINK("https://etp-aktiv.ru/catalog/materialy/ehlektrotekhnicheskie-materialy/2000314005-V311/","Открыть позицию")</x:f>
        <x:v>Открыть позицию</x:v>
      </x:c>
    </x:row>
    <x:row r="108" ht="28" customHeight="1">
      <x:c r="A108" s="16" t="str">
        <x:v>Назаровская ГРЭС</x:v>
      </x:c>
      <x:c r="B108" s="16" t="str">
        <x:v>2000533248-V311</x:v>
      </x:c>
      <x:c r="C108" s="16" t="str">
        <x:v>УГОЛОК ПЕРФОРИРОВАННЫЙ УП 35*35*2000</x:v>
      </x:c>
      <x:c r="D108" s="16" t="str">
        <x:v>Монтажн изд д/кабел</x:v>
      </x:c>
      <x:c r="E108" s="16" t="str">
        <x:v>ШТ</x:v>
      </x:c>
      <x:c r="F108" s="21" t="n">
        <x:v>8</x:v>
      </x:c>
      <x:c r="G108" s="17" t="n">
        <x:v>488.1952</x:v>
      </x:c>
      <x:c r="H108" s="17" t="n">
        <x:f>G108*F108</x:f>
        <x:v>3905.5616</x:v>
      </x:c>
      <x:c r="I108" s="22" t="str">
        <x:f>HYPERLINK("https://etp-aktiv.ru/catalog/materialy/ehlektrotekhnicheskie-materialy/2000533248-V311/","Открыть позицию")</x:f>
        <x:v>Открыть позицию</x:v>
      </x:c>
    </x:row>
    <x:row r="109" ht="28" customHeight="1">
      <x:c r="A109" s="16" t="str">
        <x:v>Назаровская ГРЭС</x:v>
      </x:c>
      <x:c r="B109" s="16" t="str">
        <x:v>2001013167-V311</x:v>
      </x:c>
      <x:c r="C109" s="16" t="str">
        <x:v>ЧУЛОК КАБЕЛЬНЫЙ КЧС40/1УВ 30-40ММ</x:v>
      </x:c>
      <x:c r="D109" s="16" t="str">
        <x:v>Монтажн изд д/кабел</x:v>
      </x:c>
      <x:c r="E109" s="16" t="str">
        <x:v>ШТ</x:v>
      </x:c>
      <x:c r="F109" s="21" t="n">
        <x:v>1</x:v>
      </x:c>
      <x:c r="G109" s="17" t="n">
        <x:v>1486.5944</x:v>
      </x:c>
      <x:c r="H109" s="17" t="n">
        <x:f>G109*F109</x:f>
        <x:v>1486.5944</x:v>
      </x:c>
      <x:c r="I109" s="22" t="str">
        <x:f>HYPERLINK("https://etp-aktiv.ru/catalog/materialy/ehlektrotekhnicheskie-materialy/2001013167-V311/","Открыть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08a011b98b464f59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Электрооборудование, КИПиА и связь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Канская ТЭЦ</x:v>
      </x:c>
      <x:c r="B5" s="16" t="str">
        <x:v>2000291429-V141</x:v>
      </x:c>
      <x:c r="C5" s="16" t="str">
        <x:v>А ЛАМПА А12-5</x:v>
      </x:c>
      <x:c r="D5" s="16" t="str">
        <x:v>Освет и э/установоч</x:v>
      </x:c>
      <x:c r="E5" s="16" t="str">
        <x:v>ШТ</x:v>
      </x:c>
      <x:c r="F5" s="21" t="n">
        <x:v>20</x:v>
      </x:c>
      <x:c r="G5" s="17" t="n">
        <x:v>10.2602</x:v>
      </x:c>
      <x:c r="H5" s="17" t="n">
        <x:f>G5*F5</x:f>
        <x:v>205.20399999999998</x:v>
      </x:c>
      <x:c r="I5" s="22" t="str">
        <x:f>HYPERLINK("https://etp-aktiv.ru/catalog/materialy/ehlektrotekhnicheskie-materialy/2000291429-V141/","Открыть позицию")</x:f>
        <x:v>Открыть позицию</x:v>
      </x:c>
    </x:row>
    <x:row r="6" ht="28" customHeight="1">
      <x:c r="A6" s="16" t="str">
        <x:v>Канская ТЭЦ</x:v>
      </x:c>
      <x:c r="B6" s="16" t="str">
        <x:v>2000268572-V141</x:v>
      </x:c>
      <x:c r="C6" s="16" t="str">
        <x:v>КОРОБКА КЛЕММН КЗНС-32 У3 IP65 16А/220В</x:v>
      </x:c>
      <x:c r="D6" s="16" t="str">
        <x:v>Освет и э/установоч</x:v>
      </x:c>
      <x:c r="E6" s="16" t="str">
        <x:v>ШТ</x:v>
      </x:c>
      <x:c r="F6" s="21" t="n">
        <x:v>2</x:v>
      </x:c>
      <x:c r="G6" s="17" t="n">
        <x:v>2320.1716</x:v>
      </x:c>
      <x:c r="H6" s="17" t="n">
        <x:f>G6*F6</x:f>
        <x:v>4640.3432</x:v>
      </x:c>
      <x:c r="I6" s="22" t="str">
        <x:f>HYPERLINK("https://etp-aktiv.ru/catalog/materialy/ehlektrotekhnicheskie-materialy/2000268572-V141/","Открыть позицию")</x:f>
        <x:v>Открыть позицию</x:v>
      </x:c>
    </x:row>
    <x:row r="7" ht="28" customHeight="1">
      <x:c r="A7" s="16" t="str">
        <x:v>Канская ТЭЦ</x:v>
      </x:c>
      <x:c r="B7" s="16" t="str">
        <x:v>2000320801-V141</x:v>
      </x:c>
      <x:c r="C7" s="16" t="str">
        <x:v>КОРОБКА МОНТАЖНАЯ КЗНС-08 IP54 220В</x:v>
      </x:c>
      <x:c r="D7" s="16" t="str">
        <x:v>Освет и э/установоч</x:v>
      </x:c>
      <x:c r="E7" s="16" t="str">
        <x:v>ШТ</x:v>
      </x:c>
      <x:c r="F7" s="21" t="n">
        <x:v>4</x:v>
      </x:c>
      <x:c r="G7" s="17" t="n">
        <x:v>713.1388</x:v>
      </x:c>
      <x:c r="H7" s="17" t="n">
        <x:f>G7*F7</x:f>
        <x:v>2852.5552</x:v>
      </x:c>
      <x:c r="I7" s="22" t="str">
        <x:f>HYPERLINK("https://etp-aktiv.ru/catalog/materialy/ehlektrotekhnicheskie-materialy/2000320801-V141/","Открыть позицию")</x:f>
        <x:v>Открыть позицию</x:v>
      </x:c>
    </x:row>
    <x:row r="8" ht="28" customHeight="1">
      <x:c r="A8" s="16" t="str">
        <x:v>Канская ТЭЦ</x:v>
      </x:c>
      <x:c r="B8" s="16" t="str">
        <x:v>2000545259-V141</x:v>
      </x:c>
      <x:c r="C8" s="16" t="str">
        <x:v>ЛАМПА NH-JCDR35-230-GU5.3 35ВТ GU5.3</x:v>
      </x:c>
      <x:c r="D8" s="16" t="str">
        <x:v>Освет и э/установоч</x:v>
      </x:c>
      <x:c r="E8" s="16" t="str">
        <x:v>ШТ</x:v>
      </x:c>
      <x:c r="F8" s="21" t="n">
        <x:v>7</x:v>
      </x:c>
      <x:c r="G8" s="17" t="n">
        <x:v>11.8828</x:v>
      </x:c>
      <x:c r="H8" s="17" t="n">
        <x:f>G8*F8</x:f>
        <x:v>83.1796</x:v>
      </x:c>
      <x:c r="I8" s="22" t="str">
        <x:f>HYPERLINK("https://etp-aktiv.ru/catalog/materialy/ehlektrotekhnicheskie-materialy/2000545259-V141/","Открыть позицию")</x:f>
        <x:v>Открыть позицию</x:v>
      </x:c>
    </x:row>
    <x:row r="9" ht="28" customHeight="1">
      <x:c r="A9" s="16" t="str">
        <x:v>Канская ТЭЦ</x:v>
      </x:c>
      <x:c r="B9" s="16" t="str">
        <x:v>2000069167-V141</x:v>
      </x:c>
      <x:c r="C9" s="16" t="str">
        <x:v>ЭЛЕКТРОКАРТОН ЭВ 2,0ММ</x:v>
      </x:c>
      <x:c r="D9" s="16" t="str">
        <x:v>Э/изоляцион мат-лы</x:v>
      </x:c>
      <x:c r="E9" s="16" t="str">
        <x:v>КГ</x:v>
      </x:c>
      <x:c r="F9" s="26" t="n">
        <x:v>1.3</x:v>
      </x:c>
      <x:c r="G9" s="17" t="n">
        <x:v>178.42499999999998</x:v>
      </x:c>
      <x:c r="H9" s="17" t="n">
        <x:f>G9*F9</x:f>
        <x:v>231.9525</x:v>
      </x:c>
      <x:c r="I9" s="22" t="str">
        <x:f>HYPERLINK("https://etp-aktiv.ru/catalog/materialy/ehlektroizolyacionnye-materialy/2000069167-V141/","Открыть позицию")</x:f>
        <x:v>Открыть позицию</x:v>
      </x:c>
    </x:row>
    <x:row r="10" ht="28" customHeight="1">
      <x:c r="A10" s="16" t="str">
        <x:v>КрасТЭК</x:v>
      </x:c>
      <x:c r="B10" s="16" t="str">
        <x:v>2000568698-VG11</x:v>
      </x:c>
      <x:c r="C10" s="16" t="str">
        <x:v>БЛОК ПИТАНИЯ TELEOFIS PS12-500S</x:v>
      </x:c>
      <x:c r="D10" s="16" t="str">
        <x:v>Компл,ЗЧ Оф/КомпОб</x:v>
      </x:c>
      <x:c r="E10" s="16" t="str">
        <x:v>ШТ</x:v>
      </x:c>
      <x:c r="F10" s="21" t="n">
        <x:v>1</x:v>
      </x:c>
      <x:c r="G10" s="17" t="n">
        <x:v>173.7036</x:v>
      </x:c>
      <x:c r="H10" s="17" t="n">
        <x:f>G10*F10</x:f>
        <x:v>173.7036</x:v>
      </x:c>
      <x:c r="I10" s="22" t="str">
        <x:f>HYPERLINK("https://etp-aktiv.ru/catalog/materialy/komplektuyushchie-i-zapasnye-chasti-k-kompyuternomu-i-ofisnomu-oborudovaniyu/2000568698-VG11/","Открыть позицию")</x:f>
        <x:v>Открыть позицию</x:v>
      </x:c>
    </x:row>
    <x:row r="11" ht="28" customHeight="1">
      <x:c r="A11" s="16" t="str">
        <x:v>КрасТЭК</x:v>
      </x:c>
      <x:c r="B11" s="16" t="str">
        <x:v>2000567391-VG11</x:v>
      </x:c>
      <x:c r="C11" s="16" t="str">
        <x:v>БЛОК ПИТАНИЯ БП 906/24-2-100-T1060</x:v>
      </x:c>
      <x:c r="D11" s="16" t="str">
        <x:v>ЗЧ КИПиА</x:v>
      </x:c>
      <x:c r="E11" s="16" t="str">
        <x:v>ШТ</x:v>
      </x:c>
      <x:c r="F11" s="21" t="n">
        <x:v>1</x:v>
      </x:c>
      <x:c r="G11" s="17" t="n">
        <x:v>1661.2252</x:v>
      </x:c>
      <x:c r="H11" s="17" t="n">
        <x:f>G11*F11</x:f>
        <x:v>1661.2252</x:v>
      </x:c>
      <x:c r="I11" s="22" t="str">
        <x:f>HYPERLINK("https://etp-aktiv.ru/catalog/materialy/zapasnye-chasti-i-prinadlezhnosti-dlya-priborov-kipia/2000567391-VG11/","Открыть позицию")</x:f>
        <x:v>Открыть позицию</x:v>
      </x:c>
    </x:row>
    <x:row r="12" ht="28" customHeight="1">
      <x:c r="A12" s="16" t="str">
        <x:v>КрасТЭК</x:v>
      </x:c>
      <x:c r="B12" s="16" t="str">
        <x:v>2000516090-VG11</x:v>
      </x:c>
      <x:c r="C12" s="16" t="str">
        <x:v>ГАЗОАНАЛИЗАТОР S155280</x:v>
      </x:c>
      <x:c r="D12" s="16" t="str">
        <x:v>ЗЧ к ГШО SCHARF</x:v>
      </x:c>
      <x:c r="E12" s="16" t="str">
        <x:v>ШТ</x:v>
      </x:c>
      <x:c r="F12" s="21" t="n">
        <x:v>1</x:v>
      </x:c>
      <x:c r="G12" s="17" t="n">
        <x:v>180438.549</x:v>
      </x:c>
      <x:c r="H12" s="17" t="n">
        <x:f>G12*F12</x:f>
        <x:v>180438.549</x:v>
      </x:c>
      <x:c r="I12" s="22" t="str">
        <x:f>HYPERLINK("https://etp-aktiv.ru/catalog/materialy/zapasnye-chasti-k-gorno-shahtnomu-oborudovaniyu/2000516090-VG11/","Открыть позицию")</x:f>
        <x:v>Открыть позицию</x:v>
      </x:c>
    </x:row>
    <x:row r="13" ht="28" customHeight="1">
      <x:c r="A13" s="16" t="str">
        <x:v>КрасТЭК</x:v>
      </x:c>
      <x:c r="B13" s="16" t="str">
        <x:v>140264-VG11</x:v>
      </x:c>
      <x:c r="C13" s="16" t="str">
        <x:v>Газоанализатор МАК-2000-UMS</x:v>
      </x:c>
      <x:c r="D13" s="16" t="str"/>
      <x:c r="E13" s="16" t="str"/>
      <x:c r="F13" s="21" t="n">
        <x:v>1</x:v>
      </x:c>
      <x:c r="G13" s="17" t="n">
        <x:v>180438.549</x:v>
      </x:c>
      <x:c r="H13" s="17" t="n">
        <x:f>G13*F13</x:f>
        <x:v>180438.549</x:v>
      </x:c>
      <x:c r="I13" s="22" t="str">
        <x:f>HYPERLINK("https://etp-aktiv.ru/catalog/oborudovanie/prochee/140264-VG11/","Открыть позицию")</x:f>
        <x:v>Открыть позицию</x:v>
      </x:c>
    </x:row>
    <x:row r="14" ht="28" customHeight="1">
      <x:c r="A14" s="16" t="str">
        <x:v>КрасТЭК</x:v>
      </x:c>
      <x:c r="B14" s="16" t="str">
        <x:v>2000130037-VG11</x:v>
      </x:c>
      <x:c r="C14" s="16" t="str">
        <x:v>ДАТЧИК ДАВЛЕНИЯ ДДМ-2500 ДИ</x:v>
      </x:c>
      <x:c r="D14" s="16" t="str">
        <x:v>ЗЧ КИПиА</x:v>
      </x:c>
      <x:c r="E14" s="16" t="str">
        <x:v>ШТ</x:v>
      </x:c>
      <x:c r="F14" s="21" t="n">
        <x:v>4</x:v>
      </x:c>
      <x:c r="G14" s="17" t="n">
        <x:v>1630.3103999999998</x:v>
      </x:c>
      <x:c r="H14" s="17" t="n">
        <x:f>G14*F14</x:f>
        <x:v>6521.241599999999</x:v>
      </x:c>
      <x:c r="I14" s="22" t="str">
        <x:f>HYPERLINK("https://etp-aktiv.ru/catalog/materialy/zapasnye-chasti-i-prinadlezhnosti-dlya-priborov-kipia/2000130037-VG11/","Открыть позицию")</x:f>
        <x:v>Открыть позицию</x:v>
      </x:c>
    </x:row>
    <x:row r="15" ht="28" customHeight="1">
      <x:c r="A15" s="16" t="str">
        <x:v>КрасТЭК</x:v>
      </x:c>
      <x:c r="B15" s="16" t="str">
        <x:v>2000592980-VG11</x:v>
      </x:c>
      <x:c r="C15" s="16" t="str">
        <x:v>ДАТЧИК ОВЕН-ПДУ-2.2.650.К.250/3</x:v>
      </x:c>
      <x:c r="D15" s="16" t="str">
        <x:v>ЗЧ КИПиА</x:v>
      </x:c>
      <x:c r="E15" s="16" t="str">
        <x:v>ШТ</x:v>
      </x:c>
      <x:c r="F15" s="21" t="n">
        <x:v>2</x:v>
      </x:c>
      <x:c r="G15" s="17" t="n">
        <x:v>2350.1958</x:v>
      </x:c>
      <x:c r="H15" s="17" t="n">
        <x:f>G15*F15</x:f>
        <x:v>4700.3916</x:v>
      </x:c>
      <x:c r="I15" s="22" t="str">
        <x:f>HYPERLINK("https://etp-aktiv.ru/catalog/materialy/zapasnye-chasti-i-prinadlezhnosti-dlya-priborov-kipia/2000592980-VG11/","Открыть позицию")</x:f>
        <x:v>Открыть позицию</x:v>
      </x:c>
    </x:row>
    <x:row r="16" ht="28" customHeight="1">
      <x:c r="A16" s="16" t="str">
        <x:v>КрасТЭК</x:v>
      </x:c>
      <x:c r="B16" s="16" t="str">
        <x:v>2000712586-VG11</x:v>
      </x:c>
      <x:c r="C16" s="16" t="str">
        <x:v>ИЗМЕРИТЕЛЬ АНАЛОГ СИГ ОВЕН ИТП-16.ЗЛ.Щ9К</x:v>
      </x:c>
      <x:c r="D16" s="16" t="str">
        <x:v>ЗЧ КИПиА</x:v>
      </x:c>
      <x:c r="E16" s="16" t="str">
        <x:v>ШТ</x:v>
      </x:c>
      <x:c r="F16" s="21" t="n">
        <x:v>5</x:v>
      </x:c>
      <x:c r="G16" s="17" t="n">
        <x:v>864.1992</x:v>
      </x:c>
      <x:c r="H16" s="17" t="n">
        <x:f>G16*F16</x:f>
        <x:v>4320.996</x:v>
      </x:c>
      <x:c r="I16" s="22" t="str">
        <x:f>HYPERLINK("https://etp-aktiv.ru/catalog/materialy/zapasnye-chasti-i-prinadlezhnosti-dlya-priborov-kipia/2000712586-VG11/","Открыть позицию")</x:f>
        <x:v>Открыть позицию</x:v>
      </x:c>
    </x:row>
    <x:row r="17" ht="28" customHeight="1">
      <x:c r="A17" s="16" t="str">
        <x:v>КрасТЭК</x:v>
      </x:c>
      <x:c r="B17" s="16" t="str">
        <x:v>2000712585-VG11</x:v>
      </x:c>
      <x:c r="C17" s="16" t="str">
        <x:v>ИЗМЕРИТЕЛЬ ЦИФРОВОЙ ОВЕН ИДЦ1-Щ8</x:v>
      </x:c>
      <x:c r="D17" s="16" t="str">
        <x:v>ЗЧ КИПиА</x:v>
      </x:c>
      <x:c r="E17" s="16" t="str">
        <x:v>ШТ</x:v>
      </x:c>
      <x:c r="F17" s="21" t="n">
        <x:v>6</x:v>
      </x:c>
      <x:c r="G17" s="17" t="n">
        <x:v>1302.4109999999998</x:v>
      </x:c>
      <x:c r="H17" s="17" t="n">
        <x:f>G17*F17</x:f>
        <x:v>7814.4659999999985</x:v>
      </x:c>
      <x:c r="I17" s="22" t="str">
        <x:f>HYPERLINK("https://etp-aktiv.ru/catalog/materialy/zapasnye-chasti-i-prinadlezhnosti-dlya-priborov-kipia/2000712585-VG11/","Открыть позицию")</x:f>
        <x:v>Открыть позицию</x:v>
      </x:c>
    </x:row>
    <x:row r="18" ht="28" customHeight="1">
      <x:c r="A18" s="16" t="str">
        <x:v>КрасТЭК</x:v>
      </x:c>
      <x:c r="B18" s="16" t="str">
        <x:v>2000024925-VG11</x:v>
      </x:c>
      <x:c r="C18" s="16" t="str">
        <x:v>КАМЕРА ВАКУУМН.ВЫКЛЮЧАТ КВДК 3-10-20</x:v>
      </x:c>
      <x:c r="D18" s="16" t="str">
        <x:v>Проч э/технич мат-лы</x:v>
      </x:c>
      <x:c r="E18" s="16" t="str">
        <x:v>ШТ</x:v>
      </x:c>
      <x:c r="F18" s="21" t="n">
        <x:v>1</x:v>
      </x:c>
      <x:c r="G18" s="17" t="n">
        <x:v>50764.5904</x:v>
      </x:c>
      <x:c r="H18" s="17" t="n">
        <x:f>G18*F18</x:f>
        <x:v>50764.5904</x:v>
      </x:c>
      <x:c r="I18" s="22" t="str">
        <x:f>HYPERLINK("https://etp-aktiv.ru/catalog/materialy/ehlektrotekhnicheskie-materialy/2000024925-VG11/","Открыть позицию")</x:f>
        <x:v>Открыть позицию</x:v>
      </x:c>
    </x:row>
    <x:row r="19" ht="28" customHeight="1">
      <x:c r="A19" s="16" t="str">
        <x:v>КрасТЭК</x:v>
      </x:c>
      <x:c r="B19" s="16" t="str">
        <x:v>2000705630-VG11</x:v>
      </x:c>
      <x:c r="C19" s="16" t="str">
        <x:v>КОНТАКТОР КТИ-51153 РЕВЕРС 115А 230В/АС3</x:v>
      </x:c>
      <x:c r="D19" s="16" t="str">
        <x:v>Низковол апп-ра и ЗЧ</x:v>
      </x:c>
      <x:c r="E19" s="16" t="str">
        <x:v>ШТ</x:v>
      </x:c>
      <x:c r="F19" s="21" t="n">
        <x:v>0</x:v>
      </x:c>
      <x:c r="G19" s="17" t="n">
        <x:v>2845.0888</x:v>
      </x:c>
      <x:c r="H19" s="17" t="n">
        <x:f>G19*F19</x:f>
        <x:v>0</x:v>
      </x:c>
      <x:c r="I19" s="22" t="str">
        <x:f>HYPERLINK("https://etp-aktiv.ru/catalog/materialy/nizkovoltnaya-apparatura-i-zapasnye-chasti/2000705630-VG11/","Открыть позицию")</x:f>
        <x:v>Открыть позицию</x:v>
      </x:c>
    </x:row>
    <x:row r="20" ht="28" customHeight="1">
      <x:c r="A20" s="16" t="str">
        <x:v>КрасТЭК</x:v>
      </x:c>
      <x:c r="B20" s="16" t="str">
        <x:v>2000457860-VG11</x:v>
      </x:c>
      <x:c r="C20" s="16" t="str">
        <x:v>КОРОБКА КЛЕММНАЯ КМ41246</x:v>
      </x:c>
      <x:c r="D20" s="16" t="str">
        <x:v>ЗЧ КИПиА</x:v>
      </x:c>
      <x:c r="E20" s="16" t="str">
        <x:v>ШТ</x:v>
      </x:c>
      <x:c r="F20" s="21" t="n">
        <x:v>9</x:v>
      </x:c>
      <x:c r="G20" s="17" t="n">
        <x:v>63.379000000000005</x:v>
      </x:c>
      <x:c r="H20" s="17" t="n">
        <x:f>G20*F20</x:f>
        <x:v>570.4110000000001</x:v>
      </x:c>
      <x:c r="I20" s="22" t="str">
        <x:f>HYPERLINK("https://etp-aktiv.ru/catalog/materialy/zapasnye-chasti-i-prinadlezhnosti-dlya-priborov-kipia/2000457860-VG11/","Открыть позицию")</x:f>
        <x:v>Открыть позицию</x:v>
      </x:c>
    </x:row>
    <x:row r="21" ht="28" customHeight="1">
      <x:c r="A21" s="16" t="str">
        <x:v>КрасТЭК</x:v>
      </x:c>
      <x:c r="B21" s="16" t="str">
        <x:v>2000793253-VG11</x:v>
      </x:c>
      <x:c r="C21" s="16" t="str">
        <x:v>ЛАМПА WOLTA 25WHP90E27/40 90ВТ</x:v>
      </x:c>
      <x:c r="D21" s="16" t="str">
        <x:v>Освет и э/установоч</x:v>
      </x:c>
      <x:c r="E21" s="16" t="str">
        <x:v>ШТ</x:v>
      </x:c>
      <x:c r="F21" s="21" t="n">
        <x:v>5</x:v>
      </x:c>
      <x:c r="G21" s="17" t="n">
        <x:v>273.9876</x:v>
      </x:c>
      <x:c r="H21" s="17" t="n">
        <x:f>G21*F21</x:f>
        <x:v>1369.9379999999999</x:v>
      </x:c>
      <x:c r="I21" s="22" t="str">
        <x:f>HYPERLINK("https://etp-aktiv.ru/catalog/materialy/ehlektrotekhnicheskie-materialy/2000793253-VG11/","Открыть позицию")</x:f>
        <x:v>Открыть позицию</x:v>
      </x:c>
    </x:row>
    <x:row r="22" ht="28" customHeight="1">
      <x:c r="A22" s="16" t="str">
        <x:v>КрасТЭК</x:v>
      </x:c>
      <x:c r="B22" s="16" t="str">
        <x:v>2000230466-VG11</x:v>
      </x:c>
      <x:c r="C22" s="16" t="str">
        <x:v>ЛАМПА ГАЛОГЕННАЯ 150ВТ R7S</x:v>
      </x:c>
      <x:c r="D22" s="16" t="str">
        <x:v>Освет и э/установоч</x:v>
      </x:c>
      <x:c r="E22" s="16" t="str">
        <x:v>ШТ</x:v>
      </x:c>
      <x:c r="F22" s="21" t="n">
        <x:v>8</x:v>
      </x:c>
      <x:c r="G22" s="17" t="n">
        <x:v>401.8436</x:v>
      </x:c>
      <x:c r="H22" s="17" t="n">
        <x:f>G22*F22</x:f>
        <x:v>3214.7488</x:v>
      </x:c>
      <x:c r="I22" s="22" t="str">
        <x:f>HYPERLINK("https://etp-aktiv.ru/catalog/materialy/ehlektrotekhnicheskie-materialy/2000230466-VG11/","Открыть позицию")</x:f>
        <x:v>Открыть позицию</x:v>
      </x:c>
    </x:row>
    <x:row r="23" ht="28" customHeight="1">
      <x:c r="A23" s="16" t="str">
        <x:v>КрасТЭК</x:v>
      </x:c>
      <x:c r="B23" s="16" t="str">
        <x:v>2000360276-VG11</x:v>
      </x:c>
      <x:c r="C23" s="16" t="str">
        <x:v>ЛАМПА ДРВ 384003011С 500ВТ Е40</x:v>
      </x:c>
      <x:c r="D23" s="16" t="str">
        <x:v>Освет и э/установоч</x:v>
      </x:c>
      <x:c r="E23" s="16" t="str">
        <x:v>ШТ</x:v>
      </x:c>
      <x:c r="F23" s="21" t="n">
        <x:v>34</x:v>
      </x:c>
      <x:c r="G23" s="17" t="n">
        <x:v>114.43599999999999</x:v>
      </x:c>
      <x:c r="H23" s="17" t="n">
        <x:f>G23*F23</x:f>
        <x:v>3890.8239999999996</x:v>
      </x:c>
      <x:c r="I23" s="22" t="str">
        <x:f>HYPERLINK("https://etp-aktiv.ru/catalog/materialy/ehlektrotekhnicheskie-materialy/2000360276-VG11/","Открыть позицию")</x:f>
        <x:v>Открыть позицию</x:v>
      </x:c>
    </x:row>
    <x:row r="24" ht="28" customHeight="1">
      <x:c r="A24" s="16" t="str">
        <x:v>КрасТЭК</x:v>
      </x:c>
      <x:c r="B24" s="16" t="str">
        <x:v>2000819760-VG11</x:v>
      </x:c>
      <x:c r="C24" s="16" t="str">
        <x:v>ЛАМПА ЭРА LED T160-65W-4000-E27/E40 65ВТ</x:v>
      </x:c>
      <x:c r="D24" s="16" t="str">
        <x:v>Освет и э/установоч</x:v>
      </x:c>
      <x:c r="E24" s="16" t="str">
        <x:v>ШТ</x:v>
      </x:c>
      <x:c r="F24" s="21" t="n">
        <x:v>4</x:v>
      </x:c>
      <x:c r="G24" s="17" t="n">
        <x:v>201.69039999999998</x:v>
      </x:c>
      <x:c r="H24" s="17" t="n">
        <x:f>G24*F24</x:f>
        <x:v>806.7615999999999</x:v>
      </x:c>
      <x:c r="I24" s="22" t="str">
        <x:f>HYPERLINK("https://etp-aktiv.ru/catalog/materialy/ehlektrotekhnicheskie-materialy/2000819760-VG11/","Открыть позицию")</x:f>
        <x:v>Открыть позицию</x:v>
      </x:c>
    </x:row>
    <x:row r="25" ht="28" customHeight="1">
      <x:c r="A25" s="16" t="str">
        <x:v>КрасТЭК</x:v>
      </x:c>
      <x:c r="B25" s="16" t="str">
        <x:v>2000705826-VG11</x:v>
      </x:c>
      <x:c r="C25" s="16" t="str">
        <x:v>МАНОМЕТР ДМ8010-УФ 0-1,6МПА КТ.1,5</x:v>
      </x:c>
      <x:c r="D25" s="16" t="str">
        <x:v>ЗЧ КИПиА</x:v>
      </x:c>
      <x:c r="E25" s="16" t="str">
        <x:v>ШТ</x:v>
      </x:c>
      <x:c r="F25" s="21" t="n">
        <x:v>8</x:v>
      </x:c>
      <x:c r="G25" s="17" t="n">
        <x:v>709.9912</x:v>
      </x:c>
      <x:c r="H25" s="17" t="n">
        <x:f>G25*F25</x:f>
        <x:v>5679.9296</x:v>
      </x:c>
      <x:c r="I25" s="22" t="str">
        <x:f>HYPERLINK("https://etp-aktiv.ru/catalog/materialy/zapasnye-chasti-i-prinadlezhnosti-dlya-priborov-kipia/2000705826-VG11/","Открыть позицию")</x:f>
        <x:v>Открыть позицию</x:v>
      </x:c>
    </x:row>
    <x:row r="26" ht="28" customHeight="1">
      <x:c r="A26" s="16" t="str">
        <x:v>КрасТЭК</x:v>
      </x:c>
      <x:c r="B26" s="16" t="str">
        <x:v>2000540716-VG11</x:v>
      </x:c>
      <x:c r="C26" s="16" t="str">
        <x:v>МАНОМЕТР ТМ 510Р.00 0-0,6МПА 1,5 G1/2</x:v>
      </x:c>
      <x:c r="D26" s="16" t="str">
        <x:v>ЗЧ КИПиА</x:v>
      </x:c>
      <x:c r="E26" s="16" t="str">
        <x:v>ШТ</x:v>
      </x:c>
      <x:c r="F26" s="21" t="n">
        <x:v>6</x:v>
      </x:c>
      <x:c r="G26" s="17" t="n">
        <x:v>138.2138</x:v>
      </x:c>
      <x:c r="H26" s="17" t="n">
        <x:f>G26*F26</x:f>
        <x:v>829.2828</x:v>
      </x:c>
      <x:c r="I26" s="22" t="str">
        <x:f>HYPERLINK("https://etp-aktiv.ru/catalog/materialy/zapasnye-chasti-i-prinadlezhnosti-dlya-priborov-kipia/2000540716-VG11/","Открыть позицию")</x:f>
        <x:v>Открыть позицию</x:v>
      </x:c>
    </x:row>
    <x:row r="27" ht="28" customHeight="1">
      <x:c r="A27" s="16" t="str">
        <x:v>КрасТЭК</x:v>
      </x:c>
      <x:c r="B27" s="16" t="str">
        <x:v>2000534924-VG11</x:v>
      </x:c>
      <x:c r="C27" s="16" t="str">
        <x:v>МОДЕМ GSM TELEOFIS RX100-R2 RS-232</x:v>
      </x:c>
      <x:c r="D27" s="16" t="str">
        <x:v>ЗЧ КИПиА</x:v>
      </x:c>
      <x:c r="E27" s="16" t="str">
        <x:v>ШТ</x:v>
      </x:c>
      <x:c r="F27" s="21" t="n">
        <x:v>1</x:v>
      </x:c>
      <x:c r="G27" s="17" t="n">
        <x:v>803.3822</x:v>
      </x:c>
      <x:c r="H27" s="17" t="n">
        <x:f>G27*F27</x:f>
        <x:v>803.3822</x:v>
      </x:c>
      <x:c r="I27" s="22" t="str">
        <x:f>HYPERLINK("https://etp-aktiv.ru/catalog/materialy/zapasnye-chasti-i-prinadlezhnosti-dlya-priborov-kipia/2000534924-VG11/","Открыть позицию")</x:f>
        <x:v>Открыть позицию</x:v>
      </x:c>
    </x:row>
    <x:row r="28" ht="28" customHeight="1">
      <x:c r="A28" s="16" t="str">
        <x:v>КрасТЭК</x:v>
      </x:c>
      <x:c r="B28" s="16" t="str">
        <x:v>2000489635-VG11</x:v>
      </x:c>
      <x:c r="C28" s="16" t="str">
        <x:v>МОДУЛЬ ВВОДА ОВЕН МВ110-220.8АС</x:v>
      </x:c>
      <x:c r="D28" s="16" t="str">
        <x:v>ЗЧ КИПиА</x:v>
      </x:c>
      <x:c r="E28" s="16" t="str">
        <x:v>ШТ</x:v>
      </x:c>
      <x:c r="F28" s="21" t="n">
        <x:v>0</x:v>
      </x:c>
      <x:c r="G28" s="17" t="n">
        <x:v>3941.6614</x:v>
      </x:c>
      <x:c r="H28" s="17" t="n">
        <x:f>G28*F28</x:f>
        <x:v>0</x:v>
      </x:c>
      <x:c r="I28" s="22" t="str">
        <x:f>HYPERLINK("https://etp-aktiv.ru/catalog/materialy/zapasnye-chasti-i-prinadlezhnosti-dlya-priborov-kipia/2000489635-VG11/","Открыть позицию")</x:f>
        <x:v>Открыть позицию</x:v>
      </x:c>
    </x:row>
    <x:row r="29" ht="28" customHeight="1">
      <x:c r="A29" s="16" t="str">
        <x:v>КрасТЭК</x:v>
      </x:c>
      <x:c r="B29" s="16" t="str">
        <x:v>2000705882-VG11</x:v>
      </x:c>
      <x:c r="C29" s="16" t="str">
        <x:v>ОПРАВА ОЗТС 1-02 (L=160ММ) М27*2</x:v>
      </x:c>
      <x:c r="D29" s="16" t="str">
        <x:v>ЗЧ КИПиА</x:v>
      </x:c>
      <x:c r="E29" s="16" t="str">
        <x:v>ШТ</x:v>
      </x:c>
      <x:c r="F29" s="21" t="n">
        <x:v>2</x:v>
      </x:c>
      <x:c r="G29" s="17" t="n">
        <x:v>74.1028</x:v>
      </x:c>
      <x:c r="H29" s="17" t="n">
        <x:f>G29*F29</x:f>
        <x:v>148.2056</x:v>
      </x:c>
      <x:c r="I29" s="22" t="str">
        <x:f>HYPERLINK("https://etp-aktiv.ru/catalog/materialy/zapasnye-chasti-i-prinadlezhnosti-dlya-priborov-kipia/2000705882-VG11/","Открыть позицию")</x:f>
        <x:v>Открыть позицию</x:v>
      </x:c>
    </x:row>
    <x:row r="30" ht="28" customHeight="1">
      <x:c r="A30" s="16" t="str">
        <x:v>КрасТЭК</x:v>
      </x:c>
      <x:c r="B30" s="16" t="str">
        <x:v>2000541116-VG11</x:v>
      </x:c>
      <x:c r="C30" s="16" t="str">
        <x:v>ПЕРЕХОДНИК МАНОМ ПР-G1/2 / М20*1,5 НЕРЖ</x:v>
      </x:c>
      <x:c r="D30" s="16" t="str">
        <x:v>ЗЧ КИПиА</x:v>
      </x:c>
      <x:c r="E30" s="16" t="str">
        <x:v>ШТ</x:v>
      </x:c>
      <x:c r="F30" s="21" t="n">
        <x:v>15</x:v>
      </x:c>
      <x:c r="G30" s="17" t="n">
        <x:v>149.93800000000002</x:v>
      </x:c>
      <x:c r="H30" s="17" t="n">
        <x:f>G30*F30</x:f>
        <x:v>2249.07</x:v>
      </x:c>
      <x:c r="I30" s="22" t="str">
        <x:f>HYPERLINK("https://etp-aktiv.ru/catalog/materialy/zapasnye-chasti-i-prinadlezhnosti-dlya-priborov-kipia/2000541116-VG11/","Открыть позицию")</x:f>
        <x:v>Открыть позицию</x:v>
      </x:c>
    </x:row>
    <x:row r="31" ht="28" customHeight="1">
      <x:c r="A31" s="16" t="str">
        <x:v>КрасТЭК</x:v>
      </x:c>
      <x:c r="B31" s="16" t="str">
        <x:v>2000536766-VG11</x:v>
      </x:c>
      <x:c r="C31" s="16" t="str">
        <x:v>ПОСТ КНОПОЧНЫЙ ПКЕ 222-3 IP54 Ч+Ч+К</x:v>
      </x:c>
      <x:c r="D31" s="16" t="str">
        <x:v>Низковол апп-ра и ЗЧ</x:v>
      </x:c>
      <x:c r="E31" s="16" t="str">
        <x:v>ШТ</x:v>
      </x:c>
      <x:c r="F31" s="21" t="n">
        <x:v>0</x:v>
      </x:c>
      <x:c r="G31" s="17" t="n">
        <x:v>52.7162</x:v>
      </x:c>
      <x:c r="H31" s="17" t="n">
        <x:f>G31*F31</x:f>
        <x:v>0</x:v>
      </x:c>
      <x:c r="I31" s="22" t="str">
        <x:f>HYPERLINK("https://etp-aktiv.ru/catalog/materialy/nizkovoltnaya-apparatura-i-zapasnye-chasti/2000536766-VG11/","Открыть позицию")</x:f>
        <x:v>Открыть позицию</x:v>
      </x:c>
    </x:row>
    <x:row r="32" ht="28" customHeight="1">
      <x:c r="A32" s="16" t="str">
        <x:v>КрасТЭК</x:v>
      </x:c>
      <x:c r="B32" s="16" t="str">
        <x:v>2000706477-VG11</x:v>
      </x:c>
      <x:c r="C32" s="16" t="str">
        <x:v>ПРЕОБРАЗОВАТЕЛЬ ИНТЕРФ USB/RS-485/1-WIRE</x:v>
      </x:c>
      <x:c r="D32" s="16" t="str">
        <x:v>ЗЧ КИПиА</x:v>
      </x:c>
      <x:c r="E32" s="16" t="str">
        <x:v>ШТ</x:v>
      </x:c>
      <x:c r="F32" s="21" t="n">
        <x:v>1</x:v>
      </x:c>
      <x:c r="G32" s="17" t="n">
        <x:v>842.4831999999999</x:v>
      </x:c>
      <x:c r="H32" s="17" t="n">
        <x:f>G32*F32</x:f>
        <x:v>842.4831999999999</x:v>
      </x:c>
      <x:c r="I32" s="22" t="str">
        <x:f>HYPERLINK("https://etp-aktiv.ru/catalog/materialy/zapasnye-chasti-i-prinadlezhnosti-dlya-priborov-kipia/2000706477-VG11/","Открыть позицию")</x:f>
        <x:v>Открыть позицию</x:v>
      </x:c>
    </x:row>
    <x:row r="33" ht="28" customHeight="1">
      <x:c r="A33" s="16" t="str">
        <x:v>КрасТЭК</x:v>
      </x:c>
      <x:c r="B33" s="16" t="str">
        <x:v>2000486807-VG11</x:v>
      </x:c>
      <x:c r="C33" s="16" t="str">
        <x:v>ПРЕОБРАЗОВАТЕЛЬ ОВЕН НПТ-1.00.1.1</x:v>
      </x:c>
      <x:c r="D33" s="16" t="str">
        <x:v>ЗЧ КИПиА</x:v>
      </x:c>
      <x:c r="E33" s="16" t="str">
        <x:v>ШТ</x:v>
      </x:c>
      <x:c r="F33" s="21" t="n">
        <x:v>0</x:v>
      </x:c>
      <x:c r="G33" s="17" t="n">
        <x:v>1371.646</x:v>
      </x:c>
      <x:c r="H33" s="17" t="n">
        <x:f>G33*F33</x:f>
        <x:v>0</x:v>
      </x:c>
      <x:c r="I33" s="22" t="str">
        <x:f>HYPERLINK("https://etp-aktiv.ru/catalog/materialy/zapasnye-chasti-i-prinadlezhnosti-dlya-priborov-kipia/2000486807-VG11/","Открыть позицию")</x:f>
        <x:v>Открыть позицию</x:v>
      </x:c>
    </x:row>
    <x:row r="34" ht="28" customHeight="1">
      <x:c r="A34" s="16" t="str">
        <x:v>КрасТЭК</x:v>
      </x:c>
      <x:c r="B34" s="16" t="str">
        <x:v>2000639114-VG11</x:v>
      </x:c>
      <x:c r="C34" s="16" t="str">
        <x:v>ПРЕОБРАЗОВАТЕЛЬ ПД100И ДИВ0,0002-811-1,5</x:v>
      </x:c>
      <x:c r="D34" s="16" t="str">
        <x:v>ЗЧ КИПиА</x:v>
      </x:c>
      <x:c r="E34" s="16" t="str">
        <x:v>ШТ</x:v>
      </x:c>
      <x:c r="F34" s="21" t="n">
        <x:v>4</x:v>
      </x:c>
      <x:c r="G34" s="17" t="n">
        <x:v>2020.0638</x:v>
      </x:c>
      <x:c r="H34" s="17" t="n">
        <x:f>G34*F34</x:f>
        <x:v>8080.2552</x:v>
      </x:c>
      <x:c r="I34" s="22" t="str">
        <x:f>HYPERLINK("https://etp-aktiv.ru/catalog/materialy/zapasnye-chasti-i-prinadlezhnosti-dlya-priborov-kipia/2000639114-VG11/","Открыть позицию")</x:f>
        <x:v>Открыть позицию</x:v>
      </x:c>
    </x:row>
    <x:row r="35" ht="28" customHeight="1">
      <x:c r="A35" s="16" t="str">
        <x:v>КрасТЭК</x:v>
      </x:c>
      <x:c r="B35" s="16" t="str">
        <x:v>2000477408-VG11</x:v>
      </x:c>
      <x:c r="C35" s="16" t="str">
        <x:v>РЕЛЕ LRE353 23-32А</x:v>
      </x:c>
      <x:c r="D35" s="16" t="str">
        <x:v>Низковол апп-ра и ЗЧ</x:v>
      </x:c>
      <x:c r="E35" s="16" t="str">
        <x:v>ШТ</x:v>
      </x:c>
      <x:c r="F35" s="21" t="n">
        <x:v>1</x:v>
      </x:c>
      <x:c r="G35" s="17" t="n">
        <x:v>846.131</x:v>
      </x:c>
      <x:c r="H35" s="17" t="n">
        <x:f>G35*F35</x:f>
        <x:v>846.131</x:v>
      </x:c>
      <x:c r="I35" s="22" t="str">
        <x:f>HYPERLINK("https://etp-aktiv.ru/catalog/materialy/nizkovoltnaya-apparatura-i-zapasnye-chasti/2000477408-VG11/","Открыть позицию")</x:f>
        <x:v>Открыть позицию</x:v>
      </x:c>
    </x:row>
    <x:row r="36" ht="28" customHeight="1">
      <x:c r="A36" s="16" t="str">
        <x:v>КрасТЭК</x:v>
      </x:c>
      <x:c r="B36" s="16" t="str">
        <x:v>2000188505-VG11</x:v>
      </x:c>
      <x:c r="C36" s="16" t="str">
        <x:v>РЕЛЕ ДАВЛЕНИЯ MDR 3/11 R3/16</x:v>
      </x:c>
      <x:c r="D36" s="16" t="str">
        <x:v>Низковол апп ЗЧ спец</x:v>
      </x:c>
      <x:c r="E36" s="16" t="str">
        <x:v>ШТ</x:v>
      </x:c>
      <x:c r="F36" s="21" t="n">
        <x:v>0</x:v>
      </x:c>
      <x:c r="G36" s="17" t="n">
        <x:v>1620.4894</x:v>
      </x:c>
      <x:c r="H36" s="17" t="n">
        <x:f>G36*F36</x:f>
        <x:v>0</x:v>
      </x:c>
      <x:c r="I36" s="22" t="str">
        <x:f>HYPERLINK("https://etp-aktiv.ru/catalog/materialy/nizkovoltnaya-apparatura-i-zapasnye-chasti/2000188505-VG11/","Открыть позицию")</x:f>
        <x:v>Открыть позицию</x:v>
      </x:c>
    </x:row>
    <x:row r="37" ht="28" customHeight="1">
      <x:c r="A37" s="16" t="str">
        <x:v>КрасТЭК</x:v>
      </x:c>
      <x:c r="B37" s="16" t="str">
        <x:v>2000545436-VG11</x:v>
      </x:c>
      <x:c r="C37" s="16" t="str">
        <x:v>СВЕТИЛЬНИК ARCTIC.OPL ECO LED 1200 47ВТ</x:v>
      </x:c>
      <x:c r="D37" s="16" t="str">
        <x:v>Освет и э/установоч</x:v>
      </x:c>
      <x:c r="E37" s="16" t="str">
        <x:v>ШТ</x:v>
      </x:c>
      <x:c r="F37" s="21" t="n">
        <x:v>6</x:v>
      </x:c>
      <x:c r="G37" s="17" t="n">
        <x:v>1349.9666</x:v>
      </x:c>
      <x:c r="H37" s="17" t="n">
        <x:f>G37*F37</x:f>
        <x:v>8099.7996</x:v>
      </x:c>
      <x:c r="I37" s="22" t="str">
        <x:f>HYPERLINK("https://etp-aktiv.ru/catalog/materialy/ehlektrotekhnicheskie-materialy/2000545436-VG11/","Открыть позицию")</x:f>
        <x:v>Открыть позицию</x:v>
      </x:c>
    </x:row>
    <x:row r="38" ht="28" customHeight="1">
      <x:c r="A38" s="16" t="str">
        <x:v>КрасТЭК</x:v>
      </x:c>
      <x:c r="B38" s="16" t="str">
        <x:v>2000393985-VG11</x:v>
      </x:c>
      <x:c r="C38" s="16" t="str">
        <x:v>СВЕТИЛЬНИК OLEO-01500.WH 150ВТ IP65 220В</x:v>
      </x:c>
      <x:c r="D38" s="16" t="str">
        <x:v>Освет и э/установоч</x:v>
      </x:c>
      <x:c r="E38" s="16" t="str">
        <x:v>ШТ</x:v>
      </x:c>
      <x:c r="F38" s="21" t="n">
        <x:v>6</x:v>
      </x:c>
      <x:c r="G38" s="17" t="n">
        <x:v>12408.7786</x:v>
      </x:c>
      <x:c r="H38" s="17" t="n">
        <x:f>G38*F38</x:f>
        <x:v>74452.6716</x:v>
      </x:c>
      <x:c r="I38" s="22" t="str">
        <x:f>HYPERLINK("https://etp-aktiv.ru/catalog/materialy/ehlektrotekhnicheskie-materialy/2000393985-VG11/","Открыть позицию")</x:f>
        <x:v>Открыть позицию</x:v>
      </x:c>
    </x:row>
    <x:row r="39" ht="28" customHeight="1">
      <x:c r="A39" s="16" t="str">
        <x:v>КрасТЭК</x:v>
      </x:c>
      <x:c r="B39" s="16" t="str">
        <x:v>2000706172-VG11</x:v>
      </x:c>
      <x:c r="C39" s="16" t="str">
        <x:v>Т/ПРЕОБ ДТС035Л-50М.В3.180</x:v>
      </x:c>
      <x:c r="D39" s="16" t="str">
        <x:v>ЗЧ КИПиА</x:v>
      </x:c>
      <x:c r="E39" s="16" t="str">
        <x:v>ШТ</x:v>
      </x:c>
      <x:c r="F39" s="21" t="n">
        <x:v>8</x:v>
      </x:c>
      <x:c r="G39" s="17" t="n">
        <x:v>357.2892</x:v>
      </x:c>
      <x:c r="H39" s="17" t="n">
        <x:f>G39*F39</x:f>
        <x:v>2858.3136</x:v>
      </x:c>
      <x:c r="I39" s="22" t="str">
        <x:f>HYPERLINK("https://etp-aktiv.ru/catalog/materialy/zapasnye-chasti-i-prinadlezhnosti-dlya-priborov-kipia/2000706172-VG11/","Открыть позицию")</x:f>
        <x:v>Открыть позицию</x:v>
      </x:c>
    </x:row>
    <x:row r="40" ht="28" customHeight="1">
      <x:c r="A40" s="16" t="str">
        <x:v>КрасТЭК</x:v>
      </x:c>
      <x:c r="B40" s="16" t="str">
        <x:v>2000541687-VG11</x:v>
      </x:c>
      <x:c r="C40" s="16" t="str">
        <x:v>Т/ПРЕОБ ДТС045-PT100.В3.160</x:v>
      </x:c>
      <x:c r="D40" s="16" t="str">
        <x:v>ЗЧ КИПиА</x:v>
      </x:c>
      <x:c r="E40" s="16" t="str">
        <x:v>ШТ</x:v>
      </x:c>
      <x:c r="F40" s="21" t="n">
        <x:v>22</x:v>
      </x:c>
      <x:c r="G40" s="17" t="n">
        <x:v>572.6436</x:v>
      </x:c>
      <x:c r="H40" s="17" t="n">
        <x:f>G40*F40</x:f>
        <x:v>12598.1592</x:v>
      </x:c>
      <x:c r="I40" s="22" t="str">
        <x:f>HYPERLINK("https://etp-aktiv.ru/catalog/materialy/zapasnye-chasti-i-prinadlezhnosti-dlya-priborov-kipia/2000541687-VG11/","Открыть позицию")</x:f>
        <x:v>Открыть позицию</x:v>
      </x:c>
    </x:row>
    <x:row r="41" ht="28" customHeight="1">
      <x:c r="A41" s="16" t="str">
        <x:v>КрасТЭК</x:v>
      </x:c>
      <x:c r="B41" s="16" t="str">
        <x:v>2000706174-VG11</x:v>
      </x:c>
      <x:c r="C41" s="16" t="str">
        <x:v>Т/ПРЕОБР СОПРОИТВЛ ДТС045-100П.В3.120</x:v>
      </x:c>
      <x:c r="D41" s="16" t="str">
        <x:v>ЗЧ КИПиА</x:v>
      </x:c>
      <x:c r="E41" s="16" t="str">
        <x:v>ШТ</x:v>
      </x:c>
      <x:c r="F41" s="21" t="n">
        <x:v>3</x:v>
      </x:c>
      <x:c r="G41" s="17" t="n">
        <x:v>467.23560000000003</x:v>
      </x:c>
      <x:c r="H41" s="17" t="n">
        <x:f>G41*F41</x:f>
        <x:v>1401.7068000000002</x:v>
      </x:c>
      <x:c r="I41" s="22" t="str">
        <x:f>HYPERLINK("https://etp-aktiv.ru/catalog/materialy/zapasnye-chasti-i-prinadlezhnosti-dlya-priborov-kipia/2000706174-VG11/","Открыть позицию")</x:f>
        <x:v>Открыть позицию</x:v>
      </x:c>
    </x:row>
    <x:row r="42" ht="28" customHeight="1">
      <x:c r="A42" s="16" t="str">
        <x:v>КрасТЭК</x:v>
      </x:c>
      <x:c r="B42" s="16" t="str">
        <x:v>2000706173-VG11</x:v>
      </x:c>
      <x:c r="C42" s="16" t="str">
        <x:v>Т/ПРЕОБРАЗОВАТЕЛЬ ДТС035М-100М.0,5 160.И</x:v>
      </x:c>
      <x:c r="D42" s="16" t="str">
        <x:v>ЗЧ КИПиА</x:v>
      </x:c>
      <x:c r="E42" s="16" t="str">
        <x:v>ШТ</x:v>
      </x:c>
      <x:c r="F42" s="21" t="n">
        <x:v>4</x:v>
      </x:c>
      <x:c r="G42" s="17" t="n">
        <x:v>844.6548</x:v>
      </x:c>
      <x:c r="H42" s="17" t="n">
        <x:f>G42*F42</x:f>
        <x:v>3378.6192</x:v>
      </x:c>
      <x:c r="I42" s="22" t="str">
        <x:f>HYPERLINK("https://etp-aktiv.ru/catalog/materialy/zapasnye-chasti-i-prinadlezhnosti-dlya-priborov-kipia/2000706173-VG11/","Открыть позицию")</x:f>
        <x:v>Открыть позицию</x:v>
      </x:c>
    </x:row>
    <x:row r="43" ht="28" customHeight="1">
      <x:c r="A43" s="16" t="str">
        <x:v>КрасТЭК</x:v>
      </x:c>
      <x:c r="B43" s="16" t="str">
        <x:v>2000652866-VG11</x:v>
      </x:c>
      <x:c r="C43" s="16" t="str">
        <x:v>Т/ПРЕОБРАЗОВАТЕЛЬ КТСП-Н 3.1.02.11.4.3.3</x:v>
      </x:c>
      <x:c r="D43" s="16" t="str">
        <x:v>ЗЧ КИПиА</x:v>
      </x:c>
      <x:c r="E43" s="16" t="str">
        <x:v>ШТ</x:v>
      </x:c>
      <x:c r="F43" s="21" t="n">
        <x:v>1</x:v>
      </x:c>
      <x:c r="G43" s="17" t="n">
        <x:v>767.5264</x:v>
      </x:c>
      <x:c r="H43" s="17" t="n">
        <x:f>G43*F43</x:f>
        <x:v>767.5264</x:v>
      </x:c>
      <x:c r="I43" s="22" t="str">
        <x:f>HYPERLINK("https://etp-aktiv.ru/catalog/materialy/zapasnye-chasti-i-prinadlezhnosti-dlya-priborov-kipia/2000652866-VG11/","Открыть позицию")</x:f>
        <x:v>Открыть позицию</x:v>
      </x:c>
    </x:row>
    <x:row r="44" ht="28" customHeight="1">
      <x:c r="A44" s="16" t="str">
        <x:v>КрасТЭК</x:v>
      </x:c>
      <x:c r="B44" s="16" t="str">
        <x:v>2000445251-VG11</x:v>
      </x:c>
      <x:c r="C44" s="16" t="str">
        <x:v>Т/СОПРОТИВ ДТС125Л-100М.В3.60</x:v>
      </x:c>
      <x:c r="D44" s="16" t="str">
        <x:v>ЗЧ КИПиА</x:v>
      </x:c>
      <x:c r="E44" s="16" t="str">
        <x:v>ШТ</x:v>
      </x:c>
      <x:c r="F44" s="21" t="n">
        <x:v>1</x:v>
      </x:c>
      <x:c r="G44" s="17" t="n">
        <x:v>333.9506</x:v>
      </x:c>
      <x:c r="H44" s="17" t="n">
        <x:f>G44*F44</x:f>
        <x:v>333.9506</x:v>
      </x:c>
      <x:c r="I44" s="22" t="str">
        <x:f>HYPERLINK("https://etp-aktiv.ru/catalog/materialy/zapasnye-chasti-i-prinadlezhnosti-dlya-priborov-kipia/2000445251-VG11/","Открыть позицию")</x:f>
        <x:v>Открыть позицию</x:v>
      </x:c>
    </x:row>
    <x:row r="45" ht="28" customHeight="1">
      <x:c r="A45" s="16" t="str">
        <x:v>КрасТЭК</x:v>
      </x:c>
      <x:c r="B45" s="16" t="str">
        <x:v>2000706166-VG11</x:v>
      </x:c>
      <x:c r="C45" s="16" t="str">
        <x:v>ТЕРМОДАТ 11М6/2УВ/2Р</x:v>
      </x:c>
      <x:c r="D45" s="16" t="str">
        <x:v>ЗЧ КИПиА</x:v>
      </x:c>
      <x:c r="E45" s="16" t="str">
        <x:v>ШТ</x:v>
      </x:c>
      <x:c r="F45" s="21" t="n">
        <x:v>2</x:v>
      </x:c>
      <x:c r="G45" s="17" t="n">
        <x:v>1248.304</x:v>
      </x:c>
      <x:c r="H45" s="17" t="n">
        <x:f>G45*F45</x:f>
        <x:v>2496.608</x:v>
      </x:c>
      <x:c r="I45" s="22" t="str">
        <x:f>HYPERLINK("https://etp-aktiv.ru/catalog/materialy/zapasnye-chasti-i-prinadlezhnosti-dlya-priborov-kipia/2000706166-VG11/","Открыть позицию")</x:f>
        <x:v>Открыть позицию</x:v>
      </x:c>
    </x:row>
    <x:row r="46" ht="28" customHeight="1">
      <x:c r="A46" s="16" t="str">
        <x:v>КрасТЭК</x:v>
      </x:c>
      <x:c r="B46" s="16" t="str">
        <x:v>2000706167-VG11</x:v>
      </x:c>
      <x:c r="C46" s="16" t="str">
        <x:v>ТЕРМОДАТ 11М6/4УВ/4Р</x:v>
      </x:c>
      <x:c r="D46" s="16" t="str">
        <x:v>ЗЧ КИПиА</x:v>
      </x:c>
      <x:c r="E46" s="16" t="str">
        <x:v>ШТ</x:v>
      </x:c>
      <x:c r="F46" s="21" t="n">
        <x:v>2</x:v>
      </x:c>
      <x:c r="G46" s="17" t="n">
        <x:v>1537.2366</x:v>
      </x:c>
      <x:c r="H46" s="17" t="n">
        <x:f>G46*F46</x:f>
        <x:v>3074.4732</x:v>
      </x:c>
      <x:c r="I46" s="22" t="str">
        <x:f>HYPERLINK("https://etp-aktiv.ru/catalog/materialy/zapasnye-chasti-i-prinadlezhnosti-dlya-priborov-kipia/2000706167-VG11/","Открыть позицию")</x:f>
        <x:v>Открыть позицию</x:v>
      </x:c>
    </x:row>
    <x:row r="47" ht="28" customHeight="1">
      <x:c r="A47" s="16" t="str">
        <x:v>КрасТЭК</x:v>
      </x:c>
      <x:c r="B47" s="16" t="str">
        <x:v>2000706169-VG11</x:v>
      </x:c>
      <x:c r="C47" s="16" t="str">
        <x:v>ТЕРМОМЕТР СТЕКЛЯН ЛАБОРАТ ТЛ-4 N3 50+105</x:v>
      </x:c>
      <x:c r="D47" s="16" t="str">
        <x:v>ЗЧ КИПиА</x:v>
      </x:c>
      <x:c r="E47" s="16" t="str">
        <x:v>ШТ</x:v>
      </x:c>
      <x:c r="F47" s="21" t="n">
        <x:v>2</x:v>
      </x:c>
      <x:c r="G47" s="17" t="n">
        <x:v>1780.6265999999998</x:v>
      </x:c>
      <x:c r="H47" s="17" t="n">
        <x:f>G47*F47</x:f>
        <x:v>3561.2531999999997</x:v>
      </x:c>
      <x:c r="I47" s="22" t="str">
        <x:f>HYPERLINK("https://etp-aktiv.ru/catalog/materialy/zapasnye-chasti-i-prinadlezhnosti-dlya-priborov-kipia/2000706169-VG11/","Открыть позицию")</x:f>
        <x:v>Открыть позицию</x:v>
      </x:c>
    </x:row>
    <x:row r="48" ht="28" customHeight="1">
      <x:c r="A48" s="16" t="str">
        <x:v>КрасТЭК</x:v>
      </x:c>
      <x:c r="B48" s="16" t="str">
        <x:v>2000234945-VG11</x:v>
      </x:c>
      <x:c r="C48" s="16" t="str">
        <x:v>УСТРОЙСТВО ОТБОРНОЕ 01,6-225-СТ20-МУ</x:v>
      </x:c>
      <x:c r="D48" s="16" t="str">
        <x:v>ЗЧ КИПиА</x:v>
      </x:c>
      <x:c r="E48" s="16" t="str">
        <x:v>ШТ</x:v>
      </x:c>
      <x:c r="F48" s="21" t="n">
        <x:v>4</x:v>
      </x:c>
      <x:c r="G48" s="17" t="n">
        <x:v>217.13559999999998</x:v>
      </x:c>
      <x:c r="H48" s="17" t="n">
        <x:f>G48*F48</x:f>
        <x:v>868.5423999999999</x:v>
      </x:c>
      <x:c r="I48" s="22" t="str">
        <x:f>HYPERLINK("https://etp-aktiv.ru/catalog/materialy/zapasnye-chasti-i-prinadlezhnosti-dlya-priborov-kipia/2000234945-VG11/","Открыть позицию")</x:f>
        <x:v>Открыть позицию</x:v>
      </x:c>
    </x:row>
    <x:row r="49" ht="28" customHeight="1">
      <x:c r="A49" s="16" t="str">
        <x:v>КрасТЭК</x:v>
      </x:c>
      <x:c r="B49" s="16" t="str">
        <x:v>2000217135-VG11</x:v>
      </x:c>
      <x:c r="C49" s="16" t="str">
        <x:v>ЩИТ ЩРН-123-074У2 IP54 240*330*120</x:v>
      </x:c>
      <x:c r="D49" s="16" t="str">
        <x:v>Низковол апп-ра и ЗЧ</x:v>
      </x:c>
      <x:c r="E49" s="16" t="str">
        <x:v>ШТ</x:v>
      </x:c>
      <x:c r="F49" s="21" t="n">
        <x:v>3</x:v>
      </x:c>
      <x:c r="G49" s="17" t="n">
        <x:v>425.65799999999996</x:v>
      </x:c>
      <x:c r="H49" s="17" t="n">
        <x:f>G49*F49</x:f>
        <x:v>1276.974</x:v>
      </x:c>
      <x:c r="I49" s="22" t="str">
        <x:f>HYPERLINK("https://etp-aktiv.ru/catalog/materialy/nizkovoltnaya-apparatura-i-zapasnye-chasti/2000217135-VG11/","Открыть позицию")</x:f>
        <x:v>Открыть позицию</x:v>
      </x:c>
    </x:row>
    <x:row r="50" ht="28" customHeight="1">
      <x:c r="A50" s="16" t="str">
        <x:v>КрасТЭК</x:v>
      </x:c>
      <x:c r="B50" s="16" t="str">
        <x:v>2000796466-VG11</x:v>
      </x:c>
      <x:c r="C50" s="16" t="str">
        <x:v>Э/ДВИГ 5АИ160М2 18,5/380/660/3000/IM1081</x:v>
      </x:c>
      <x:c r="D50" s="16" t="str">
        <x:v>Электродвигат станд</x:v>
      </x:c>
      <x:c r="E50" s="16" t="str">
        <x:v>ШТ</x:v>
      </x:c>
      <x:c r="F50" s="21" t="n">
        <x:v>0</x:v>
      </x:c>
      <x:c r="G50" s="17" t="n">
        <x:v>16732.788</x:v>
      </x:c>
      <x:c r="H50" s="17" t="n">
        <x:f>G50*F50</x:f>
        <x:v>0</x:v>
      </x:c>
      <x:c r="I50" s="22" t="str">
        <x:f>HYPERLINK("https://etp-aktiv.ru/catalog/materialy/ehlektrodvigateli/2000796466-VG11/","Открыть позицию")</x:f>
        <x:v>Открыть позицию</x:v>
      </x:c>
    </x:row>
    <x:row r="51" ht="28" customHeight="1">
      <x:c r="A51" s="16" t="str">
        <x:v>Красноярская ГРЭС-2</x:v>
      </x:c>
      <x:c r="B51" s="16" t="str">
        <x:v>2000708831-V116</x:v>
      </x:c>
      <x:c r="C51" s="16" t="str">
        <x:v>АККУМУЛЯТОР DELTA DT-1275 12В 75А/Ч</x:v>
      </x:c>
      <x:c r="D51" s="16" t="str">
        <x:v>АКБ стац и ЗВУ к ним</x:v>
      </x:c>
      <x:c r="E51" s="16" t="str">
        <x:v>ШТ</x:v>
      </x:c>
      <x:c r="F51" s="21" t="n">
        <x:v>3</x:v>
      </x:c>
      <x:c r="G51" s="17" t="n">
        <x:v>8291.4738</x:v>
      </x:c>
      <x:c r="H51" s="17" t="n">
        <x:f>G51*F51</x:f>
        <x:v>24874.4214</x:v>
      </x:c>
      <x:c r="I51" s="22" t="str">
        <x:f>HYPERLINK("https://etp-aktiv.ru/catalog/materialy/akkumulyatory/2000708831-V116/","Открыть позицию")</x:f>
        <x:v>Открыть позицию</x:v>
      </x:c>
    </x:row>
    <x:row r="52" ht="28" customHeight="1">
      <x:c r="A52" s="16" t="str">
        <x:v>Красноярская ГРЭС-2</x:v>
      </x:c>
      <x:c r="B52" s="16" t="str">
        <x:v>2000720456-V116</x:v>
      </x:c>
      <x:c r="C52" s="16" t="str">
        <x:v>СВЕТИЛЬНИК НСП 09-200-001 Е27 200ВТ IP51</x:v>
      </x:c>
      <x:c r="D52" s="16" t="str">
        <x:v>Освет и э/установоч</x:v>
      </x:c>
      <x:c r="E52" s="16" t="str">
        <x:v>ШТ</x:v>
      </x:c>
      <x:c r="F52" s="21" t="n">
        <x:v>346</x:v>
      </x:c>
      <x:c r="G52" s="17" t="n">
        <x:v>426.15819999999997</x:v>
      </x:c>
      <x:c r="H52" s="17" t="n">
        <x:f>G52*F52</x:f>
        <x:v>147450.73719999997</x:v>
      </x:c>
      <x:c r="I52" s="22" t="str">
        <x:f>HYPERLINK("https://etp-aktiv.ru/catalog/materialy/ehlektrotekhnicheskie-materialy/2000720456-V116/","Открыть позицию")</x:f>
        <x:v>Открыть позицию</x:v>
      </x:c>
    </x:row>
    <x:row r="53" ht="28" customHeight="1">
      <x:c r="A53" s="16" t="str">
        <x:v>Красноярская ГРЭС-2</x:v>
      </x:c>
      <x:c r="B53" s="16" t="str">
        <x:v>2000720795-V116</x:v>
      </x:c>
      <x:c r="C53" s="16" t="str">
        <x:v>СВЕТИЛЬНИК СОЮЗ23-08/20/21-67 20ВТ 12В</x:v>
      </x:c>
      <x:c r="D53" s="16" t="str">
        <x:v>Освет и э/установоч</x:v>
      </x:c>
      <x:c r="E53" s="16" t="str">
        <x:v>ШТ</x:v>
      </x:c>
      <x:c r="F53" s="21" t="n">
        <x:v>90</x:v>
      </x:c>
      <x:c r="G53" s="17" t="n">
        <x:v>1971.1906</x:v>
      </x:c>
      <x:c r="H53" s="17" t="n">
        <x:f>G53*F53</x:f>
        <x:v>177407.15399999998</x:v>
      </x:c>
      <x:c r="I53" s="22" t="str">
        <x:f>HYPERLINK("https://etp-aktiv.ru/catalog/materialy/ehlektrotekhnicheskie-materialy/2000720795-V116/","Открыть позицию")</x:f>
        <x:v>Открыть позицию</x:v>
      </x:c>
    </x:row>
    <x:row r="54" ht="28" customHeight="1">
      <x:c r="A54" s="16" t="str">
        <x:v>Красноярская ГРЭС-2</x:v>
      </x:c>
      <x:c r="B54" s="16" t="str">
        <x:v>2000647608-V116</x:v>
      </x:c>
      <x:c r="C54" s="16" t="str">
        <x:v>ТОЛКАТЕЛИ ТЭ-30 У2</x:v>
      </x:c>
      <x:c r="D54" s="16" t="str">
        <x:v>Проч э/технич мат-лы</x:v>
      </x:c>
      <x:c r="E54" s="16" t="str">
        <x:v>ШТ</x:v>
      </x:c>
      <x:c r="F54" s="21" t="n">
        <x:v>1</x:v>
      </x:c>
      <x:c r="G54" s="17" t="n">
        <x:v>1795.1446</x:v>
      </x:c>
      <x:c r="H54" s="17" t="n">
        <x:f>G54*F54</x:f>
        <x:v>1795.1446</x:v>
      </x:c>
      <x:c r="I54" s="22" t="str">
        <x:f>HYPERLINK("https://etp-aktiv.ru/catalog/materialy/ehlektrotekhnicheskie-materialy/2000647608-V116/","Открыть позицию")</x:f>
        <x:v>Открыть позицию</x:v>
      </x:c>
    </x:row>
    <x:row r="55" ht="28" customHeight="1">
      <x:c r="A55" s="16" t="str">
        <x:v>Красноярская ГРЭС-2</x:v>
      </x:c>
      <x:c r="B55" s="16" t="str">
        <x:v>2000226447-V116</x:v>
      </x:c>
      <x:c r="C55" s="16" t="str">
        <x:v>ЭЛЕКТРОДЫ ВОЛЬФРАМОВЫЕ WL 20 D3,2ММ</x:v>
      </x:c>
      <x:c r="D55" s="16" t="str">
        <x:v>Свар электроды спец</x:v>
      </x:c>
      <x:c r="E55" s="16" t="str">
        <x:v>ШТ</x:v>
      </x:c>
      <x:c r="F55" s="21" t="n">
        <x:v>15</x:v>
      </x:c>
      <x:c r="G55" s="17" t="n">
        <x:v>243.14600000000002</x:v>
      </x:c>
      <x:c r="H55" s="17" t="n">
        <x:f>G55*F55</x:f>
        <x:v>3647.19</x:v>
      </x:c>
      <x:c r="I55" s="22" t="str">
        <x:f>HYPERLINK("https://etp-aktiv.ru/catalog/materialy/svarochnye-ehlektrody/2000226447-V116/","Открыть позицию")</x:f>
        <x:v>Открыть позицию</x:v>
      </x:c>
    </x:row>
    <x:row r="56" ht="28" customHeight="1">
      <x:c r="A56" s="16" t="str">
        <x:v>Красноярская ГРЭС-2</x:v>
      </x:c>
      <x:c r="B56" s="16" t="str">
        <x:v>2000162946-V116</x:v>
      </x:c>
      <x:c r="C56" s="16" t="str">
        <x:v>ЭЛЕКТРОКАРТОН ЭВ 1ММ</x:v>
      </x:c>
      <x:c r="D56" s="16" t="str">
        <x:v>Э/изоляцион мат-лы</x:v>
      </x:c>
      <x:c r="E56" s="16" t="str">
        <x:v>КГ</x:v>
      </x:c>
      <x:c r="F56" s="26" t="n">
        <x:v>318.52</x:v>
      </x:c>
      <x:c r="G56" s="17" t="n">
        <x:v>85.69279999999999</x:v>
      </x:c>
      <x:c r="H56" s="17" t="n">
        <x:f>G56*F56</x:f>
        <x:v>27294.870655999996</x:v>
      </x:c>
      <x:c r="I56" s="22" t="str">
        <x:f>HYPERLINK("https://etp-aktiv.ru/catalog/materialy/ehlektroizolyacionnye-materialy/2000162946-V116/","Открыть позицию")</x:f>
        <x:v>Открыть позицию</x:v>
      </x:c>
    </x:row>
    <x:row r="57" ht="28" customHeight="1">
      <x:c r="A57" s="16" t="str">
        <x:v>Красноярская ТЭЦ-1</x:v>
      </x:c>
      <x:c r="B57" s="16" t="str">
        <x:v>2000524673-V119</x:v>
      </x:c>
      <x:c r="C57" s="16" t="str">
        <x:v>БЛОК ПИТАНИЯ БП-02 ТУ3433-021-33226280</x:v>
      </x:c>
      <x:c r="D57" s="16" t="str">
        <x:v>ЗЧ высоковоль оборуд</x:v>
      </x:c>
      <x:c r="E57" s="16" t="str">
        <x:v>ШТ</x:v>
      </x:c>
      <x:c r="F57" s="21" t="n">
        <x:v>4</x:v>
      </x:c>
      <x:c r="G57" s="17" t="n">
        <x:v>12227.6818</x:v>
      </x:c>
      <x:c r="H57" s="17" t="n">
        <x:f>G57*F57</x:f>
        <x:v>48910.7272</x:v>
      </x:c>
      <x:c r="I57" s="22" t="str">
        <x:f>HYPERLINK("https://etp-aktiv.ru/catalog/materialy/ehlektrotekhnicheskie-materialy/2000524673-V119/","Открыть позицию")</x:f>
        <x:v>Открыть позицию</x:v>
      </x:c>
    </x:row>
    <x:row r="58" ht="28" customHeight="1">
      <x:c r="A58" s="16" t="str">
        <x:v>Красноярская ТЭЦ-1</x:v>
      </x:c>
      <x:c r="B58" s="16" t="str">
        <x:v>2000535133-V119</x:v>
      </x:c>
      <x:c r="C58" s="16" t="str">
        <x:v>БЛОК РЕЛЕ БВР-02.02 220/110В 2А</x:v>
      </x:c>
      <x:c r="D58" s="16" t="str">
        <x:v>Низковол апп-ра и ЗЧ</x:v>
      </x:c>
      <x:c r="E58" s="16" t="str">
        <x:v>ШТ</x:v>
      </x:c>
      <x:c r="F58" s="21" t="n">
        <x:v>4</x:v>
      </x:c>
      <x:c r="G58" s="17" t="n">
        <x:v>7949.0686</x:v>
      </x:c>
      <x:c r="H58" s="17" t="n">
        <x:f>G58*F58</x:f>
        <x:v>31796.2744</x:v>
      </x:c>
      <x:c r="I58" s="22" t="str">
        <x:f>HYPERLINK("https://etp-aktiv.ru/catalog/materialy/nizkovoltnaya-apparatura-i-zapasnye-chasti/2000535133-V119/","Открыть позицию")</x:f>
        <x:v>Открыть позицию</x:v>
      </x:c>
    </x:row>
    <x:row r="59" ht="28" customHeight="1">
      <x:c r="A59" s="16" t="str">
        <x:v>Красноярская ТЭЦ-1</x:v>
      </x:c>
      <x:c r="B59" s="16" t="str">
        <x:v>2000524675-V119</x:v>
      </x:c>
      <x:c r="C59" s="16" t="str">
        <x:v>БЛОК ЦЕНТРАЛЬНЫЙ ЦБ-02-02-01</x:v>
      </x:c>
      <x:c r="D59" s="16" t="str">
        <x:v>ЗЧ высоковоль оборуд</x:v>
      </x:c>
      <x:c r="E59" s="16" t="str">
        <x:v>ШТ</x:v>
      </x:c>
      <x:c r="F59" s="21" t="n">
        <x:v>2</x:v>
      </x:c>
      <x:c r="G59" s="17" t="n">
        <x:v>37170.911199999995</x:v>
      </x:c>
      <x:c r="H59" s="17" t="n">
        <x:f>G59*F59</x:f>
        <x:v>74341.82239999999</x:v>
      </x:c>
      <x:c r="I59" s="22" t="str">
        <x:f>HYPERLINK("https://etp-aktiv.ru/catalog/materialy/ehlektrotekhnicheskie-materialy/2000524675-V119/","Открыть позицию")</x:f>
        <x:v>Открыть позицию</x:v>
      </x:c>
    </x:row>
    <x:row r="60" ht="28" customHeight="1">
      <x:c r="A60" s="16" t="str">
        <x:v>Красноярская ТЭЦ-1</x:v>
      </x:c>
      <x:c r="B60" s="16" t="str">
        <x:v>2000177336-V119</x:v>
      </x:c>
      <x:c r="C60" s="16" t="str">
        <x:v>БОКС ЩМП-3-0 74 У2 1Р54 650*500*220</x:v>
      </x:c>
      <x:c r="D60" s="16" t="str">
        <x:v>Низковол апп-ра и ЗЧ</x:v>
      </x:c>
      <x:c r="E60" s="16" t="str">
        <x:v>ШТ</x:v>
      </x:c>
      <x:c r="F60" s="21" t="n">
        <x:v>1</x:v>
      </x:c>
      <x:c r="G60" s="17" t="n">
        <x:v>2276.8372</x:v>
      </x:c>
      <x:c r="H60" s="17" t="n">
        <x:f>G60*F60</x:f>
        <x:v>2276.8372</x:v>
      </x:c>
      <x:c r="I60" s="22" t="str">
        <x:f>HYPERLINK("https://etp-aktiv.ru/catalog/materialy/nizkovoltnaya-apparatura-i-zapasnye-chasti/2000177336-V119/","Открыть позицию")</x:f>
        <x:v>Открыть позицию</x:v>
      </x:c>
    </x:row>
    <x:row r="61" ht="28" customHeight="1">
      <x:c r="A61" s="16" t="str">
        <x:v>Красноярская ТЭЦ-1</x:v>
      </x:c>
      <x:c r="B61" s="16" t="str">
        <x:v>2000438854-V119</x:v>
      </x:c>
      <x:c r="C61" s="16" t="str">
        <x:v>ВЫКЛЮЧАТЕЛЬ ВПК-2111УХ2 400-660В 10А</x:v>
      </x:c>
      <x:c r="D61" s="16" t="str">
        <x:v>Низковол апп-ра и ЗЧ</x:v>
      </x:c>
      <x:c r="E61" s="16" t="str">
        <x:v>ШТ</x:v>
      </x:c>
      <x:c r="F61" s="21" t="n">
        <x:v>5</x:v>
      </x:c>
      <x:c r="G61" s="17" t="n">
        <x:v>166.0786</x:v>
      </x:c>
      <x:c r="H61" s="17" t="n">
        <x:f>G61*F61</x:f>
        <x:v>830.393</x:v>
      </x:c>
      <x:c r="I61" s="22" t="str">
        <x:f>HYPERLINK("https://etp-aktiv.ru/catalog/materialy/nizkovoltnaya-apparatura-i-zapasnye-chasti/2000438854-V119/","Открыть позицию")</x:f>
        <x:v>Открыть позицию</x:v>
      </x:c>
    </x:row>
    <x:row r="62" ht="28" customHeight="1">
      <x:c r="A62" s="16" t="str">
        <x:v>Красноярская ТЭЦ-1</x:v>
      </x:c>
      <x:c r="B62" s="16" t="str">
        <x:v>2000592788-V119</x:v>
      </x:c>
      <x:c r="C62" s="16" t="str">
        <x:v>ВЫКЛЮЧАТЕЛЬ КОНЦ ВКО31Р УХЛ1 380/2,5 1</x:v>
      </x:c>
      <x:c r="D62" s="16" t="str">
        <x:v>Низковол апп-ра и ЗЧ</x:v>
      </x:c>
      <x:c r="E62" s="16" t="str">
        <x:v>ШТ</x:v>
      </x:c>
      <x:c r="F62" s="21" t="n">
        <x:v>12</x:v>
      </x:c>
      <x:c r="G62" s="17" t="n">
        <x:v>2135.5246</x:v>
      </x:c>
      <x:c r="H62" s="17" t="n">
        <x:f>G62*F62</x:f>
        <x:v>25626.2952</x:v>
      </x:c>
      <x:c r="I62" s="22" t="str">
        <x:f>HYPERLINK("https://etp-aktiv.ru/catalog/materialy/nizkovoltnaya-apparatura-i-zapasnye-chasti/2000592788-V119/","Открыть позицию")</x:f>
        <x:v>Открыть позицию</x:v>
      </x:c>
    </x:row>
    <x:row r="63" ht="28" customHeight="1">
      <x:c r="A63" s="16" t="str">
        <x:v>Красноярская ТЭЦ-1</x:v>
      </x:c>
      <x:c r="B63" s="16" t="str">
        <x:v>2000536359-V119</x:v>
      </x:c>
      <x:c r="C63" s="16" t="str">
        <x:v>ДАТЧИК ОПТИЧЕСКИЙ OY IT61P-0-10-C</x:v>
      </x:c>
      <x:c r="D63" s="16" t="str">
        <x:v>Низковол апп ЗЧ спец</x:v>
      </x:c>
      <x:c r="E63" s="16" t="str">
        <x:v>ШТ</x:v>
      </x:c>
      <x:c r="F63" s="21" t="n">
        <x:v>1</x:v>
      </x:c>
      <x:c r="G63" s="17" t="n">
        <x:v>2502.0736</x:v>
      </x:c>
      <x:c r="H63" s="17" t="n">
        <x:f>G63*F63</x:f>
        <x:v>2502.0736</x:v>
      </x:c>
      <x:c r="I63" s="22" t="str">
        <x:f>HYPERLINK("https://etp-aktiv.ru/catalog/materialy/nizkovoltnaya-apparatura-i-zapasnye-chasti/2000536359-V119/","Открыть позицию")</x:f>
        <x:v>Открыть позицию</x:v>
      </x:c>
    </x:row>
    <x:row r="64" ht="28" customHeight="1">
      <x:c r="A64" s="16" t="str">
        <x:v>Красноярская ТЭЦ-1</x:v>
      </x:c>
      <x:c r="B64" s="16" t="str">
        <x:v>2000544982-V119</x:v>
      </x:c>
      <x:c r="C64" s="16" t="str">
        <x:v>ДРОССЕЛЬ 1И 250 ДРЛ 44-003 УХЛ1 250ВТ</x:v>
      </x:c>
      <x:c r="D64" s="16" t="str">
        <x:v>Освет и э/установоч</x:v>
      </x:c>
      <x:c r="E64" s="16" t="str">
        <x:v>ШТ</x:v>
      </x:c>
      <x:c r="F64" s="21" t="n">
        <x:v>4</x:v>
      </x:c>
      <x:c r="G64" s="17" t="n">
        <x:v>757.376</x:v>
      </x:c>
      <x:c r="H64" s="17" t="n">
        <x:f>G64*F64</x:f>
        <x:v>3029.504</x:v>
      </x:c>
      <x:c r="I64" s="22" t="str">
        <x:f>HYPERLINK("https://etp-aktiv.ru/catalog/materialy/ehlektrotekhnicheskie-materialy/2000544982-V119/","Открыть позицию")</x:f>
        <x:v>Открыть позицию</x:v>
      </x:c>
    </x:row>
    <x:row r="65" ht="28" customHeight="1">
      <x:c r="A65" s="16" t="str">
        <x:v>Красноярская ТЭЦ-1</x:v>
      </x:c>
      <x:c r="B65" s="16" t="str">
        <x:v>2000544990-V119</x:v>
      </x:c>
      <x:c r="C65" s="16" t="str">
        <x:v>ДРОССЕЛЬ 1И 400 ДРЛ 42Н-001.УХЛ2 400ВТ</x:v>
      </x:c>
      <x:c r="D65" s="16" t="str">
        <x:v>Освет и э/установоч</x:v>
      </x:c>
      <x:c r="E65" s="16" t="str">
        <x:v>ШТ</x:v>
      </x:c>
      <x:c r="F65" s="21" t="n">
        <x:v>36</x:v>
      </x:c>
      <x:c r="G65" s="17" t="n">
        <x:v>889.6606</x:v>
      </x:c>
      <x:c r="H65" s="17" t="n">
        <x:f>G65*F65</x:f>
        <x:v>32027.781600000002</x:v>
      </x:c>
      <x:c r="I65" s="22" t="str">
        <x:f>HYPERLINK("https://etp-aktiv.ru/catalog/materialy/ehlektrotekhnicheskie-materialy/2000544990-V119/","Открыть позицию")</x:f>
        <x:v>Открыть позицию</x:v>
      </x:c>
    </x:row>
    <x:row r="66" ht="28" customHeight="1">
      <x:c r="A66" s="16" t="str">
        <x:v>Красноярская ТЭЦ-1</x:v>
      </x:c>
      <x:c r="B66" s="16" t="str">
        <x:v>2000536367-V119</x:v>
      </x:c>
      <x:c r="C66" s="16" t="str">
        <x:v>ЗАЖИМ ИЗМЕРИТЕЛЬНЫЙ ЗН24-4И25-В/В</x:v>
      </x:c>
      <x:c r="D66" s="16" t="str">
        <x:v>Низковол апп-ра и ЗЧ</x:v>
      </x:c>
      <x:c r="E66" s="16" t="str">
        <x:v>ШТ</x:v>
      </x:c>
      <x:c r="F66" s="21" t="n">
        <x:v>120</x:v>
      </x:c>
      <x:c r="G66" s="17" t="n">
        <x:v>38.8936</x:v>
      </x:c>
      <x:c r="H66" s="17" t="n">
        <x:f>G66*F66</x:f>
        <x:v>4667.232</x:v>
      </x:c>
      <x:c r="I66" s="22" t="str">
        <x:f>HYPERLINK("https://etp-aktiv.ru/catalog/materialy/nizkovoltnaya-apparatura-i-zapasnye-chasti/2000536367-V119/","Открыть позицию")</x:f>
        <x:v>Открыть позицию</x:v>
      </x:c>
    </x:row>
    <x:row r="67" ht="28" customHeight="1">
      <x:c r="A67" s="16" t="str">
        <x:v>Красноярская ТЭЦ-1</x:v>
      </x:c>
      <x:c r="B67" s="16" t="str">
        <x:v>2000536369-V119</x:v>
      </x:c>
      <x:c r="C67" s="16" t="str">
        <x:v>ЗАЖИМ ИЗМЕРИТЕЛЬНЫЙ ЗН24-4П25-В/В</x:v>
      </x:c>
      <x:c r="D67" s="16" t="str">
        <x:v>Низковол апп-ра и ЗЧ</x:v>
      </x:c>
      <x:c r="E67" s="16" t="str">
        <x:v>ШТ</x:v>
      </x:c>
      <x:c r="F67" s="21" t="n">
        <x:v>60</x:v>
      </x:c>
      <x:c r="G67" s="17" t="n">
        <x:v>8.0032</x:v>
      </x:c>
      <x:c r="H67" s="17" t="n">
        <x:f>G67*F67</x:f>
        <x:v>480.192</x:v>
      </x:c>
      <x:c r="I67" s="22" t="str">
        <x:f>HYPERLINK("https://etp-aktiv.ru/catalog/materialy/nizkovoltnaya-apparatura-i-zapasnye-chasti/2000536369-V119/","Открыть позицию")</x:f>
        <x:v>Открыть позицию</x:v>
      </x:c>
    </x:row>
    <x:row r="68" ht="28" customHeight="1">
      <x:c r="A68" s="16" t="str">
        <x:v>Красноярская ТЭЦ-1</x:v>
      </x:c>
      <x:c r="B68" s="16" t="str">
        <x:v>2000222267-V119</x:v>
      </x:c>
      <x:c r="C68" s="16" t="str">
        <x:v>ИЗОЛЯТОР ТЯГОВЫЙ ИТГ-10-750-78У3</x:v>
      </x:c>
      <x:c r="D68" s="16" t="str">
        <x:v>Изоляторы</x:v>
      </x:c>
      <x:c r="E68" s="16" t="str">
        <x:v>ШТ</x:v>
      </x:c>
      <x:c r="F68" s="21" t="n">
        <x:v>6</x:v>
      </x:c>
      <x:c r="G68" s="17" t="n">
        <x:v>2745</x:v>
      </x:c>
      <x:c r="H68" s="17" t="n">
        <x:f>G68*F68</x:f>
        <x:v>16470</x:v>
      </x:c>
      <x:c r="I68" s="22" t="str">
        <x:f>HYPERLINK("https://etp-aktiv.ru/catalog/materialy/ehlektrotekhnicheskie-materialy/2000222267-V119/","Открыть позицию")</x:f>
        <x:v>Открыть позицию</x:v>
      </x:c>
    </x:row>
    <x:row r="69" ht="28" customHeight="1">
      <x:c r="A69" s="16" t="str">
        <x:v>Красноярская ТЭЦ-1</x:v>
      </x:c>
      <x:c r="B69" s="16" t="str">
        <x:v>2000178542-V119</x:v>
      </x:c>
      <x:c r="C69" s="16" t="str">
        <x:v>ИНДИКАТОР КИПД 43В-2Л</x:v>
      </x:c>
      <x:c r="D69" s="16" t="str">
        <x:v>Низковол апп-ра и ЗЧ</x:v>
      </x:c>
      <x:c r="E69" s="16" t="str">
        <x:v>ШТ</x:v>
      </x:c>
      <x:c r="F69" s="21" t="n">
        <x:v>30</x:v>
      </x:c>
      <x:c r="G69" s="17" t="n">
        <x:v>61.14639999999999</x:v>
      </x:c>
      <x:c r="H69" s="17" t="n">
        <x:f>G69*F69</x:f>
        <x:v>1834.3919999999998</x:v>
      </x:c>
      <x:c r="I69" s="22" t="str">
        <x:f>HYPERLINK("https://etp-aktiv.ru/catalog/materialy/nizkovoltnaya-apparatura-i-zapasnye-chasti/2000178542-V119/","Открыть позицию")</x:f>
        <x:v>Открыть позицию</x:v>
      </x:c>
    </x:row>
    <x:row r="70" ht="28" customHeight="1">
      <x:c r="A70" s="16" t="str">
        <x:v>Красноярская ТЭЦ-1</x:v>
      </x:c>
      <x:c r="B70" s="16" t="str">
        <x:v>2000136148-V119</x:v>
      </x:c>
      <x:c r="C70" s="16" t="str">
        <x:v>ИНДИКАТОР КОММУТАТОРНЫЙ КИПД43В-2К КРАС</x:v>
      </x:c>
      <x:c r="D70" s="16" t="str">
        <x:v>Низковол апп-ра и ЗЧ</x:v>
      </x:c>
      <x:c r="E70" s="16" t="str">
        <x:v>ШТ</x:v>
      </x:c>
      <x:c r="F70" s="21" t="n">
        <x:v>30</x:v>
      </x:c>
      <x:c r="G70" s="17" t="n">
        <x:v>39.979400000000005</x:v>
      </x:c>
      <x:c r="H70" s="17" t="n">
        <x:f>G70*F70</x:f>
        <x:v>1199.382</x:v>
      </x:c>
      <x:c r="I70" s="22" t="str">
        <x:f>HYPERLINK("https://etp-aktiv.ru/catalog/materialy/nizkovoltnaya-apparatura-i-zapasnye-chasti/2000136148-V119/","Открыть позицию")</x:f>
        <x:v>Открыть позицию</x:v>
      </x:c>
    </x:row>
    <x:row r="71" ht="28" customHeight="1">
      <x:c r="A71" s="16" t="str">
        <x:v>Красноярская ТЭЦ-1</x:v>
      </x:c>
      <x:c r="B71" s="16" t="str">
        <x:v>2000173904-V119</x:v>
      </x:c>
      <x:c r="C71" s="16" t="str">
        <x:v>КОЛОДКА КЛЕММНАЯ ЭКФ-25ММ</x:v>
      </x:c>
      <x:c r="D71" s="16" t="str">
        <x:v>Низковол апп-ра и ЗЧ</x:v>
      </x:c>
      <x:c r="E71" s="16" t="str">
        <x:v>ШТ</x:v>
      </x:c>
      <x:c r="F71" s="21" t="n">
        <x:v>54</x:v>
      </x:c>
      <x:c r="G71" s="17" t="n">
        <x:v>141.2516</x:v>
      </x:c>
      <x:c r="H71" s="17" t="n">
        <x:f>G71*F71</x:f>
        <x:v>7627.5864</x:v>
      </x:c>
      <x:c r="I71" s="22" t="str">
        <x:f>HYPERLINK("https://etp-aktiv.ru/catalog/materialy/nizkovoltnaya-apparatura-i-zapasnye-chasti/2000173904-V119/","Открыть позицию")</x:f>
        <x:v>Открыть позицию</x:v>
      </x:c>
    </x:row>
    <x:row r="72" ht="28" customHeight="1">
      <x:c r="A72" s="16" t="str">
        <x:v>Красноярская ТЭЦ-1</x:v>
      </x:c>
      <x:c r="B72" s="16" t="str">
        <x:v>2000354604-V119</x:v>
      </x:c>
      <x:c r="C72" s="16" t="str">
        <x:v>КОНТАКТОР LC1E120M5 380В 3P АС3</x:v>
      </x:c>
      <x:c r="D72" s="16" t="str">
        <x:v>Низковол апп-ра и ЗЧ</x:v>
      </x:c>
      <x:c r="E72" s="16" t="str">
        <x:v>ШТ</x:v>
      </x:c>
      <x:c r="F72" s="21" t="n">
        <x:v>3</x:v>
      </x:c>
      <x:c r="G72" s="17" t="n">
        <x:v>8175.0736</x:v>
      </x:c>
      <x:c r="H72" s="17" t="n">
        <x:f>G72*F72</x:f>
        <x:v>24525.2208</x:v>
      </x:c>
      <x:c r="I72" s="22" t="str">
        <x:f>HYPERLINK("https://etp-aktiv.ru/catalog/materialy/nizkovoltnaya-apparatura-i-zapasnye-chasti/2000354604-V119/","Открыть позицию")</x:f>
        <x:v>Открыть позицию</x:v>
      </x:c>
    </x:row>
    <x:row r="73" ht="28" customHeight="1">
      <x:c r="A73" s="16" t="str">
        <x:v>Красноярская ТЭЦ-1</x:v>
      </x:c>
      <x:c r="B73" s="16" t="str">
        <x:v>2000152887-V119</x:v>
      </x:c>
      <x:c r="C73" s="16" t="str">
        <x:v>КОНТАКТОР КМИ-10910 220В 9А</x:v>
      </x:c>
      <x:c r="D73" s="16" t="str">
        <x:v>Низковол апп-ра и ЗЧ</x:v>
      </x:c>
      <x:c r="E73" s="16" t="str">
        <x:v>ШТ</x:v>
      </x:c>
      <x:c r="F73" s="21" t="n">
        <x:v>0</x:v>
      </x:c>
      <x:c r="G73" s="17" t="n">
        <x:v>173.30100000000002</x:v>
      </x:c>
      <x:c r="H73" s="17" t="n">
        <x:f>G73*F73</x:f>
        <x:v>0</x:v>
      </x:c>
      <x:c r="I73" s="22" t="str">
        <x:f>HYPERLINK("https://etp-aktiv.ru/catalog/materialy/nizkovoltnaya-apparatura-i-zapasnye-chasti/2000152887-V119/","Открыть позицию")</x:f>
        <x:v>Открыть позицию</x:v>
      </x:c>
    </x:row>
    <x:row r="74" ht="28" customHeight="1">
      <x:c r="A74" s="16" t="str">
        <x:v>Красноярская ТЭЦ-1</x:v>
      </x:c>
      <x:c r="B74" s="16" t="str">
        <x:v>2000621321-V119</x:v>
      </x:c>
      <x:c r="C74" s="16" t="str">
        <x:v>КОНТАКТОР КМЭ CTR-S-40-380 380В 40А</x:v>
      </x:c>
      <x:c r="D74" s="16" t="str">
        <x:v>Низковол апп-ра и ЗЧ</x:v>
      </x:c>
      <x:c r="E74" s="16" t="str">
        <x:v>ШТ</x:v>
      </x:c>
      <x:c r="F74" s="21" t="n">
        <x:v>10</x:v>
      </x:c>
      <x:c r="G74" s="17" t="n">
        <x:v>583.3186</x:v>
      </x:c>
      <x:c r="H74" s="17" t="n">
        <x:f>G74*F74</x:f>
        <x:v>5833.186</x:v>
      </x:c>
      <x:c r="I74" s="22" t="str">
        <x:f>HYPERLINK("https://etp-aktiv.ru/catalog/materialy/nizkovoltnaya-apparatura-i-zapasnye-chasti/2000621321-V119/","Открыть позицию")</x:f>
        <x:v>Открыть позицию</x:v>
      </x:c>
    </x:row>
    <x:row r="75" ht="28" customHeight="1">
      <x:c r="A75" s="16" t="str">
        <x:v>Красноярская ТЭЦ-1</x:v>
      </x:c>
      <x:c r="B75" s="16" t="str">
        <x:v>2000323483-V119</x:v>
      </x:c>
      <x:c r="C75" s="16" t="str">
        <x:v>КОРОБКА ОТВЕТВИТЕЛЬНАЯ У-192 IP20 250В</x:v>
      </x:c>
      <x:c r="D75" s="16" t="str">
        <x:v>Освет и э/установоч</x:v>
      </x:c>
      <x:c r="E75" s="16" t="str">
        <x:v>ШТ</x:v>
      </x:c>
      <x:c r="F75" s="21" t="n">
        <x:v>17</x:v>
      </x:c>
      <x:c r="G75" s="17" t="n">
        <x:v>25.192999999999998</x:v>
      </x:c>
      <x:c r="H75" s="17" t="n">
        <x:f>G75*F75</x:f>
        <x:v>428.28099999999995</x:v>
      </x:c>
      <x:c r="I75" s="22" t="str">
        <x:f>HYPERLINK("https://etp-aktiv.ru/catalog/materialy/ehlektrotekhnicheskie-materialy/2000323483-V119/","Открыть позицию")</x:f>
        <x:v>Открыть позицию</x:v>
      </x:c>
    </x:row>
    <x:row r="76" ht="28" customHeight="1">
      <x:c r="A76" s="16" t="str">
        <x:v>Красноярская ТЭЦ-1</x:v>
      </x:c>
      <x:c r="B76" s="16" t="str">
        <x:v>2000076879-V119</x:v>
      </x:c>
      <x:c r="C76" s="16" t="str">
        <x:v>ЛАМПА ДРИ-2000-6 2000ВТ Е40</x:v>
      </x:c>
      <x:c r="D76" s="16" t="str">
        <x:v>Освет и э/установоч</x:v>
      </x:c>
      <x:c r="E76" s="16" t="str">
        <x:v>ШТ</x:v>
      </x:c>
      <x:c r="F76" s="21" t="n">
        <x:v>10</x:v>
      </x:c>
      <x:c r="G76" s="17" t="n">
        <x:v>1990.125</x:v>
      </x:c>
      <x:c r="H76" s="17" t="n">
        <x:f>G76*F76</x:f>
        <x:v>19901.25</x:v>
      </x:c>
      <x:c r="I76" s="22" t="str">
        <x:f>HYPERLINK("https://etp-aktiv.ru/catalog/materialy/ehlektrotekhnicheskie-materialy/2000076879-V119/","Открыть позицию")</x:f>
        <x:v>Открыть позицию</x:v>
      </x:c>
    </x:row>
    <x:row r="77" ht="28" customHeight="1">
      <x:c r="A77" s="16" t="str">
        <x:v>Красноярская ТЭЦ-1</x:v>
      </x:c>
      <x:c r="B77" s="16" t="str">
        <x:v>2000029363-V119</x:v>
      </x:c>
      <x:c r="C77" s="16" t="str">
        <x:v>ЛЕНТА КИПЕРНАЯ 20ММ</x:v>
      </x:c>
      <x:c r="D77" s="16" t="str">
        <x:v>Э/изоляцион мат-лы</x:v>
      </x:c>
      <x:c r="E77" s="16" t="str">
        <x:v>М</x:v>
      </x:c>
      <x:c r="F77" s="21" t="n">
        <x:v>1297</x:v>
      </x:c>
      <x:c r="G77" s="17" t="n">
        <x:v>1.1956</x:v>
      </x:c>
      <x:c r="H77" s="17" t="n">
        <x:f>G77*F77</x:f>
        <x:v>1550.6932</x:v>
      </x:c>
      <x:c r="I77" s="22" t="str">
        <x:f>HYPERLINK("https://etp-aktiv.ru/catalog/materialy/ehlektroizolyacionnye-materialy/2000029363-V119/","Открыть позицию")</x:f>
        <x:v>Открыть позицию</x:v>
      </x:c>
    </x:row>
    <x:row r="78" ht="28" customHeight="1">
      <x:c r="A78" s="16" t="str">
        <x:v>Красноярская ТЭЦ-1</x:v>
      </x:c>
      <x:c r="B78" s="16" t="str">
        <x:v>2000483600-V119</x:v>
      </x:c>
      <x:c r="C78" s="16" t="str">
        <x:v>ЛЕНТА СИГНАЛЬНАЯ ЛСЭ-900 900ММ 100М</x:v>
      </x:c>
      <x:c r="D78" s="16" t="str">
        <x:v>Проч э/технич мат-лы</x:v>
      </x:c>
      <x:c r="E78" s="16" t="str">
        <x:v>ШТ</x:v>
      </x:c>
      <x:c r="F78" s="21" t="n">
        <x:v>32</x:v>
      </x:c>
      <x:c r="G78" s="17" t="n">
        <x:v>2172.1612</x:v>
      </x:c>
      <x:c r="H78" s="17" t="n">
        <x:f>G78*F78</x:f>
        <x:v>69509.1584</x:v>
      </x:c>
      <x:c r="I78" s="22" t="str">
        <x:f>HYPERLINK("https://etp-aktiv.ru/catalog/materialy/ehlektrotekhnicheskie-materialy/2000483600-V119/","Открыть позицию")</x:f>
        <x:v>Открыть позицию</x:v>
      </x:c>
    </x:row>
    <x:row r="79" ht="28" customHeight="1">
      <x:c r="A79" s="16" t="str">
        <x:v>Красноярская ТЭЦ-1</x:v>
      </x:c>
      <x:c r="B79" s="16" t="str">
        <x:v>2000179821-V119</x:v>
      </x:c>
      <x:c r="C79" s="16" t="str">
        <x:v>МАНОМЕТР КИСЛОРОДН МТ-УХЛ3 0-250КГС/СМ2</x:v>
      </x:c>
      <x:c r="D79" s="16" t="str">
        <x:v>ЗЧ КИПиА</x:v>
      </x:c>
      <x:c r="E79" s="16" t="str">
        <x:v>ШТ</x:v>
      </x:c>
      <x:c r="F79" s="21" t="n">
        <x:v>2</x:v>
      </x:c>
      <x:c r="G79" s="17" t="n">
        <x:v>130.3936</x:v>
      </x:c>
      <x:c r="H79" s="17" t="n">
        <x:f>G79*F79</x:f>
        <x:v>260.7872</x:v>
      </x:c>
      <x:c r="I79" s="22" t="str">
        <x:f>HYPERLINK("https://etp-aktiv.ru/catalog/materialy/zapasnye-chasti-i-prinadlezhnosti-dlya-priborov-kipia/2000179821-V119/","Открыть позицию")</x:f>
        <x:v>Открыть позицию</x:v>
      </x:c>
    </x:row>
    <x:row r="80" ht="28" customHeight="1">
      <x:c r="A80" s="16" t="str">
        <x:v>Красноярская ТЭЦ-1</x:v>
      </x:c>
      <x:c r="B80" s="16" t="str">
        <x:v>2000030086-V119</x:v>
      </x:c>
      <x:c r="C80" s="16" t="str">
        <x:v>МАНОМЕТР КИСЛОРОДНЫЙ МТП-1К 25КГС/СМ2</x:v>
      </x:c>
      <x:c r="D80" s="16" t="str">
        <x:v>ЗЧ КИПиА</x:v>
      </x:c>
      <x:c r="E80" s="16" t="str">
        <x:v>ШТ</x:v>
      </x:c>
      <x:c r="F80" s="21" t="n">
        <x:v>2</x:v>
      </x:c>
      <x:c r="G80" s="17" t="n">
        <x:v>130.3936</x:v>
      </x:c>
      <x:c r="H80" s="17" t="n">
        <x:f>G80*F80</x:f>
        <x:v>260.7872</x:v>
      </x:c>
      <x:c r="I80" s="22" t="str">
        <x:f>HYPERLINK("https://etp-aktiv.ru/catalog/materialy/zapasnye-chasti-i-prinadlezhnosti-dlya-priborov-kipia/2000030086-V119/","Открыть позицию")</x:f>
        <x:v>Открыть позицию</x:v>
      </x:c>
    </x:row>
    <x:row r="81" ht="28" customHeight="1">
      <x:c r="A81" s="16" t="str">
        <x:v>Красноярская ТЭЦ-1</x:v>
      </x:c>
      <x:c r="B81" s="16" t="str">
        <x:v>2000540601-V119</x:v>
      </x:c>
      <x:c r="C81" s="16" t="str">
        <x:v>МАНОМЕТР МП4-У 2,5КГС/СМ2 У2 АЦЕТИЛЕН</x:v>
      </x:c>
      <x:c r="D81" s="16" t="str">
        <x:v>ЗЧ КИПиА</x:v>
      </x:c>
      <x:c r="E81" s="16" t="str">
        <x:v>ШТ</x:v>
      </x:c>
      <x:c r="F81" s="21" t="n">
        <x:v>10</x:v>
      </x:c>
      <x:c r="G81" s="17" t="n">
        <x:v>1166.625</x:v>
      </x:c>
      <x:c r="H81" s="17" t="n">
        <x:f>G81*F81</x:f>
        <x:v>11666.25</x:v>
      </x:c>
      <x:c r="I81" s="22" t="str">
        <x:f>HYPERLINK("https://etp-aktiv.ru/catalog/materialy/zapasnye-chasti-i-prinadlezhnosti-dlya-priborov-kipia/2000540601-V119/","Открыть позицию")</x:f>
        <x:v>Открыть позицию</x:v>
      </x:c>
    </x:row>
    <x:row r="82" ht="28" customHeight="1">
      <x:c r="A82" s="16" t="str">
        <x:v>Красноярская ТЭЦ-1</x:v>
      </x:c>
      <x:c r="B82" s="16" t="str">
        <x:v>2000030188-V119</x:v>
      </x:c>
      <x:c r="C82" s="16" t="str">
        <x:v>МАНОМЕТР ПРОПАНОВЫЙ РУ-12 0,6МПА 6АТМ</x:v>
      </x:c>
      <x:c r="D82" s="16" t="str">
        <x:v>ЗЧ КИПиА</x:v>
      </x:c>
      <x:c r="E82" s="16" t="str">
        <x:v>ШТ</x:v>
      </x:c>
      <x:c r="F82" s="21" t="n">
        <x:v>2</x:v>
      </x:c>
      <x:c r="G82" s="17" t="n">
        <x:v>137.25</x:v>
      </x:c>
      <x:c r="H82" s="17" t="n">
        <x:f>G82*F82</x:f>
        <x:v>274.5</x:v>
      </x:c>
      <x:c r="I82" s="22" t="str">
        <x:f>HYPERLINK("https://etp-aktiv.ru/catalog/materialy/zapasnye-chasti-i-prinadlezhnosti-dlya-priborov-kipia/2000030188-V119/","Открыть позицию")</x:f>
        <x:v>Открыть позицию</x:v>
      </x:c>
    </x:row>
    <x:row r="83" ht="28" customHeight="1">
      <x:c r="A83" s="16" t="str">
        <x:v>Красноярская ТЭЦ-1</x:v>
      </x:c>
      <x:c r="B83" s="16" t="str">
        <x:v>2000545290-V119</x:v>
      </x:c>
      <x:c r="C83" s="16" t="str">
        <x:v>ПАТРОН E27 250В 4А ФНК-05</x:v>
      </x:c>
      <x:c r="D83" s="16" t="str">
        <x:v>Освет и э/установоч</x:v>
      </x:c>
      <x:c r="E83" s="16" t="str">
        <x:v>ШТ</x:v>
      </x:c>
      <x:c r="F83" s="21" t="n">
        <x:v>116</x:v>
      </x:c>
      <x:c r="G83" s="17" t="n">
        <x:v>12.2854</x:v>
      </x:c>
      <x:c r="H83" s="17" t="n">
        <x:f>G83*F83</x:f>
        <x:v>1425.1064</x:v>
      </x:c>
      <x:c r="I83" s="22" t="str">
        <x:f>HYPERLINK("https://etp-aktiv.ru/catalog/materialy/ehlektrotekhnicheskie-materialy/2000545290-V119/","Открыть позицию")</x:f>
        <x:v>Открыть позицию</x:v>
      </x:c>
    </x:row>
    <x:row r="84" ht="28" customHeight="1">
      <x:c r="A84" s="16" t="str">
        <x:v>Красноярская ТЭЦ-1</x:v>
      </x:c>
      <x:c r="B84" s="16" t="str">
        <x:v>2000252766-V119</x:v>
      </x:c>
      <x:c r="C84" s="16" t="str">
        <x:v>ПАТРОН КЕРАМИЧЕСКИЙ Е27 SQ0319-002</x:v>
      </x:c>
      <x:c r="D84" s="16" t="str">
        <x:v>Освет и э/установоч</x:v>
      </x:c>
      <x:c r="E84" s="16" t="str">
        <x:v>ШТ</x:v>
      </x:c>
      <x:c r="F84" s="21" t="n">
        <x:v>80</x:v>
      </x:c>
      <x:c r="G84" s="17" t="n">
        <x:v>9.211</x:v>
      </x:c>
      <x:c r="H84" s="17" t="n">
        <x:f>G84*F84</x:f>
        <x:v>736.88</x:v>
      </x:c>
      <x:c r="I84" s="22" t="str">
        <x:f>HYPERLINK("https://etp-aktiv.ru/catalog/materialy/ehlektrotekhnicheskie-materialy/2000252766-V119/","Открыть позицию")</x:f>
        <x:v>Открыть позицию</x:v>
      </x:c>
    </x:row>
    <x:row r="85" ht="28" customHeight="1">
      <x:c r="A85" s="16" t="str">
        <x:v>Красноярская ТЭЦ-1</x:v>
      </x:c>
      <x:c r="B85" s="16" t="str">
        <x:v>2000580161-V119</x:v>
      </x:c>
      <x:c r="C85" s="16" t="str">
        <x:v>ПАТРОН ЭЛЕКТРИЧЕСКИЙ Е27 220В 4А ДК-003</x:v>
      </x:c>
      <x:c r="D85" s="16" t="str">
        <x:v>Освет и э/установоч</x:v>
      </x:c>
      <x:c r="E85" s="16" t="str">
        <x:v>ШТ</x:v>
      </x:c>
      <x:c r="F85" s="21" t="n">
        <x:v>50</x:v>
      </x:c>
      <x:c r="G85" s="17" t="n">
        <x:v>12.0902</x:v>
      </x:c>
      <x:c r="H85" s="17" t="n">
        <x:f>G85*F85</x:f>
        <x:v>604.51</x:v>
      </x:c>
      <x:c r="I85" s="22" t="str">
        <x:f>HYPERLINK("https://etp-aktiv.ru/catalog/materialy/ehlektrotekhnicheskie-materialy/2000580161-V119/","Открыть позицию")</x:f>
        <x:v>Открыть позицию</x:v>
      </x:c>
    </x:row>
    <x:row r="86" ht="28" customHeight="1">
      <x:c r="A86" s="16" t="str">
        <x:v>Красноярская ТЭЦ-1</x:v>
      </x:c>
      <x:c r="B86" s="16" t="str">
        <x:v>2000536868-V119</x:v>
      </x:c>
      <x:c r="C86" s="16" t="str">
        <x:v>ПРЕОБРАЗОВАТЕЛЬ AEDC857С-1000 0-20А</x:v>
      </x:c>
      <x:c r="D86" s="16" t="str">
        <x:v>Низковол апп ЗЧ спец</x:v>
      </x:c>
      <x:c r="E86" s="16" t="str">
        <x:v>ШТ</x:v>
      </x:c>
      <x:c r="F86" s="21" t="n">
        <x:v>1</x:v>
      </x:c>
      <x:c r="G86" s="17" t="n">
        <x:v>6093.9</x:v>
      </x:c>
      <x:c r="H86" s="17" t="n">
        <x:f>G86*F86</x:f>
        <x:v>6093.9</x:v>
      </x:c>
      <x:c r="I86" s="22" t="str">
        <x:f>HYPERLINK("https://etp-aktiv.ru/catalog/materialy/nizkovoltnaya-apparatura-i-zapasnye-chasti/2000536868-V119/","Открыть позицию")</x:f>
        <x:v>Открыть позицию</x:v>
      </x:c>
    </x:row>
    <x:row r="87" ht="28" customHeight="1">
      <x:c r="A87" s="16" t="str">
        <x:v>Красноярская ТЭЦ-1</x:v>
      </x:c>
      <x:c r="B87" s="16" t="str">
        <x:v>2000536880-V119</x:v>
      </x:c>
      <x:c r="C87" s="16" t="str">
        <x:v>ПРЕОБРАЗОВАТЕЛЬ ПС11.02 УСТРОЙСТВА БССДЗ</x:v>
      </x:c>
      <x:c r="D87" s="16" t="str">
        <x:v>Низковол апп ЗЧ спец</x:v>
      </x:c>
      <x:c r="E87" s="16" t="str">
        <x:v>ШТ</x:v>
      </x:c>
      <x:c r="F87" s="21" t="n">
        <x:v>84</x:v>
      </x:c>
      <x:c r="G87" s="17" t="n">
        <x:v>1749.6263999999999</x:v>
      </x:c>
      <x:c r="H87" s="17" t="n">
        <x:f>G87*F87</x:f>
        <x:v>146968.6176</x:v>
      </x:c>
      <x:c r="I87" s="22" t="str">
        <x:f>HYPERLINK("https://etp-aktiv.ru/catalog/materialy/nizkovoltnaya-apparatura-i-zapasnye-chasti/2000536880-V119/","Открыть позицию")</x:f>
        <x:v>Открыть позицию</x:v>
      </x:c>
    </x:row>
    <x:row r="88" ht="28" customHeight="1">
      <x:c r="A88" s="16" t="str">
        <x:v>Красноярская ТЭЦ-1</x:v>
      </x:c>
      <x:c r="B88" s="16" t="str">
        <x:v>2000485542-V119</x:v>
      </x:c>
      <x:c r="C88" s="16" t="str">
        <x:v>ПРЕОБРАЗОВАТЕЛЬ ЧАСТОТЫ DANFOSS 132F0058</x:v>
      </x:c>
      <x:c r="D88" s="16" t="str">
        <x:v>Низковол апп ЗЧ спец</x:v>
      </x:c>
      <x:c r="E88" s="16" t="str">
        <x:v>ШТ</x:v>
      </x:c>
      <x:c r="F88" s="21" t="n">
        <x:v>1</x:v>
      </x:c>
      <x:c r="G88" s="17" t="n">
        <x:v>30675.375</x:v>
      </x:c>
      <x:c r="H88" s="17" t="n">
        <x:f>G88*F88</x:f>
        <x:v>30675.375</x:v>
      </x:c>
      <x:c r="I88" s="22" t="str">
        <x:f>HYPERLINK("https://etp-aktiv.ru/catalog/materialy/nizkovoltnaya-apparatura-i-zapasnye-chasti/2000485542-V119/","Открыть позицию")</x:f>
        <x:v>Открыть позицию</x:v>
      </x:c>
    </x:row>
    <x:row r="89" ht="28" customHeight="1">
      <x:c r="A89" s="16" t="str">
        <x:v>Красноярская ТЭЦ-1</x:v>
      </x:c>
      <x:c r="B89" s="16" t="str">
        <x:v>2000772361-V119</x:v>
      </x:c>
      <x:c r="C89" s="16" t="str">
        <x:v>ПРЕОБРАЗОВАТЕЛЬ ЧАСТОТЫ DANFOSS 132F0059</x:v>
      </x:c>
      <x:c r="D89" s="16" t="str">
        <x:v>Низковол апп ЗЧ спец</x:v>
      </x:c>
      <x:c r="E89" s="16" t="str">
        <x:v>ШТ</x:v>
      </x:c>
      <x:c r="F89" s="21" t="n">
        <x:v>1</x:v>
      </x:c>
      <x:c r="G89" s="17" t="n">
        <x:v>26212.212399999997</x:v>
      </x:c>
      <x:c r="H89" s="17" t="n">
        <x:f>G89*F89</x:f>
        <x:v>26212.212399999997</x:v>
      </x:c>
      <x:c r="I89" s="22" t="str">
        <x:f>HYPERLINK("https://etp-aktiv.ru/catalog/materialy/nizkovoltnaya-apparatura-i-zapasnye-chasti/2000772361-V119/","Открыть позицию")</x:f>
        <x:v>Открыть позицию</x:v>
      </x:c>
    </x:row>
    <x:row r="90" ht="28" customHeight="1">
      <x:c r="A90" s="16" t="str">
        <x:v>Красноярская ТЭЦ-1</x:v>
      </x:c>
      <x:c r="B90" s="16" t="str">
        <x:v>2000627513-V119</x:v>
      </x:c>
      <x:c r="C90" s="16" t="str">
        <x:v>ПРИБОР ИЗМ ТЕМП Д.6399-00.ЛОГ.Т3.01-01.М</x:v>
      </x:c>
      <x:c r="D90" s="16" t="str">
        <x:v>ЗЧ КИПиА</x:v>
      </x:c>
      <x:c r="E90" s="16" t="str">
        <x:v>ШТ</x:v>
      </x:c>
      <x:c r="F90" s="21" t="n">
        <x:v>122</x:v>
      </x:c>
      <x:c r="G90" s="17" t="n">
        <x:v>1685.6496</x:v>
      </x:c>
      <x:c r="H90" s="17" t="n">
        <x:f>G90*F90</x:f>
        <x:v>205649.2512</x:v>
      </x:c>
      <x:c r="I90" s="22" t="str">
        <x:f>HYPERLINK("https://etp-aktiv.ru/catalog/materialy/zapasnye-chasti-i-prinadlezhnosti-dlya-priborov-kipia/2000627513-V119/","Открыть позицию")</x:f>
        <x:v>Открыть позицию</x:v>
      </x:c>
    </x:row>
    <x:row r="91" ht="28" customHeight="1">
      <x:c r="A91" s="16" t="str">
        <x:v>Красноярская ТЭЦ-1</x:v>
      </x:c>
      <x:c r="B91" s="16" t="str">
        <x:v>2000509126-V119</x:v>
      </x:c>
      <x:c r="C91" s="16" t="str">
        <x:v>ПУСКАТЕЛЬ ПМ 12К-016150 УХЛ4В 24В</x:v>
      </x:c>
      <x:c r="D91" s="16" t="str">
        <x:v>Низковол апп-ра и ЗЧ</x:v>
      </x:c>
      <x:c r="E91" s="16" t="str">
        <x:v>ШТ</x:v>
      </x:c>
      <x:c r="F91" s="21" t="n">
        <x:v>3</x:v>
      </x:c>
      <x:c r="G91" s="17" t="n">
        <x:v>1070.2694</x:v>
      </x:c>
      <x:c r="H91" s="17" t="n">
        <x:f>G91*F91</x:f>
        <x:v>3210.8081999999995</x:v>
      </x:c>
      <x:c r="I91" s="22" t="str">
        <x:f>HYPERLINK("https://etp-aktiv.ru/catalog/materialy/nizkovoltnaya-apparatura-i-zapasnye-chasti/2000509126-V119/","Открыть позицию")</x:f>
        <x:v>Открыть позицию</x:v>
      </x:c>
    </x:row>
    <x:row r="92" ht="28" customHeight="1">
      <x:c r="A92" s="16" t="str">
        <x:v>Красноярская ТЭЦ-1</x:v>
      </x:c>
      <x:c r="B92" s="16" t="str">
        <x:v>2000908630-V119</x:v>
      </x:c>
      <x:c r="C92" s="16" t="str">
        <x:v>РЕЛЕ HHC68A-3Z-220A</x:v>
      </x:c>
      <x:c r="D92" s="16" t="str">
        <x:v>Низковол апп-ра и ЗЧ</x:v>
      </x:c>
      <x:c r="E92" s="16" t="str">
        <x:v>ШТ</x:v>
      </x:c>
      <x:c r="F92" s="21" t="n">
        <x:v>3</x:v>
      </x:c>
      <x:c r="G92" s="17" t="n">
        <x:v>629.2882</x:v>
      </x:c>
      <x:c r="H92" s="17" t="n">
        <x:f>G92*F92</x:f>
        <x:v>1887.8645999999999</x:v>
      </x:c>
      <x:c r="I92" s="22" t="str">
        <x:f>HYPERLINK("https://etp-aktiv.ru/catalog/materialy/nizkovoltnaya-apparatura-i-zapasnye-chasti/2000908630-V119/","Открыть позицию")</x:f>
        <x:v>Открыть позицию</x:v>
      </x:c>
    </x:row>
    <x:row r="93" ht="28" customHeight="1">
      <x:c r="A93" s="16" t="str">
        <x:v>Красноярская ТЭЦ-1</x:v>
      </x:c>
      <x:c r="B93" s="16" t="str">
        <x:v>2000582335-V119</x:v>
      </x:c>
      <x:c r="C93" s="16" t="str">
        <x:v>РЕЛЕ OPTISTART TU85-120 380В/80-120А 3P</x:v>
      </x:c>
      <x:c r="D93" s="16" t="str">
        <x:v>Низковол апп-ра и ЗЧ</x:v>
      </x:c>
      <x:c r="E93" s="16" t="str">
        <x:v>ШТ</x:v>
      </x:c>
      <x:c r="F93" s="21" t="n">
        <x:v>1</x:v>
      </x:c>
      <x:c r="G93" s="17" t="n">
        <x:v>9935.07</x:v>
      </x:c>
      <x:c r="H93" s="17" t="n">
        <x:f>G93*F93</x:f>
        <x:v>9935.07</x:v>
      </x:c>
      <x:c r="I93" s="22" t="str">
        <x:f>HYPERLINK("https://etp-aktiv.ru/catalog/materialy/nizkovoltnaya-apparatura-i-zapasnye-chasti/2000582335-V119/","Открыть позицию")</x:f>
        <x:v>Открыть позицию</x:v>
      </x:c>
    </x:row>
    <x:row r="94" ht="28" customHeight="1">
      <x:c r="A94" s="16" t="str">
        <x:v>Красноярская ТЭЦ-1</x:v>
      </x:c>
      <x:c r="B94" s="16" t="str">
        <x:v>2000567781-V119</x:v>
      </x:c>
      <x:c r="C94" s="16" t="str">
        <x:v>РЕЛЕ R4-2314-23-1220-WTLD IP40 220В</x:v>
      </x:c>
      <x:c r="D94" s="16" t="str">
        <x:v>Низковол апп-ра и ЗЧ</x:v>
      </x:c>
      <x:c r="E94" s="16" t="str">
        <x:v>ШТ</x:v>
      </x:c>
      <x:c r="F94" s="21" t="n">
        <x:v>10</x:v>
      </x:c>
      <x:c r="G94" s="17" t="n">
        <x:v>269.925</x:v>
      </x:c>
      <x:c r="H94" s="17" t="n">
        <x:f>G94*F94</x:f>
        <x:v>2699.25</x:v>
      </x:c>
      <x:c r="I94" s="22" t="str">
        <x:f>HYPERLINK("https://etp-aktiv.ru/catalog/materialy/nizkovoltnaya-apparatura-i-zapasnye-chasti/2000567781-V119/","Открыть позицию")</x:f>
        <x:v>Открыть позицию</x:v>
      </x:c>
    </x:row>
    <x:row r="95" ht="28" customHeight="1">
      <x:c r="A95" s="16" t="str">
        <x:v>Красноярская ТЭЦ-1</x:v>
      </x:c>
      <x:c r="B95" s="16" t="str">
        <x:v>2000567812-V119</x:v>
      </x:c>
      <x:c r="C95" s="16" t="str">
        <x:v>РЕЛЕ REL-IR4/LDP-220/4*21AU 2903675 220В</x:v>
      </x:c>
      <x:c r="D95" s="16" t="str">
        <x:v>Низковол апп-ра и ЗЧ</x:v>
      </x:c>
      <x:c r="E95" s="16" t="str">
        <x:v>ШТ</x:v>
      </x:c>
      <x:c r="F95" s="21" t="n">
        <x:v>6</x:v>
      </x:c>
      <x:c r="G95" s="17" t="n">
        <x:v>488.61</x:v>
      </x:c>
      <x:c r="H95" s="17" t="n">
        <x:f>G95*F95</x:f>
        <x:v>2931.66</x:v>
      </x:c>
      <x:c r="I95" s="22" t="str">
        <x:f>HYPERLINK("https://etp-aktiv.ru/catalog/materialy/nizkovoltnaya-apparatura-i-zapasnye-chasti/2000567812-V119/","Открыть позицию")</x:f>
        <x:v>Открыть позицию</x:v>
      </x:c>
    </x:row>
    <x:row r="96" ht="28" customHeight="1">
      <x:c r="A96" s="16" t="str">
        <x:v>Красноярская ТЭЦ-1</x:v>
      </x:c>
      <x:c r="B96" s="16" t="str">
        <x:v>2000567807-V119</x:v>
      </x:c>
      <x:c r="C96" s="16" t="str">
        <x:v>РЕЛЕ ПОТОКА ДР-П-М IP55 8А 220В</x:v>
      </x:c>
      <x:c r="D96" s="16" t="str">
        <x:v>Низковол апп-ра и ЗЧ</x:v>
      </x:c>
      <x:c r="E96" s="16" t="str">
        <x:v>ШТ</x:v>
      </x:c>
      <x:c r="F96" s="21" t="n">
        <x:v>1</x:v>
      </x:c>
      <x:c r="G96" s="17" t="n">
        <x:v>3026.3686000000002</x:v>
      </x:c>
      <x:c r="H96" s="17" t="n">
        <x:f>G96*F96</x:f>
        <x:v>3026.3686000000002</x:v>
      </x:c>
      <x:c r="I96" s="22" t="str">
        <x:f>HYPERLINK("https://etp-aktiv.ru/catalog/materialy/nizkovoltnaya-apparatura-i-zapasnye-chasti/2000567807-V119/","Открыть позицию")</x:f>
        <x:v>Открыть позицию</x:v>
      </x:c>
    </x:row>
    <x:row r="97" ht="28" customHeight="1">
      <x:c r="A97" s="16" t="str">
        <x:v>Красноярская ТЭЦ-1</x:v>
      </x:c>
      <x:c r="B97" s="16" t="str">
        <x:v>2000255067-V119</x:v>
      </x:c>
      <x:c r="C97" s="16" t="str">
        <x:v>РЕЛЕ РМ-12-18 220В 100В</x:v>
      </x:c>
      <x:c r="D97" s="16" t="str">
        <x:v>Низковол апп-ра и ЗЧ</x:v>
      </x:c>
      <x:c r="E97" s="16" t="str">
        <x:v>ШТ</x:v>
      </x:c>
      <x:c r="F97" s="21" t="n">
        <x:v>5</x:v>
      </x:c>
      <x:c r="G97" s="17" t="n">
        <x:v>11086.2254</x:v>
      </x:c>
      <x:c r="H97" s="17" t="n">
        <x:f>G97*F97</x:f>
        <x:v>55431.12699999999</x:v>
      </x:c>
      <x:c r="I97" s="22" t="str">
        <x:f>HYPERLINK("https://etp-aktiv.ru/catalog/materialy/nizkovoltnaya-apparatura-i-zapasnye-chasti/2000255067-V119/","Открыть позицию")</x:f>
        <x:v>Открыть позицию</x:v>
      </x:c>
    </x:row>
    <x:row r="98" ht="28" customHeight="1">
      <x:c r="A98" s="16" t="str">
        <x:v>Красноярская ТЭЦ-1</x:v>
      </x:c>
      <x:c r="B98" s="16" t="str">
        <x:v>2000570871-V119</x:v>
      </x:c>
      <x:c r="C98" s="16" t="str">
        <x:v>РЕЛЕ РП 25/3 10А 230В RP-25-3-230</x:v>
      </x:c>
      <x:c r="D98" s="16" t="str">
        <x:v>Низковол апп-ра и ЗЧ</x:v>
      </x:c>
      <x:c r="E98" s="16" t="str">
        <x:v>ШТ</x:v>
      </x:c>
      <x:c r="F98" s="21" t="n">
        <x:v>11</x:v>
      </x:c>
      <x:c r="G98" s="17" t="n">
        <x:v>129.6982</x:v>
      </x:c>
      <x:c r="H98" s="17" t="n">
        <x:f>G98*F98</x:f>
        <x:v>1426.6802000000002</x:v>
      </x:c>
      <x:c r="I98" s="22" t="str">
        <x:f>HYPERLINK("https://etp-aktiv.ru/catalog/materialy/nizkovoltnaya-apparatura-i-zapasnye-chasti/2000570871-V119/","Открыть позицию")</x:f>
        <x:v>Открыть позицию</x:v>
      </x:c>
    </x:row>
    <x:row r="99" ht="28" customHeight="1">
      <x:c r="A99" s="16" t="str">
        <x:v>Красноярская ТЭЦ-1</x:v>
      </x:c>
      <x:c r="B99" s="16" t="str">
        <x:v>2000138563-V119</x:v>
      </x:c>
      <x:c r="C99" s="16" t="str">
        <x:v>РЕЛЕ РП-16-4 220В</x:v>
      </x:c>
      <x:c r="D99" s="16" t="str">
        <x:v>Низковол апп-ра и ЗЧ</x:v>
      </x:c>
      <x:c r="E99" s="16" t="str">
        <x:v>ШТ</x:v>
      </x:c>
      <x:c r="F99" s="21" t="n">
        <x:v>2</x:v>
      </x:c>
      <x:c r="G99" s="17" t="n">
        <x:v>1141.92</x:v>
      </x:c>
      <x:c r="H99" s="17" t="n">
        <x:f>G99*F99</x:f>
        <x:v>2283.84</x:v>
      </x:c>
      <x:c r="I99" s="22" t="str">
        <x:f>HYPERLINK("https://etp-aktiv.ru/catalog/materialy/nizkovoltnaya-apparatura-i-zapasnye-chasti/2000138563-V119/","Открыть позицию")</x:f>
        <x:v>Открыть позицию</x:v>
      </x:c>
    </x:row>
    <x:row r="100" ht="28" customHeight="1">
      <x:c r="A100" s="16" t="str">
        <x:v>Красноярская ТЭЦ-1</x:v>
      </x:c>
      <x:c r="B100" s="16" t="str">
        <x:v>2000536002-V119</x:v>
      </x:c>
      <x:c r="C100" s="16" t="str">
        <x:v>РЕЛЕ РСВ 18-12 0,3-3С З/П 220В</x:v>
      </x:c>
      <x:c r="D100" s="16" t="str">
        <x:v>Низковол апп-ра и ЗЧ</x:v>
      </x:c>
      <x:c r="E100" s="16" t="str">
        <x:v>ШТ</x:v>
      </x:c>
      <x:c r="F100" s="21" t="n">
        <x:v>5</x:v>
      </x:c>
      <x:c r="G100" s="17" t="n">
        <x:v>1880.325</x:v>
      </x:c>
      <x:c r="H100" s="17" t="n">
        <x:f>G100*F100</x:f>
        <x:v>9401.625</x:v>
      </x:c>
      <x:c r="I100" s="22" t="str">
        <x:f>HYPERLINK("https://etp-aktiv.ru/catalog/materialy/nizkovoltnaya-apparatura-i-zapasnye-chasti/2000536002-V119/","Открыть позицию")</x:f>
        <x:v>Открыть позицию</x:v>
      </x:c>
    </x:row>
    <x:row r="101" ht="28" customHeight="1">
      <x:c r="A101" s="16" t="str">
        <x:v>Красноярская ТЭЦ-1</x:v>
      </x:c>
      <x:c r="B101" s="16" t="str">
        <x:v>2000536017-V119</x:v>
      </x:c>
      <x:c r="C101" s="16" t="str">
        <x:v>РЕЛЕ РСВ-18-23 УХЛ4 1-10С П/П 220В</x:v>
      </x:c>
      <x:c r="D101" s="16" t="str">
        <x:v>Низковол апп-ра и ЗЧ</x:v>
      </x:c>
      <x:c r="E101" s="16" t="str">
        <x:v>ШТ</x:v>
      </x:c>
      <x:c r="F101" s="21" t="n">
        <x:v>1</x:v>
      </x:c>
      <x:c r="G101" s="17" t="n">
        <x:v>1988.7586000000001</x:v>
      </x:c>
      <x:c r="H101" s="17" t="n">
        <x:f>G101*F101</x:f>
        <x:v>1988.7586000000001</x:v>
      </x:c>
      <x:c r="I101" s="22" t="str">
        <x:f>HYPERLINK("https://etp-aktiv.ru/catalog/materialy/nizkovoltnaya-apparatura-i-zapasnye-chasti/2000536017-V119/","Открыть позицию")</x:f>
        <x:v>Открыть позицию</x:v>
      </x:c>
    </x:row>
    <x:row r="102" ht="28" customHeight="1">
      <x:c r="A102" s="16" t="str">
        <x:v>Красноярская ТЭЦ-1</x:v>
      </x:c>
      <x:c r="B102" s="16" t="str">
        <x:v>2000287760-V119</x:v>
      </x:c>
      <x:c r="C102" s="16" t="str">
        <x:v>РЕЛЕ РСГМ-11-50 220В 3P С</x:v>
      </x:c>
      <x:c r="D102" s="16" t="str">
        <x:v>Низковол апп-ра и ЗЧ</x:v>
      </x:c>
      <x:c r="E102" s="16" t="str">
        <x:v>ШТ</x:v>
      </x:c>
      <x:c r="F102" s="21" t="n">
        <x:v>5</x:v>
      </x:c>
      <x:c r="G102" s="17" t="n">
        <x:v>10769.3182</x:v>
      </x:c>
      <x:c r="H102" s="17" t="n">
        <x:f>G102*F102</x:f>
        <x:v>53846.591</x:v>
      </x:c>
      <x:c r="I102" s="22" t="str">
        <x:f>HYPERLINK("https://etp-aktiv.ru/catalog/materialy/nizkovoltnaya-apparatura-i-zapasnye-chasti/2000287760-V119/","Открыть позицию")</x:f>
        <x:v>Открыть позицию</x:v>
      </x:c>
    </x:row>
    <x:row r="103" ht="28" customHeight="1">
      <x:c r="A103" s="16" t="str">
        <x:v>Красноярская ТЭЦ-1</x:v>
      </x:c>
      <x:c r="B103" s="16" t="str">
        <x:v>2000176262-V119</x:v>
      </x:c>
      <x:c r="C103" s="16" t="str">
        <x:v>РЕЛЕ РЭУ-11-20-2-40-УЗ 220В</x:v>
      </x:c>
      <x:c r="D103" s="16" t="str">
        <x:v>Низковол апп-ра и ЗЧ</x:v>
      </x:c>
      <x:c r="E103" s="16" t="str">
        <x:v>ШТ</x:v>
      </x:c>
      <x:c r="F103" s="21" t="n">
        <x:v>6</x:v>
      </x:c>
      <x:c r="G103" s="17" t="n">
        <x:v>789.8768</x:v>
      </x:c>
      <x:c r="H103" s="17" t="n">
        <x:f>G103*F103</x:f>
        <x:v>4739.2608</x:v>
      </x:c>
      <x:c r="I103" s="22" t="str">
        <x:f>HYPERLINK("https://etp-aktiv.ru/catalog/materialy/nizkovoltnaya-apparatura-i-zapasnye-chasti/2000176262-V119/","Открыть позицию")</x:f>
        <x:v>Открыть позицию</x:v>
      </x:c>
    </x:row>
    <x:row r="104" ht="28" customHeight="1">
      <x:c r="A104" s="16" t="str">
        <x:v>Красноярская ТЭЦ-1</x:v>
      </x:c>
      <x:c r="B104" s="16" t="str">
        <x:v>2000163712-V119</x:v>
      </x:c>
      <x:c r="C104" s="16" t="str">
        <x:v>РУБИЛЬНИК Р16У3 16А</x:v>
      </x:c>
      <x:c r="D104" s="16" t="str">
        <x:v>Проч э/технич мат-лы</x:v>
      </x:c>
      <x:c r="E104" s="16" t="str">
        <x:v>ШТ</x:v>
      </x:c>
      <x:c r="F104" s="21" t="n">
        <x:v>0</x:v>
      </x:c>
      <x:c r="G104" s="17" t="n">
        <x:v>83.4968</x:v>
      </x:c>
      <x:c r="H104" s="17" t="n">
        <x:f>G104*F104</x:f>
        <x:v>0</x:v>
      </x:c>
      <x:c r="I104" s="22" t="str">
        <x:f>HYPERLINK("https://etp-aktiv.ru/catalog/materialy/ehlektrotekhnicheskie-materialy/2000163712-V119/","Открыть позицию")</x:f>
        <x:v>Открыть позицию</x:v>
      </x:c>
    </x:row>
    <x:row r="105" ht="28" customHeight="1">
      <x:c r="A105" s="16" t="str">
        <x:v>Красноярская ТЭЦ-1</x:v>
      </x:c>
      <x:c r="B105" s="16" t="str">
        <x:v>2000212342-V119</x:v>
      </x:c>
      <x:c r="C105" s="16" t="str">
        <x:v>СВЕТИЛЬНИК ЛСУ-1 60ВТ 220В Е27 IР44 25М</x:v>
      </x:c>
      <x:c r="D105" s="16" t="str">
        <x:v>Освет и э/установоч</x:v>
      </x:c>
      <x:c r="E105" s="16" t="str">
        <x:v>ШТ</x:v>
      </x:c>
      <x:c r="F105" s="21" t="n">
        <x:v>2</x:v>
      </x:c>
      <x:c r="G105" s="17" t="n">
        <x:v>2933.5876</x:v>
      </x:c>
      <x:c r="H105" s="17" t="n">
        <x:f>G105*F105</x:f>
        <x:v>5867.1752</x:v>
      </x:c>
      <x:c r="I105" s="22" t="str">
        <x:f>HYPERLINK("https://etp-aktiv.ru/catalog/materialy/ehlektrotekhnicheskie-materialy/2000212342-V119/","Открыть позицию")</x:f>
        <x:v>Открыть позицию</x:v>
      </x:c>
    </x:row>
    <x:row r="106" ht="28" customHeight="1">
      <x:c r="A106" s="16" t="str">
        <x:v>Красноярская ТЭЦ-1</x:v>
      </x:c>
      <x:c r="B106" s="16" t="str">
        <x:v>2000541232-V119</x:v>
      </x:c>
      <x:c r="C106" s="16" t="str">
        <x:v>СОСУД СК-40-13-Б</x:v>
      </x:c>
      <x:c r="D106" s="16" t="str">
        <x:v>ЗЧ КИПиА</x:v>
      </x:c>
      <x:c r="E106" s="16" t="str">
        <x:v>ШТ</x:v>
      </x:c>
      <x:c r="F106" s="21" t="n">
        <x:v>8</x:v>
      </x:c>
      <x:c r="G106" s="17" t="n">
        <x:v>2685.525</x:v>
      </x:c>
      <x:c r="H106" s="17" t="n">
        <x:f>G106*F106</x:f>
        <x:v>21484.2</x:v>
      </x:c>
      <x:c r="I106" s="22" t="str">
        <x:f>HYPERLINK("https://etp-aktiv.ru/catalog/materialy/zapasnye-chasti-i-prinadlezhnosti-dlya-priborov-kipia/2000541232-V119/","Открыть позицию")</x:f>
        <x:v>Открыть позицию</x:v>
      </x:c>
    </x:row>
    <x:row r="107" ht="28" customHeight="1">
      <x:c r="A107" s="16" t="str">
        <x:v>Красноярская ТЭЦ-1</x:v>
      </x:c>
      <x:c r="B107" s="16" t="str">
        <x:v>2000190096-V119</x:v>
      </x:c>
      <x:c r="C107" s="16" t="str">
        <x:v>СЧЕТЧИК СВН-2-02</x:v>
      </x:c>
      <x:c r="D107" s="16" t="str">
        <x:v>ЗЧ КИПиА</x:v>
      </x:c>
      <x:c r="E107" s="16" t="str">
        <x:v>ШТ</x:v>
      </x:c>
      <x:c r="F107" s="21" t="n">
        <x:v>3</x:v>
      </x:c>
      <x:c r="G107" s="17" t="n">
        <x:v>735.3184</x:v>
      </x:c>
      <x:c r="H107" s="17" t="n">
        <x:f>G107*F107</x:f>
        <x:v>2205.9552</x:v>
      </x:c>
      <x:c r="I107" s="22" t="str">
        <x:f>HYPERLINK("https://etp-aktiv.ru/catalog/materialy/zapasnye-chasti-i-prinadlezhnosti-dlya-priborov-kipia/2000190096-V119/","Открыть позицию")</x:f>
        <x:v>Открыть позицию</x:v>
      </x:c>
    </x:row>
    <x:row r="108" ht="28" customHeight="1">
      <x:c r="A108" s="16" t="str">
        <x:v>Красноярская ТЭЦ-1</x:v>
      </x:c>
      <x:c r="B108" s="16" t="str">
        <x:v>2000527112-V119</x:v>
      </x:c>
      <x:c r="C108" s="16" t="str">
        <x:v>УСТРОЙСТВО ИНДИКАЦИИ И РЕГИСТРАЦИИ УИР13</x:v>
      </x:c>
      <x:c r="D108" s="16" t="str">
        <x:v>ЗЧ высоковоль оборуд</x:v>
      </x:c>
      <x:c r="E108" s="16" t="str">
        <x:v>ШТ</x:v>
      </x:c>
      <x:c r="F108" s="21" t="n">
        <x:v>72</x:v>
      </x:c>
      <x:c r="G108" s="17" t="n">
        <x:v>4346.7501999999995</x:v>
      </x:c>
      <x:c r="H108" s="17" t="n">
        <x:f>G108*F108</x:f>
        <x:v>312966.0144</x:v>
      </x:c>
      <x:c r="I108" s="22" t="str">
        <x:f>HYPERLINK("https://etp-aktiv.ru/catalog/materialy/ehlektrotekhnicheskie-materialy/2000527112-V119/","Открыть позицию")</x:f>
        <x:v>Открыть позицию</x:v>
      </x:c>
    </x:row>
    <x:row r="109" ht="28" customHeight="1">
      <x:c r="A109" s="16" t="str">
        <x:v>Красноярская ТЭЦ-1</x:v>
      </x:c>
      <x:c r="B109" s="16" t="str">
        <x:v>5000057855-V119</x:v>
      </x:c>
      <x:c r="C109" s="16" t="str">
        <x:v>ШКАФ ЗАЖИМОВ ПРОМЕЖУТОЧ ШЗВ-90 IP54 УХЛ1</x:v>
      </x:c>
      <x:c r="D109" s="16" t="str">
        <x:v>Низковольт обор проч</x:v>
      </x:c>
      <x:c r="E109" s="16" t="str">
        <x:v>ШТ</x:v>
      </x:c>
      <x:c r="F109" s="21" t="n">
        <x:v>3</x:v>
      </x:c>
      <x:c r="G109" s="17" t="n">
        <x:v>14868.9818</x:v>
      </x:c>
      <x:c r="H109" s="17" t="n">
        <x:f>G109*F109</x:f>
        <x:v>44606.9454</x:v>
      </x:c>
      <x:c r="I109" s="22" t="str">
        <x:f>HYPERLINK("https://etp-aktiv.ru/catalog/materialy/nizkovoltnaya-apparatura-i-zapasnye-chasti/5000057855-V119/","Открыть позицию")</x:f>
        <x:v>Открыть позицию</x:v>
      </x:c>
    </x:row>
    <x:row r="110" ht="28" customHeight="1">
      <x:c r="A110" s="16" t="str">
        <x:v>Красноярская ТЭЦ-1</x:v>
      </x:c>
      <x:c r="B110" s="16" t="str">
        <x:v>2000010230-V119</x:v>
      </x:c>
      <x:c r="C110" s="16" t="str">
        <x:v>ЩИТ ОСВЕЩЕНИЯ ЩО 8505-0406</x:v>
      </x:c>
      <x:c r="D110" s="16" t="str">
        <x:v>Низковол апп-ра и ЗЧ</x:v>
      </x:c>
      <x:c r="E110" s="16" t="str">
        <x:v>ШТ</x:v>
      </x:c>
      <x:c r="F110" s="21" t="n">
        <x:v>2</x:v>
      </x:c>
      <x:c r="G110" s="17" t="n">
        <x:v>2887.5936</x:v>
      </x:c>
      <x:c r="H110" s="17" t="n">
        <x:f>G110*F110</x:f>
        <x:v>5775.1872</x:v>
      </x:c>
      <x:c r="I110" s="22" t="str">
        <x:f>HYPERLINK("https://etp-aktiv.ru/catalog/materialy/nizkovoltnaya-apparatura-i-zapasnye-chasti/2000010230-V119/","Открыть позицию")</x:f>
        <x:v>Открыть позицию</x:v>
      </x:c>
    </x:row>
    <x:row r="111" ht="28" customHeight="1">
      <x:c r="A111" s="16" t="str">
        <x:v>Красноярская ТЭЦ-1</x:v>
      </x:c>
      <x:c r="B111" s="16" t="str">
        <x:v>2000581584-V119</x:v>
      </x:c>
      <x:c r="C111" s="16" t="str">
        <x:v>Э/ДВИГ 5АМ280M4 E У3 132/660 1485/1081</x:v>
      </x:c>
      <x:c r="D111" s="16" t="str">
        <x:v>Электродвигат станд</x:v>
      </x:c>
      <x:c r="E111" s="16" t="str">
        <x:v>ШТ</x:v>
      </x:c>
      <x:c r="F111" s="21" t="n">
        <x:v>0</x:v>
      </x:c>
      <x:c r="G111" s="17" t="n">
        <x:v>85095</x:v>
      </x:c>
      <x:c r="H111" s="17" t="n">
        <x:f>G111*F111</x:f>
        <x:v>0</x:v>
      </x:c>
      <x:c r="I111" s="22" t="str">
        <x:f>HYPERLINK("https://etp-aktiv.ru/catalog/materialy/ehlektrodvigateli/2000581584-V119/","Открыть позицию")</x:f>
        <x:v>Открыть позицию</x:v>
      </x:c>
    </x:row>
    <x:row r="112" ht="28" customHeight="1">
      <x:c r="A112" s="16" t="str">
        <x:v>Красноярская ТЭЦ-1</x:v>
      </x:c>
      <x:c r="B112" s="16" t="str">
        <x:v>2000528333-V119</x:v>
      </x:c>
      <x:c r="C112" s="16" t="str">
        <x:v>Э/ДВИГ А225М2 55/380/3000/IM2081</x:v>
      </x:c>
      <x:c r="D112" s="16" t="str">
        <x:v>Электродвигат станд</x:v>
      </x:c>
      <x:c r="E112" s="16" t="str">
        <x:v>ШТ</x:v>
      </x:c>
      <x:c r="F112" s="21" t="n">
        <x:v>0</x:v>
      </x:c>
      <x:c r="G112" s="17" t="n">
        <x:v>78095.0792</x:v>
      </x:c>
      <x:c r="H112" s="17" t="n">
        <x:f>G112*F112</x:f>
        <x:v>0</x:v>
      </x:c>
      <x:c r="I112" s="22" t="str">
        <x:f>HYPERLINK("https://etp-aktiv.ru/catalog/materialy/ehlektrodvigateli/2000528333-V119/","Открыть позицию")</x:f>
        <x:v>Открыть позицию</x:v>
      </x:c>
    </x:row>
    <x:row r="113" ht="28" customHeight="1">
      <x:c r="A113" s="16" t="str">
        <x:v>Красноярская ТЭЦ-1</x:v>
      </x:c>
      <x:c r="B113" s="16" t="str">
        <x:v>2000552193-V119</x:v>
      </x:c>
      <x:c r="C113" s="16" t="str">
        <x:v>Э/ДВИГ АИР71А4У3 0,55/380/1360/IM2101</x:v>
      </x:c>
      <x:c r="D113" s="16" t="str">
        <x:v>Электродвигат станд</x:v>
      </x:c>
      <x:c r="E113" s="16" t="str">
        <x:v>ШТ</x:v>
      </x:c>
      <x:c r="F113" s="21" t="n">
        <x:v>1</x:v>
      </x:c>
      <x:c r="G113" s="17" t="n">
        <x:v>11259.160399999999</x:v>
      </x:c>
      <x:c r="H113" s="17" t="n">
        <x:f>G113*F113</x:f>
        <x:v>11259.160399999999</x:v>
      </x:c>
      <x:c r="I113" s="22" t="str">
        <x:f>HYPERLINK("https://etp-aktiv.ru/catalog/materialy/ehlektrodvigateli/2000552193-V119/","Открыть позицию")</x:f>
        <x:v>Открыть позицию</x:v>
      </x:c>
    </x:row>
    <x:row r="114" ht="28" customHeight="1">
      <x:c r="A114" s="16" t="str">
        <x:v>Красноярская ТЭЦ-1</x:v>
      </x:c>
      <x:c r="B114" s="16" t="str">
        <x:v>2000552195-V119</x:v>
      </x:c>
      <x:c r="C114" s="16" t="str">
        <x:v>Э/ДВИГ АИР71В4 0,75/380/1500/IM3081</x:v>
      </x:c>
      <x:c r="D114" s="16" t="str">
        <x:v>Электродвигат станд</x:v>
      </x:c>
      <x:c r="E114" s="16" t="str">
        <x:v>ШТ</x:v>
      </x:c>
      <x:c r="F114" s="21" t="n">
        <x:v>2</x:v>
      </x:c>
      <x:c r="G114" s="17" t="n">
        <x:v>4033.7836</x:v>
      </x:c>
      <x:c r="H114" s="17" t="n">
        <x:f>G114*F114</x:f>
        <x:v>8067.5672</x:v>
      </x:c>
      <x:c r="I114" s="22" t="str">
        <x:f>HYPERLINK("https://etp-aktiv.ru/catalog/materialy/ehlektrodvigateli/2000552195-V119/","Открыть позицию")</x:f>
        <x:v>Открыть позицию</x:v>
      </x:c>
    </x:row>
    <x:row r="115" ht="28" customHeight="1">
      <x:c r="A115" s="16" t="str">
        <x:v>Красноярская ТЭЦ-1</x:v>
      </x:c>
      <x:c r="B115" s="16" t="str">
        <x:v>2000552205-V119</x:v>
      </x:c>
      <x:c r="C115" s="16" t="str">
        <x:v>Э/ДВИГ АИР80В4 1,5/380/1500/IM1081</x:v>
      </x:c>
      <x:c r="D115" s="16" t="str">
        <x:v>Электродвигат станд</x:v>
      </x:c>
      <x:c r="E115" s="16" t="str">
        <x:v>ШТ</x:v>
      </x:c>
      <x:c r="F115" s="21" t="n">
        <x:v>7</x:v>
      </x:c>
      <x:c r="G115" s="17" t="n">
        <x:v>4891.3704</x:v>
      </x:c>
      <x:c r="H115" s="17" t="n">
        <x:f>G115*F115</x:f>
        <x:v>34239.5928</x:v>
      </x:c>
      <x:c r="I115" s="22" t="str">
        <x:f>HYPERLINK("https://etp-aktiv.ru/catalog/materialy/ehlektrodvigateli/2000552205-V119/","Открыть позицию")</x:f>
        <x:v>Открыть позицию</x:v>
      </x:c>
    </x:row>
    <x:row r="116" ht="28" customHeight="1">
      <x:c r="A116" s="16" t="str">
        <x:v>Красноярская ТЭЦ-1</x:v>
      </x:c>
      <x:c r="B116" s="16" t="str">
        <x:v>2000255141-V119</x:v>
      </x:c>
      <x:c r="C116" s="16" t="str">
        <x:v>Э/ЩЕТКА МГ К1-1 ПЩ2,5 10*12,5*32</x:v>
      </x:c>
      <x:c r="D116" s="16" t="str">
        <x:v>Электрощетки</x:v>
      </x:c>
      <x:c r="E116" s="16" t="str">
        <x:v>ШТ</x:v>
      </x:c>
      <x:c r="F116" s="21" t="n">
        <x:v>60</x:v>
      </x:c>
      <x:c r="G116" s="17" t="n">
        <x:v>69.46679999999999</x:v>
      </x:c>
      <x:c r="H116" s="17" t="n">
        <x:f>G116*F116</x:f>
        <x:v>4168.008</x:v>
      </x:c>
      <x:c r="I116" s="22" t="str">
        <x:f>HYPERLINK("https://etp-aktiv.ru/catalog/materialy/ehlektrotekhnicheskie-materialy/2000255141-V119/","Открыть позицию")</x:f>
        <x:v>Открыть позицию</x:v>
      </x:c>
    </x:row>
    <x:row r="117" ht="28" customHeight="1">
      <x:c r="A117" s="16" t="str">
        <x:v>Красноярская ТЭЦ-2</x:v>
      </x:c>
      <x:c r="B117" s="16" t="str">
        <x:v>2000144958-V113</x:v>
      </x:c>
      <x:c r="C117" s="16" t="str">
        <x:v>ВЫКЛЮЧАТЕЛЬ ABB F202A-25/0,03 25А</x:v>
      </x:c>
      <x:c r="D117" s="16" t="str">
        <x:v>Низковол апп-ра и ЗЧ</x:v>
      </x:c>
      <x:c r="E117" s="16" t="str">
        <x:v>ШТ</x:v>
      </x:c>
      <x:c r="F117" s="21" t="n">
        <x:v>1</x:v>
      </x:c>
      <x:c r="G117" s="17" t="n">
        <x:v>1737.585</x:v>
      </x:c>
      <x:c r="H117" s="17" t="n">
        <x:f>G117*F117</x:f>
        <x:v>1737.585</x:v>
      </x:c>
      <x:c r="I117" s="22" t="str">
        <x:f>HYPERLINK("https://etp-aktiv.ru/catalog/materialy/nizkovoltnaya-apparatura-i-zapasnye-chasti/2000144958-V113/","Открыть позицию")</x:f>
        <x:v>Открыть позицию</x:v>
      </x:c>
    </x:row>
    <x:row r="118" ht="28" customHeight="1">
      <x:c r="A118" s="16" t="str">
        <x:v>Красноярская ТЭЦ-2</x:v>
      </x:c>
      <x:c r="B118" s="16" t="str">
        <x:v>2001011037-V113</x:v>
      </x:c>
      <x:c r="C118" s="16" t="str">
        <x:v>ИЗОЛЯТОР ТВФ-110-2УЗ ФАРФОР 3475</x:v>
      </x:c>
      <x:c r="D118" s="16" t="str">
        <x:v>ЗЧ турбогенераторов</x:v>
      </x:c>
      <x:c r="E118" s="16" t="str">
        <x:v>ШТ</x:v>
      </x:c>
      <x:c r="F118" s="21" t="n">
        <x:v>3</x:v>
      </x:c>
      <x:c r="G118" s="17" t="n">
        <x:v>15610.363599999999</x:v>
      </x:c>
      <x:c r="H118" s="17" t="n">
        <x:f>G118*F118</x:f>
        <x:v>46831.0908</x:v>
      </x:c>
      <x:c r="I118" s="22" t="str">
        <x:f>HYPERLINK("https://etp-aktiv.ru/catalog/materialy/zapasnye-chasti-osnovnogo-ehnergeticheskogo-oborudovaniya/2001011037-V113/","Открыть позицию")</x:f>
        <x:v>Открыть позицию</x:v>
      </x:c>
    </x:row>
    <x:row r="119" ht="28" customHeight="1">
      <x:c r="A119" s="16" t="str">
        <x:v>Красноярская ТЭЦ-2</x:v>
      </x:c>
      <x:c r="B119" s="16" t="str">
        <x:v>2000182849-V113</x:v>
      </x:c>
      <x:c r="C119" s="16" t="str">
        <x:v>КРЫШКА ЛОТКА ЗАЗЕМЛ ДКС 35522 100*3000</x:v>
      </x:c>
      <x:c r="D119" s="16" t="str">
        <x:v>Проч э/технич мат-лы</x:v>
      </x:c>
      <x:c r="E119" s="16" t="str">
        <x:v>М</x:v>
      </x:c>
      <x:c r="F119" s="21" t="n">
        <x:v>6</x:v>
      </x:c>
      <x:c r="G119" s="17" t="n">
        <x:v>92.43939999999999</x:v>
      </x:c>
      <x:c r="H119" s="17" t="n">
        <x:f>G119*F119</x:f>
        <x:v>554.6364</x:v>
      </x:c>
      <x:c r="I119" s="22" t="str">
        <x:f>HYPERLINK("https://etp-aktiv.ru/catalog/materialy/ehlektrotekhnicheskie-materialy/2000182849-V113/","Открыть позицию")</x:f>
        <x:v>Открыть позицию</x:v>
      </x:c>
    </x:row>
    <x:row r="120" ht="28" customHeight="1">
      <x:c r="A120" s="16" t="str">
        <x:v>Красноярская ТЭЦ-2</x:v>
      </x:c>
      <x:c r="B120" s="16" t="str">
        <x:v>2000512629-V113</x:v>
      </x:c>
      <x:c r="C120" s="16" t="str">
        <x:v>ЛЕНТА КИПЕРНАЯ ЛЭ-15-13 Х/Б 15ММ</x:v>
      </x:c>
      <x:c r="D120" s="16" t="str">
        <x:v>Э/изоляцион мат-лы</x:v>
      </x:c>
      <x:c r="E120" s="16" t="str">
        <x:v>М</x:v>
      </x:c>
      <x:c r="F120" s="21" t="n">
        <x:v>800</x:v>
      </x:c>
      <x:c r="G120" s="17" t="n">
        <x:v>1.0126</x:v>
      </x:c>
      <x:c r="H120" s="17" t="n">
        <x:f>G120*F120</x:f>
        <x:v>810.0799999999999</x:v>
      </x:c>
      <x:c r="I120" s="22" t="str">
        <x:f>HYPERLINK("https://etp-aktiv.ru/catalog/materialy/ehlektroizolyacionnye-materialy/2000512629-V113/","Открыть позицию")</x:f>
        <x:v>Открыть позицию</x:v>
      </x:c>
    </x:row>
    <x:row r="121" ht="28" customHeight="1">
      <x:c r="A121" s="16" t="str">
        <x:v>Красноярская ТЭЦ-2</x:v>
      </x:c>
      <x:c r="B121" s="16" t="str">
        <x:v>2000284058-V113</x:v>
      </x:c>
      <x:c r="C121" s="16" t="str">
        <x:v>ЛЕНТА КИПЕРНАЯ ЛЭ-30-46 ХБ 30ММ</x:v>
      </x:c>
      <x:c r="D121" s="16" t="str">
        <x:v>Э/изоляцион мат-лы</x:v>
      </x:c>
      <x:c r="E121" s="16" t="str">
        <x:v>М</x:v>
      </x:c>
      <x:c r="F121" s="21" t="n">
        <x:v>1550</x:v>
      </x:c>
      <x:c r="G121" s="17" t="n">
        <x:v>1.159</x:v>
      </x:c>
      <x:c r="H121" s="17" t="n">
        <x:f>G121*F121</x:f>
        <x:v>1796.45</x:v>
      </x:c>
      <x:c r="I121" s="22" t="str">
        <x:f>HYPERLINK("https://etp-aktiv.ru/catalog/materialy/ehlektroizolyacionnye-materialy/2000284058-V113/","Открыть позицию")</x:f>
        <x:v>Открыть позицию</x:v>
      </x:c>
    </x:row>
    <x:row r="122" ht="28" customHeight="1">
      <x:c r="A122" s="16" t="str">
        <x:v>Красноярская ТЭЦ-2</x:v>
      </x:c>
      <x:c r="B122" s="16" t="str">
        <x:v>2000536776-V113</x:v>
      </x:c>
      <x:c r="C122" s="16" t="str">
        <x:v>ПОСТ КНОПОЧНЫЙ ПКУ 15-21.131-54У2</x:v>
      </x:c>
      <x:c r="D122" s="16" t="str">
        <x:v>Низковол апп-ра и ЗЧ</x:v>
      </x:c>
      <x:c r="E122" s="16" t="str">
        <x:v>ШТ</x:v>
      </x:c>
      <x:c r="F122" s="21" t="n">
        <x:v>0</x:v>
      </x:c>
      <x:c r="G122" s="17" t="n">
        <x:v>348.615</x:v>
      </x:c>
      <x:c r="H122" s="17" t="n">
        <x:f>G122*F122</x:f>
        <x:v>0</x:v>
      </x:c>
      <x:c r="I122" s="22" t="str">
        <x:f>HYPERLINK("https://etp-aktiv.ru/catalog/materialy/nizkovoltnaya-apparatura-i-zapasnye-chasti/2000536776-V113/","Открыть позицию")</x:f>
        <x:v>Открыть позицию</x:v>
      </x:c>
    </x:row>
    <x:row r="123" ht="28" customHeight="1">
      <x:c r="A123" s="16" t="str">
        <x:v>Красноярская ТЭЦ-2</x:v>
      </x:c>
      <x:c r="B123" s="16" t="str">
        <x:v>2000862969-V113</x:v>
      </x:c>
      <x:c r="C123" s="16" t="str">
        <x:v>ПОСТ ПКИВА161008КГВ01К11КГВ01Ч02КНВ2MНKP</x:v>
      </x:c>
      <x:c r="D123" s="16" t="str">
        <x:v>Низковол апп-ра и ЗЧ</x:v>
      </x:c>
      <x:c r="E123" s="16" t="str">
        <x:v>ШТ</x:v>
      </x:c>
      <x:c r="F123" s="21" t="n">
        <x:v>5</x:v>
      </x:c>
      <x:c r="G123" s="17" t="n">
        <x:v>11383.515</x:v>
      </x:c>
      <x:c r="H123" s="17" t="n">
        <x:f>G123*F123</x:f>
        <x:v>56917.575</x:v>
      </x:c>
      <x:c r="I123" s="22" t="str">
        <x:f>HYPERLINK("https://etp-aktiv.ru/catalog/materialy/nizkovoltnaya-apparatura-i-zapasnye-chasti/2000862969-V113/","Открыть позицию")</x:f>
        <x:v>Открыть позицию</x:v>
      </x:c>
    </x:row>
    <x:row r="124" ht="28" customHeight="1">
      <x:c r="A124" s="16" t="str">
        <x:v>Красноярская ТЭЦ-2</x:v>
      </x:c>
      <x:c r="B124" s="16" t="str">
        <x:v>2000036565-V113</x:v>
      </x:c>
      <x:c r="C124" s="16" t="str">
        <x:v>ПУСКАТЕЛЬ ПМЕ-211 380В</x:v>
      </x:c>
      <x:c r="D124" s="16" t="str">
        <x:v>Низковол апп-ра и ЗЧ</x:v>
      </x:c>
      <x:c r="E124" s="16" t="str">
        <x:v>ШТ</x:v>
      </x:c>
      <x:c r="F124" s="21" t="n">
        <x:v>0</x:v>
      </x:c>
      <x:c r="G124" s="17" t="n">
        <x:v>471.04200000000003</x:v>
      </x:c>
      <x:c r="H124" s="17" t="n">
        <x:f>G124*F124</x:f>
        <x:v>0</x:v>
      </x:c>
      <x:c r="I124" s="22" t="str">
        <x:f>HYPERLINK("https://etp-aktiv.ru/catalog/materialy/nizkovoltnaya-apparatura-i-zapasnye-chasti/2000036565-V113/","Открыть позицию")</x:f>
        <x:v>Открыть позицию</x:v>
      </x:c>
    </x:row>
    <x:row r="125" ht="28" customHeight="1">
      <x:c r="A125" s="16" t="str">
        <x:v>Красноярская ТЭЦ-2</x:v>
      </x:c>
      <x:c r="B125" s="16" t="str">
        <x:v>2000118701-V113</x:v>
      </x:c>
      <x:c r="C125" s="16" t="str">
        <x:v>РАЗЪЕМ HYPERLINE RJ-12 PLUG-6P6C-P-C2</x:v>
      </x:c>
      <x:c r="D125" s="16" t="str">
        <x:v>Компл,ЗЧ Оф/КомпОб</x:v>
      </x:c>
      <x:c r="E125" s="16" t="str">
        <x:v>ШТ</x:v>
      </x:c>
      <x:c r="F125" s="21" t="n">
        <x:v>100</x:v>
      </x:c>
      <x:c r="G125" s="17" t="n">
        <x:v>5.3435999999999995</x:v>
      </x:c>
      <x:c r="H125" s="17" t="n">
        <x:f>G125*F125</x:f>
        <x:v>534.3599999999999</x:v>
      </x:c>
      <x:c r="I125" s="22" t="str">
        <x:f>HYPERLINK("https://etp-aktiv.ru/catalog/materialy/komplektuyushchie-i-zapasnye-chasti-k-kompyuternomu-i-ofisnomu-oborudovaniyu/2000118701-V113/","Открыть позицию")</x:f>
        <x:v>Открыть позицию</x:v>
      </x:c>
    </x:row>
    <x:row r="126" ht="28" customHeight="1">
      <x:c r="A126" s="16" t="str">
        <x:v>Красноярская ТЭЦ-2</x:v>
      </x:c>
      <x:c r="B126" s="16" t="str">
        <x:v>2000693087-V113</x:v>
      </x:c>
      <x:c r="C126" s="16" t="str">
        <x:v>РОЗЕТКА A9A15310 220-250В 16А IP20</x:v>
      </x:c>
      <x:c r="D126" s="16" t="str">
        <x:v>Освет и э/установоч</x:v>
      </x:c>
      <x:c r="E126" s="16" t="str">
        <x:v>ШТ</x:v>
      </x:c>
      <x:c r="F126" s="21" t="n">
        <x:v>23</x:v>
      </x:c>
      <x:c r="G126" s="17" t="n">
        <x:v>547.292</x:v>
      </x:c>
      <x:c r="H126" s="17" t="n">
        <x:f>G126*F126</x:f>
        <x:v>12587.716</x:v>
      </x:c>
      <x:c r="I126" s="22" t="str">
        <x:f>HYPERLINK("https://etp-aktiv.ru/catalog/materialy/ehlektrotekhnicheskie-materialy/2000693087-V113/","Открыть позицию")</x:f>
        <x:v>Открыть позицию</x:v>
      </x:c>
    </x:row>
    <x:row r="127" ht="28" customHeight="1">
      <x:c r="A127" s="16" t="str">
        <x:v>Красноярская ТЭЦ-2</x:v>
      </x:c>
      <x:c r="B127" s="16" t="str">
        <x:v>2000162702-V113</x:v>
      </x:c>
      <x:c r="C127" s="16" t="str">
        <x:v>Э/ДВИГ 5АИ100S4 3/380/1500/IМ1081</x:v>
      </x:c>
      <x:c r="D127" s="16" t="str">
        <x:v>Электродвигат станд</x:v>
      </x:c>
      <x:c r="E127" s="16" t="str">
        <x:v>ШТ</x:v>
      </x:c>
      <x:c r="F127" s="21" t="n">
        <x:v>2</x:v>
      </x:c>
      <x:c r="G127" s="17" t="n">
        <x:v>8320.7782</x:v>
      </x:c>
      <x:c r="H127" s="17" t="n">
        <x:f>G127*F127</x:f>
        <x:v>16641.5564</x:v>
      </x:c>
      <x:c r="I127" s="22" t="str">
        <x:f>HYPERLINK("https://etp-aktiv.ru/catalog/materialy/ehlektrodvigateli/2000162702-V113/","Открыть позицию")</x:f>
        <x:v>Открыть позицию</x:v>
      </x:c>
    </x:row>
    <x:row r="128" ht="28" customHeight="1">
      <x:c r="A128" s="16" t="str">
        <x:v>Красноярская ТЭЦ-2</x:v>
      </x:c>
      <x:c r="B128" s="16" t="str">
        <x:v>2000963535-V113</x:v>
      </x:c>
      <x:c r="C128" s="16" t="str">
        <x:v>Э/ДВИГ 5АИ71В2 1,1/220/380/2800/IM2081</x:v>
      </x:c>
      <x:c r="D128" s="16" t="str">
        <x:v>Электродвигат станд</x:v>
      </x:c>
      <x:c r="E128" s="16" t="str">
        <x:v>ШТ</x:v>
      </x:c>
      <x:c r="F128" s="21" t="n">
        <x:v>1</x:v>
      </x:c>
      <x:c r="G128" s="17" t="n">
        <x:v>4323.375</x:v>
      </x:c>
      <x:c r="H128" s="17" t="n">
        <x:f>G128*F128</x:f>
        <x:v>4323.375</x:v>
      </x:c>
      <x:c r="I128" s="22" t="str">
        <x:f>HYPERLINK("https://etp-aktiv.ru/catalog/materialy/ehlektrodvigateli/2000963535-V113/","Открыть позицию")</x:f>
        <x:v>Открыть позицию</x:v>
      </x:c>
    </x:row>
    <x:row r="129" ht="28" customHeight="1">
      <x:c r="A129" s="16" t="str">
        <x:v>Красноярская ТЭЦ-2</x:v>
      </x:c>
      <x:c r="B129" s="16" t="str">
        <x:v>2000552051-V113</x:v>
      </x:c>
      <x:c r="C129" s="16" t="str">
        <x:v>Э/ДВИГ MTF-211-6У2 7,5/220/380/1000/1001</x:v>
      </x:c>
      <x:c r="D129" s="16" t="str">
        <x:v>Электродви по ТЗ</x:v>
      </x:c>
      <x:c r="E129" s="16" t="str">
        <x:v>ШТ</x:v>
      </x:c>
      <x:c r="F129" s="21" t="n">
        <x:v>0</x:v>
      </x:c>
      <x:c r="G129" s="17" t="n">
        <x:v>12526.0206</x:v>
      </x:c>
      <x:c r="H129" s="17" t="n">
        <x:f>G129*F129</x:f>
        <x:v>0</x:v>
      </x:c>
      <x:c r="I129" s="22" t="str">
        <x:f>HYPERLINK("https://etp-aktiv.ru/catalog/materialy/ehlektrodvigateli/2000552051-V113/","Открыть позицию")</x:f>
        <x:v>Открыть позицию</x:v>
      </x:c>
    </x:row>
    <x:row r="130" ht="28" customHeight="1">
      <x:c r="A130" s="16" t="str">
        <x:v>Красноярская ТЭЦ-2</x:v>
      </x:c>
      <x:c r="B130" s="16" t="str">
        <x:v>2000552052-V113</x:v>
      </x:c>
      <x:c r="C130" s="16" t="str">
        <x:v>Э/ДВИГ MTF-211-6У2 7,5/220/380/930/1001</x:v>
      </x:c>
      <x:c r="D130" s="16" t="str">
        <x:v>Электродви по ТЗ</x:v>
      </x:c>
      <x:c r="E130" s="16" t="str">
        <x:v>ШТ</x:v>
      </x:c>
      <x:c r="F130" s="21" t="n">
        <x:v>0</x:v>
      </x:c>
      <x:c r="G130" s="17" t="n">
        <x:v>15440.625</x:v>
      </x:c>
      <x:c r="H130" s="17" t="n">
        <x:f>G130*F130</x:f>
        <x:v>0</x:v>
      </x:c>
      <x:c r="I130" s="22" t="str">
        <x:f>HYPERLINK("https://etp-aktiv.ru/catalog/materialy/ehlektrodvigateli/2000552052-V113/","Открыть позицию")</x:f>
        <x:v>Открыть позицию</x:v>
      </x:c>
    </x:row>
    <x:row r="131" ht="28" customHeight="1">
      <x:c r="A131" s="16" t="str">
        <x:v>Красноярская ТЭЦ-2</x:v>
      </x:c>
      <x:c r="B131" s="16" t="str">
        <x:v>2000552119-V113</x:v>
      </x:c>
      <x:c r="C131" s="16" t="str">
        <x:v>Э/ДВИГ АДМ80В6 1,1/220/380/1000/IM2081</x:v>
      </x:c>
      <x:c r="D131" s="16" t="str">
        <x:v>Электродвигат станд</x:v>
      </x:c>
      <x:c r="E131" s="16" t="str">
        <x:v>ШТ</x:v>
      </x:c>
      <x:c r="F131" s="21" t="n">
        <x:v>1</x:v>
      </x:c>
      <x:c r="G131" s="17" t="n">
        <x:v>3457.4312</x:v>
      </x:c>
      <x:c r="H131" s="17" t="n">
        <x:f>G131*F131</x:f>
        <x:v>3457.4312</x:v>
      </x:c>
      <x:c r="I131" s="22" t="str">
        <x:f>HYPERLINK("https://etp-aktiv.ru/catalog/materialy/ehlektrodvigateli/2000552119-V113/","Открыть позицию")</x:f>
        <x:v>Открыть позицию</x:v>
      </x:c>
    </x:row>
    <x:row r="132" ht="28" customHeight="1">
      <x:c r="A132" s="16" t="str">
        <x:v>Красноярская ТЭЦ-2</x:v>
      </x:c>
      <x:c r="B132" s="16" t="str">
        <x:v>2000169769-V113</x:v>
      </x:c>
      <x:c r="C132" s="16" t="str">
        <x:v>Э/ДВИГ АИР132М2У2 11/220-380/3000/IM2081</x:v>
      </x:c>
      <x:c r="D132" s="16" t="str">
        <x:v>Электродвигат станд</x:v>
      </x:c>
      <x:c r="E132" s="16" t="str">
        <x:v>ШТ</x:v>
      </x:c>
      <x:c r="F132" s="21" t="n">
        <x:v>0</x:v>
      </x:c>
      <x:c r="G132" s="17" t="n">
        <x:v>6633.75</x:v>
      </x:c>
      <x:c r="H132" s="17" t="n">
        <x:f>G132*F132</x:f>
        <x:v>0</x:v>
      </x:c>
      <x:c r="I132" s="22" t="str">
        <x:f>HYPERLINK("https://etp-aktiv.ru/catalog/materialy/ehlektrodvigateli/2000169769-V113/","Открыть позицию")</x:f>
        <x:v>Открыть позицию</x:v>
      </x:c>
    </x:row>
    <x:row r="133" ht="28" customHeight="1">
      <x:c r="A133" s="16" t="str">
        <x:v>Красноярская ТЭЦ-2</x:v>
      </x:c>
      <x:c r="B133" s="16" t="str">
        <x:v>2000552170-V113</x:v>
      </x:c>
      <x:c r="C133" s="16" t="str">
        <x:v>Э/ДВИГ АИР180М4 30/380/1500/IM1001</x:v>
      </x:c>
      <x:c r="D133" s="16" t="str">
        <x:v>Электродвигат станд</x:v>
      </x:c>
      <x:c r="E133" s="16" t="str">
        <x:v>ШТ</x:v>
      </x:c>
      <x:c r="F133" s="21" t="n">
        <x:v>1</x:v>
      </x:c>
      <x:c r="G133" s="17" t="n">
        <x:v>32365.6118</x:v>
      </x:c>
      <x:c r="H133" s="17" t="n">
        <x:f>G133*F133</x:f>
        <x:v>32365.6118</x:v>
      </x:c>
      <x:c r="I133" s="22" t="str">
        <x:f>HYPERLINK("https://etp-aktiv.ru/catalog/materialy/ehlektrodvigateli/2000552170-V113/","Открыть позицию")</x:f>
        <x:v>Открыть позицию</x:v>
      </x:c>
    </x:row>
    <x:row r="134" ht="28" customHeight="1">
      <x:c r="A134" s="16" t="str">
        <x:v>Красноярская ТЭЦ-2</x:v>
      </x:c>
      <x:c r="B134" s="16" t="str">
        <x:v>2000046872-V113</x:v>
      </x:c>
      <x:c r="C134" s="16" t="str">
        <x:v>ЭЛЕКТРОКАРТОН ЭВ 0,1ММ</x:v>
      </x:c>
      <x:c r="D134" s="16" t="str">
        <x:v>Э/изоляцион мат-лы</x:v>
      </x:c>
      <x:c r="E134" s="16" t="str">
        <x:v>КГ</x:v>
      </x:c>
      <x:c r="F134" s="26" t="n">
        <x:v>5.8</x:v>
      </x:c>
      <x:c r="G134" s="17" t="n">
        <x:v>179.767</x:v>
      </x:c>
      <x:c r="H134" s="17" t="n">
        <x:f>G134*F134</x:f>
        <x:v>1042.6486</x:v>
      </x:c>
      <x:c r="I134" s="22" t="str">
        <x:f>HYPERLINK("https://etp-aktiv.ru/catalog/materialy/ehlektroizolyacionnye-materialy/2000046872-V113/","Открыть позицию")</x:f>
        <x:v>Открыть позицию</x:v>
      </x:c>
    </x:row>
    <x:row r="135" ht="28" customHeight="1">
      <x:c r="A135" s="16" t="str">
        <x:v>Красноярская ТЭЦ-2</x:v>
      </x:c>
      <x:c r="B135" s="16" t="str">
        <x:v>2000162946-V113</x:v>
      </x:c>
      <x:c r="C135" s="16" t="str">
        <x:v>ЭЛЕКТРОКАРТОН ЭВ 1ММ</x:v>
      </x:c>
      <x:c r="D135" s="16" t="str">
        <x:v>Э/изоляцион мат-лы</x:v>
      </x:c>
      <x:c r="E135" s="16" t="str">
        <x:v>КГ</x:v>
      </x:c>
      <x:c r="F135" s="21" t="n">
        <x:v>20</x:v>
      </x:c>
      <x:c r="G135" s="17" t="n">
        <x:v>123.159</x:v>
      </x:c>
      <x:c r="H135" s="17" t="n">
        <x:f>G135*F135</x:f>
        <x:v>2463.1800000000003</x:v>
      </x:c>
      <x:c r="I135" s="22" t="str">
        <x:f>HYPERLINK("https://etp-aktiv.ru/catalog/materialy/ehlektroizolyacionnye-materialy/2000162946-V113/","Открыть позицию")</x:f>
        <x:v>Открыть позицию</x:v>
      </x:c>
    </x:row>
    <x:row r="136" ht="28" customHeight="1">
      <x:c r="A136" s="16" t="str">
        <x:v>Красноярская ТЭЦ-3</x:v>
      </x:c>
      <x:c r="B136" s="16" t="str">
        <x:v>2000536298-V114</x:v>
      </x:c>
      <x:c r="C136" s="16" t="str">
        <x:v>БЛОК КЛЕММНЫЙ PT 2,5-DIO/R-L 3210237</x:v>
      </x:c>
      <x:c r="D136" s="16" t="str">
        <x:v>Низковол апп-ра и ЗЧ</x:v>
      </x:c>
      <x:c r="E136" s="16" t="str">
        <x:v>ШТ</x:v>
      </x:c>
      <x:c r="F136" s="21" t="n">
        <x:v>1</x:v>
      </x:c>
      <x:c r="G136" s="17" t="n">
        <x:v>122.84179999999999</x:v>
      </x:c>
      <x:c r="H136" s="17" t="n">
        <x:f>G136*F136</x:f>
        <x:v>122.84179999999999</x:v>
      </x:c>
      <x:c r="I136" s="22" t="str">
        <x:f>HYPERLINK("https://etp-aktiv.ru/catalog/materialy/nizkovoltnaya-apparatura-i-zapasnye-chasti/2000536298-V114/","Открыть позицию")</x:f>
        <x:v>Открыть позицию</x:v>
      </x:c>
    </x:row>
    <x:row r="137" ht="28" customHeight="1">
      <x:c r="A137" s="16" t="str">
        <x:v>Красноярская ТЭЦ-3</x:v>
      </x:c>
      <x:c r="B137" s="16" t="str">
        <x:v>2000269664-V114</x:v>
      </x:c>
      <x:c r="C137" s="16" t="str">
        <x:v>БОКС КМПН 1/2 МКР31-N-02-03-25</x:v>
      </x:c>
      <x:c r="D137" s="16" t="str">
        <x:v>Низковол апп-ра и ЗЧ</x:v>
      </x:c>
      <x:c r="E137" s="16" t="str">
        <x:v>ШТ</x:v>
      </x:c>
      <x:c r="F137" s="21" t="n">
        <x:v>1</x:v>
      </x:c>
      <x:c r="G137" s="17" t="n">
        <x:v>14.7376</x:v>
      </x:c>
      <x:c r="H137" s="17" t="n">
        <x:f>G137*F137</x:f>
        <x:v>14.7376</x:v>
      </x:c>
      <x:c r="I137" s="22" t="str">
        <x:f>HYPERLINK("https://etp-aktiv.ru/catalog/materialy/nizkovoltnaya-apparatura-i-zapasnye-chasti/2000269664-V114/","Открыть позицию")</x:f>
        <x:v>Открыть позицию</x:v>
      </x:c>
    </x:row>
    <x:row r="138" ht="28" customHeight="1">
      <x:c r="A138" s="16" t="str">
        <x:v>Красноярская ТЭЦ-3</x:v>
      </x:c>
      <x:c r="B138" s="16" t="str">
        <x:v>2000524676-V114</x:v>
      </x:c>
      <x:c r="C138" s="16" t="str">
        <x:v>КАТУШКА 5БП.522.301.02 220В</x:v>
      </x:c>
      <x:c r="D138" s="16" t="str">
        <x:v>ЗЧ высоковоль оборуд</x:v>
      </x:c>
      <x:c r="E138" s="16" t="str">
        <x:v>ШТ</x:v>
      </x:c>
      <x:c r="F138" s="21" t="n">
        <x:v>10</x:v>
      </x:c>
      <x:c r="G138" s="17" t="n">
        <x:v>7054.65</x:v>
      </x:c>
      <x:c r="H138" s="17" t="n">
        <x:f>G138*F138</x:f>
        <x:v>70546.5</x:v>
      </x:c>
      <x:c r="I138" s="22" t="str">
        <x:f>HYPERLINK("https://etp-aktiv.ru/catalog/materialy/ehlektrotekhnicheskie-materialy/2000524676-V114/","Открыть позицию")</x:f>
        <x:v>Открыть позицию</x:v>
      </x:c>
    </x:row>
    <x:row r="139" ht="28" customHeight="1">
      <x:c r="A139" s="16" t="str">
        <x:v>Красноярская ТЭЦ-3</x:v>
      </x:c>
      <x:c r="B139" s="16" t="str">
        <x:v>2000070944-V114</x:v>
      </x:c>
      <x:c r="C139" s="16" t="str">
        <x:v>КНОПКА КЕ-011 220В</x:v>
      </x:c>
      <x:c r="D139" s="16" t="str">
        <x:v>Низковол апп-ра и ЗЧ</x:v>
      </x:c>
      <x:c r="E139" s="16" t="str">
        <x:v>ШТ</x:v>
      </x:c>
      <x:c r="F139" s="21" t="n">
        <x:v>1</x:v>
      </x:c>
      <x:c r="G139" s="17" t="n">
        <x:v>69.3082</x:v>
      </x:c>
      <x:c r="H139" s="17" t="n">
        <x:f>G139*F139</x:f>
        <x:v>69.3082</x:v>
      </x:c>
      <x:c r="I139" s="22" t="str">
        <x:f>HYPERLINK("https://etp-aktiv.ru/catalog/materialy/nizkovoltnaya-apparatura-i-zapasnye-chasti/2000070944-V114/","Открыть позицию")</x:f>
        <x:v>Открыть позицию</x:v>
      </x:c>
    </x:row>
    <x:row r="140" ht="28" customHeight="1">
      <x:c r="A140" s="16" t="str">
        <x:v>Красноярская ТЭЦ-3</x:v>
      </x:c>
      <x:c r="B140" s="16" t="str">
        <x:v>2000026194-V114</x:v>
      </x:c>
      <x:c r="C140" s="16" t="str">
        <x:v>КНОПКА КЕ-021 У3 ИСП-1 ЧЕРНАЯ 110В</x:v>
      </x:c>
      <x:c r="D140" s="16" t="str">
        <x:v>Низковол апп-ра и ЗЧ</x:v>
      </x:c>
      <x:c r="E140" s="16" t="str">
        <x:v>ШТ</x:v>
      </x:c>
      <x:c r="F140" s="21" t="n">
        <x:v>1</x:v>
      </x:c>
      <x:c r="G140" s="17" t="n">
        <x:v>33.2938</x:v>
      </x:c>
      <x:c r="H140" s="17" t="n">
        <x:f>G140*F140</x:f>
        <x:v>33.2938</x:v>
      </x:c>
      <x:c r="I140" s="22" t="str">
        <x:f>HYPERLINK("https://etp-aktiv.ru/catalog/materialy/nizkovoltnaya-apparatura-i-zapasnye-chasti/2000026194-V114/","Открыть позицию")</x:f>
        <x:v>Открыть позицию</x:v>
      </x:c>
    </x:row>
    <x:row r="141" ht="28" customHeight="1">
      <x:c r="A141" s="16" t="str">
        <x:v>Красноярская ТЭЦ-3</x:v>
      </x:c>
      <x:c r="B141" s="16" t="str">
        <x:v>2000304495-V114</x:v>
      </x:c>
      <x:c r="C141" s="16" t="str">
        <x:v>КОНТАКТ SCHNEIDER-ELECTRIC GV7AE11</x:v>
      </x:c>
      <x:c r="D141" s="16" t="str">
        <x:v>Низковол апп-ра и ЗЧ</x:v>
      </x:c>
      <x:c r="E141" s="16" t="str">
        <x:v>ШТ</x:v>
      </x:c>
      <x:c r="F141" s="21" t="n">
        <x:v>1</x:v>
      </x:c>
      <x:c r="G141" s="17" t="n">
        <x:v>1926.4409999999998</x:v>
      </x:c>
      <x:c r="H141" s="17" t="n">
        <x:f>G141*F141</x:f>
        <x:v>1926.4409999999998</x:v>
      </x:c>
      <x:c r="I141" s="22" t="str">
        <x:f>HYPERLINK("https://etp-aktiv.ru/catalog/materialy/nizkovoltnaya-apparatura-i-zapasnye-chasti/2000304495-V114/","Открыть позицию")</x:f>
        <x:v>Открыть позицию</x:v>
      </x:c>
    </x:row>
    <x:row r="142" ht="28" customHeight="1">
      <x:c r="A142" s="16" t="str">
        <x:v>Красноярская ТЭЦ-3</x:v>
      </x:c>
      <x:c r="B142" s="16" t="str">
        <x:v>2000524687-V114</x:v>
      </x:c>
      <x:c r="C142" s="16" t="str">
        <x:v>КОНТАКТ ПЭ.060-02-02 1600А</x:v>
      </x:c>
      <x:c r="D142" s="16" t="str">
        <x:v>ЗЧ высоковоль оборуд</x:v>
      </x:c>
      <x:c r="E142" s="16" t="str">
        <x:v>ШТ</x:v>
      </x:c>
      <x:c r="F142" s="21" t="n">
        <x:v>1</x:v>
      </x:c>
      <x:c r="G142" s="17" t="n">
        <x:v>2258.5371999999998</x:v>
      </x:c>
      <x:c r="H142" s="17" t="n">
        <x:f>G142*F142</x:f>
        <x:v>2258.5371999999998</x:v>
      </x:c>
      <x:c r="I142" s="22" t="str">
        <x:f>HYPERLINK("https://etp-aktiv.ru/catalog/materialy/ehlektrotekhnicheskie-materialy/2000524687-V114/","Открыть позицию")</x:f>
        <x:v>Открыть позицию</x:v>
      </x:c>
    </x:row>
    <x:row r="143" ht="28" customHeight="1">
      <x:c r="A143" s="16" t="str">
        <x:v>Красноярская ТЭЦ-3</x:v>
      </x:c>
      <x:c r="B143" s="16" t="str">
        <x:v>2000141706-V114</x:v>
      </x:c>
      <x:c r="C143" s="16" t="str">
        <x:v>КОРОБКА У995У2 IP54 1000В</x:v>
      </x:c>
      <x:c r="D143" s="16" t="str">
        <x:v>Освет и э/установоч</x:v>
      </x:c>
      <x:c r="E143" s="16" t="str">
        <x:v>ШТ</x:v>
      </x:c>
      <x:c r="F143" s="21" t="n">
        <x:v>2</x:v>
      </x:c>
      <x:c r="G143" s="17" t="n">
        <x:v>143.71599999999998</x:v>
      </x:c>
      <x:c r="H143" s="17" t="n">
        <x:f>G143*F143</x:f>
        <x:v>287.43199999999996</x:v>
      </x:c>
      <x:c r="I143" s="22" t="str">
        <x:f>HYPERLINK("https://etp-aktiv.ru/catalog/materialy/ehlektrotekhnicheskie-materialy/2000141706-V114/","Открыть позицию")</x:f>
        <x:v>Открыть позицию</x:v>
      </x:c>
    </x:row>
    <x:row r="144" ht="28" customHeight="1">
      <x:c r="A144" s="16" t="str">
        <x:v>Красноярская ТЭЦ-3</x:v>
      </x:c>
      <x:c r="B144" s="16" t="str">
        <x:v>2000177078-V114</x:v>
      </x:c>
      <x:c r="C144" s="16" t="str">
        <x:v>МАСЛО ТРАНСФОРМАТОРНОЕ ЛУКОЙЛ ВГ</x:v>
      </x:c>
      <x:c r="D144" s="16" t="str">
        <x:v>Масла и смазки</x:v>
      </x:c>
      <x:c r="E144" s="16" t="str">
        <x:v>Т</x:v>
      </x:c>
      <x:c r="F144" s="30" t="n">
        <x:v>0.091</x:v>
      </x:c>
      <x:c r="G144" s="17" t="n">
        <x:v>118456.7662</x:v>
      </x:c>
      <x:c r="H144" s="17" t="n">
        <x:f>G144*F144</x:f>
        <x:v>10779.5657242</x:v>
      </x:c>
      <x:c r="I144" s="22" t="str">
        <x:f>HYPERLINK("https://etp-aktiv.ru/catalog/materialy/gsm/2000177078-V114/","Открыть позицию")</x:f>
        <x:v>Открыть позицию</x:v>
      </x:c>
    </x:row>
    <x:row r="145" ht="28" customHeight="1">
      <x:c r="A145" s="16" t="str">
        <x:v>Красноярская ТЭЦ-3</x:v>
      </x:c>
      <x:c r="B145" s="16" t="str">
        <x:v>2000536684-V114</x:v>
      </x:c>
      <x:c r="C145" s="16" t="str">
        <x:v>ПЕРЕКЛЮЧАТЕЛЬ КПУ11-10/55 SQ0715-0178</x:v>
      </x:c>
      <x:c r="D145" s="16" t="str">
        <x:v>Низковол апп-ра и ЗЧ</x:v>
      </x:c>
      <x:c r="E145" s="16" t="str">
        <x:v>ШТ</x:v>
      </x:c>
      <x:c r="F145" s="21" t="n">
        <x:v>2</x:v>
      </x:c>
      <x:c r="G145" s="17" t="n">
        <x:v>319.79859999999996</x:v>
      </x:c>
      <x:c r="H145" s="17" t="n">
        <x:f>G145*F145</x:f>
        <x:v>639.5971999999999</x:v>
      </x:c>
      <x:c r="I145" s="22" t="str">
        <x:f>HYPERLINK("https://etp-aktiv.ru/catalog/materialy/nizkovoltnaya-apparatura-i-zapasnye-chasti/2000536684-V114/","Открыть позицию")</x:f>
        <x:v>Открыть позицию</x:v>
      </x:c>
    </x:row>
    <x:row r="146" ht="28" customHeight="1">
      <x:c r="A146" s="16" t="str">
        <x:v>Красноярская ТЭЦ-3</x:v>
      </x:c>
      <x:c r="B146" s="16" t="str">
        <x:v>2000524700-V114</x:v>
      </x:c>
      <x:c r="C146" s="16" t="str">
        <x:v>ПЛАСТИНА СТОПОРНАЯ 8КА.150.613</x:v>
      </x:c>
      <x:c r="D146" s="16" t="str">
        <x:v>ЗЧ высоковоль оборуд</x:v>
      </x:c>
      <x:c r="E146" s="16" t="str">
        <x:v>ШТ</x:v>
      </x:c>
      <x:c r="F146" s="21" t="n">
        <x:v>4</x:v>
      </x:c>
      <x:c r="G146" s="17" t="n">
        <x:v>651.2848</x:v>
      </x:c>
      <x:c r="H146" s="17" t="n">
        <x:f>G146*F146</x:f>
        <x:v>2605.1392</x:v>
      </x:c>
      <x:c r="I146" s="22" t="str">
        <x:f>HYPERLINK("https://etp-aktiv.ru/catalog/materialy/ehlektrotekhnicheskie-materialy/2000524700-V114/","Открыть позицию")</x:f>
        <x:v>Открыть позицию</x:v>
      </x:c>
    </x:row>
    <x:row r="147" ht="28" customHeight="1">
      <x:c r="A147" s="16" t="str">
        <x:v>Красноярская ТЭЦ-3</x:v>
      </x:c>
      <x:c r="B147" s="16" t="str">
        <x:v>2000253181-V114</x:v>
      </x:c>
      <x:c r="C147" s="16" t="str">
        <x:v>ПОРОШОК ЭЛЕКТРОК НОРМ 14А 12Н ГОСТ28818</x:v>
      </x:c>
      <x:c r="D147" s="16" t="str">
        <x:v>Огнеупорные мат-лы</x:v>
      </x:c>
      <x:c r="E147" s="16" t="str">
        <x:v>КГ</x:v>
      </x:c>
      <x:c r="F147" s="21" t="n">
        <x:v>10</x:v>
      </x:c>
      <x:c r="G147" s="17" t="n">
        <x:v>548.2802</x:v>
      </x:c>
      <x:c r="H147" s="17" t="n">
        <x:f>G147*F147</x:f>
        <x:v>5482.802000000001</x:v>
      </x:c>
      <x:c r="I147" s="22" t="str">
        <x:f>HYPERLINK("https://etp-aktiv.ru/catalog/materialy/ogneupornye-materialy/2000253181-V114/","Открыть позицию")</x:f>
        <x:v>Открыть позицию</x:v>
      </x:c>
    </x:row>
    <x:row r="148" ht="28" customHeight="1">
      <x:c r="A148" s="16" t="str">
        <x:v>Красноярская ТЭЦ-3</x:v>
      </x:c>
      <x:c r="B148" s="16" t="str">
        <x:v>2000524531-V114</x:v>
      </x:c>
      <x:c r="C148" s="16" t="str">
        <x:v>ПРУЖИНА 8КА.281.046</x:v>
      </x:c>
      <x:c r="D148" s="16" t="str">
        <x:v>ЗЧ выключателей</x:v>
      </x:c>
      <x:c r="E148" s="16" t="str">
        <x:v>ШТ</x:v>
      </x:c>
      <x:c r="F148" s="21" t="n">
        <x:v>9</x:v>
      </x:c>
      <x:c r="G148" s="17" t="n">
        <x:v>1207.6048</x:v>
      </x:c>
      <x:c r="H148" s="17" t="n">
        <x:f>G148*F148</x:f>
        <x:v>10868.443200000002</x:v>
      </x:c>
      <x:c r="I148" s="22" t="str">
        <x:f>HYPERLINK("https://etp-aktiv.ru/catalog/materialy/ehlektrotekhnicheskie-materialy/2000524531-V114/","Открыть позицию")</x:f>
        <x:v>Открыть позицию</x:v>
      </x:c>
    </x:row>
    <x:row r="149" ht="28" customHeight="1">
      <x:c r="A149" s="16" t="str">
        <x:v>Красноярская ТЭЦ-3</x:v>
      </x:c>
      <x:c r="B149" s="16" t="str">
        <x:v>2000524703-V114</x:v>
      </x:c>
      <x:c r="C149" s="16" t="str">
        <x:v>ПРУЖИНА КЛ8.281.001 ВИЛЕ.753.513.001</x:v>
      </x:c>
      <x:c r="D149" s="16" t="str">
        <x:v>ЗЧ высоковоль оборуд</x:v>
      </x:c>
      <x:c r="E149" s="16" t="str">
        <x:v>ШТ</x:v>
      </x:c>
      <x:c r="F149" s="21" t="n">
        <x:v>3</x:v>
      </x:c>
      <x:c r="G149" s="17" t="n">
        <x:v>43.322199999999995</x:v>
      </x:c>
      <x:c r="H149" s="17" t="n">
        <x:f>G149*F149</x:f>
        <x:v>129.96659999999997</x:v>
      </x:c>
      <x:c r="I149" s="22" t="str">
        <x:f>HYPERLINK("https://etp-aktiv.ru/catalog/materialy/ehlektrotekhnicheskie-materialy/2000524703-V114/","Открыть позицию")</x:f>
        <x:v>Открыть позицию</x:v>
      </x:c>
    </x:row>
    <x:row r="150" ht="28" customHeight="1">
      <x:c r="A150" s="16" t="str">
        <x:v>Красноярская ТЭЦ-3</x:v>
      </x:c>
      <x:c r="B150" s="16" t="str">
        <x:v>2000605226-V114</x:v>
      </x:c>
      <x:c r="C150" s="16" t="str">
        <x:v>ПРУЖИНА КЛ8.281.016 ВИЛЕ.753.513.019</x:v>
      </x:c>
      <x:c r="D150" s="16" t="str">
        <x:v>ЗЧ высоковоль оборуд</x:v>
      </x:c>
      <x:c r="E150" s="16" t="str">
        <x:v>ШТ</x:v>
      </x:c>
      <x:c r="F150" s="21" t="n">
        <x:v>8</x:v>
      </x:c>
      <x:c r="G150" s="17" t="n">
        <x:v>76.1158</x:v>
      </x:c>
      <x:c r="H150" s="17" t="n">
        <x:f>G150*F150</x:f>
        <x:v>608.9264</x:v>
      </x:c>
      <x:c r="I150" s="22" t="str">
        <x:f>HYPERLINK("https://etp-aktiv.ru/catalog/materialy/ehlektrotekhnicheskie-materialy/2000605226-V114/","Открыть позицию")</x:f>
        <x:v>Открыть позицию</x:v>
      </x:c>
    </x:row>
    <x:row r="151" ht="28" customHeight="1">
      <x:c r="A151" s="16" t="str">
        <x:v>Красноярская ТЭЦ-3</x:v>
      </x:c>
      <x:c r="B151" s="16" t="str">
        <x:v>2000624912-V114</x:v>
      </x:c>
      <x:c r="C151" s="16" t="str">
        <x:v>РАСХОДОМЕР РУС-1-000-1000-20-Р-Т-485</x:v>
      </x:c>
      <x:c r="D151" s="16" t="str">
        <x:v>ЗЧ КИПиА</x:v>
      </x:c>
      <x:c r="E151" s="16" t="str">
        <x:v>ШТ</x:v>
      </x:c>
      <x:c r="F151" s="21" t="n">
        <x:v>2</x:v>
      </x:c>
      <x:c r="G151" s="17" t="n">
        <x:v>138775</x:v>
      </x:c>
      <x:c r="H151" s="17" t="n">
        <x:f>G151*F151</x:f>
        <x:v>277550</x:v>
      </x:c>
      <x:c r="I151" s="22" t="str">
        <x:f>HYPERLINK("https://etp-aktiv.ru/catalog/materialy/zapasnye-chasti-i-prinadlezhnosti-dlya-priborov-kipia/2000624912-V114/","Открыть позицию")</x:f>
        <x:v>Открыть позицию</x:v>
      </x:c>
    </x:row>
    <x:row r="152" ht="28" customHeight="1">
      <x:c r="A152" s="16" t="str">
        <x:v>Красноярская ТЭЦ-3</x:v>
      </x:c>
      <x:c r="B152" s="16" t="str">
        <x:v>2000300977-V114</x:v>
      </x:c>
      <x:c r="C152" s="16" t="str">
        <x:v>СВЕТИЛЬНИК НПБ-01-60-125 Е27 60ВТ IP20</x:v>
      </x:c>
      <x:c r="D152" s="16" t="str">
        <x:v>Освет и э/установоч</x:v>
      </x:c>
      <x:c r="E152" s="16" t="str">
        <x:v>ШТ</x:v>
      </x:c>
      <x:c r="F152" s="21" t="n">
        <x:v>1</x:v>
      </x:c>
      <x:c r="G152" s="17" t="n">
        <x:v>314.69899999999996</x:v>
      </x:c>
      <x:c r="H152" s="17" t="n">
        <x:f>G152*F152</x:f>
        <x:v>314.69899999999996</x:v>
      </x:c>
      <x:c r="I152" s="22" t="str">
        <x:f>HYPERLINK("https://etp-aktiv.ru/catalog/materialy/ehlektrotekhnicheskie-materialy/2000300977-V114/","Открыть позицию")</x:f>
        <x:v>Открыть позицию</x:v>
      </x:c>
    </x:row>
    <x:row r="153" ht="28" customHeight="1">
      <x:c r="A153" s="16" t="str">
        <x:v>Красноярская ТЭЦ-3</x:v>
      </x:c>
      <x:c r="B153" s="16" t="str">
        <x:v>2000562140-V114</x:v>
      </x:c>
      <x:c r="C153" s="16" t="str">
        <x:v>Э/ДВИГ 5АИ80А4У3 1,1/380/1420 IM2011</x:v>
      </x:c>
      <x:c r="D153" s="16" t="str">
        <x:v>Электродвигат станд</x:v>
      </x:c>
      <x:c r="E153" s="16" t="str">
        <x:v>ШТ</x:v>
      </x:c>
      <x:c r="F153" s="21" t="n">
        <x:v>1</x:v>
      </x:c>
      <x:c r="G153" s="17" t="n">
        <x:v>3252.825</x:v>
      </x:c>
      <x:c r="H153" s="17" t="n">
        <x:f>G153*F153</x:f>
        <x:v>3252.825</x:v>
      </x:c>
      <x:c r="I153" s="22" t="str">
        <x:f>HYPERLINK("https://etp-aktiv.ru/catalog/materialy/ehlektrodvigateli/2000562140-V114/","Открыть позицию")</x:f>
        <x:v>Открыть позицию</x:v>
      </x:c>
    </x:row>
    <x:row r="154" ht="28" customHeight="1">
      <x:c r="A154" s="16" t="str">
        <x:v>Красноярская ТЭЦ-3</x:v>
      </x:c>
      <x:c r="B154" s="16" t="str">
        <x:v>2000147646-V114</x:v>
      </x:c>
      <x:c r="C154" s="16" t="str">
        <x:v>Э/ДВИГ АИР100L4У3 4/380/1500/IM3081</x:v>
      </x:c>
      <x:c r="D154" s="16" t="str">
        <x:v>Электродвигат станд</x:v>
      </x:c>
      <x:c r="E154" s="16" t="str">
        <x:v>ШТ</x:v>
      </x:c>
      <x:c r="F154" s="21" t="n">
        <x:v>1</x:v>
      </x:c>
      <x:c r="G154" s="17" t="n">
        <x:v>8787.4282</x:v>
      </x:c>
      <x:c r="H154" s="17" t="n">
        <x:f>G154*F154</x:f>
        <x:v>8787.4282</x:v>
      </x:c>
      <x:c r="I154" s="22" t="str">
        <x:f>HYPERLINK("https://etp-aktiv.ru/catalog/materialy/ehlektrodvigateli/2000147646-V114/","Открыть позицию")</x:f>
        <x:v>Открыть позицию</x:v>
      </x:c>
    </x:row>
    <x:row r="155" ht="28" customHeight="1">
      <x:c r="A155" s="16" t="str">
        <x:v>Красноярская ТЭЦ-3</x:v>
      </x:c>
      <x:c r="B155" s="16" t="str">
        <x:v>2000552185-V114</x:v>
      </x:c>
      <x:c r="C155" s="16" t="str">
        <x:v>Э/ДВИГ АИР63В4 0,37/380/1500/IM1081</x:v>
      </x:c>
      <x:c r="D155" s="16" t="str">
        <x:v>Электродвигат станд</x:v>
      </x:c>
      <x:c r="E155" s="16" t="str">
        <x:v>ШТ</x:v>
      </x:c>
      <x:c r="F155" s="21" t="n">
        <x:v>5</x:v>
      </x:c>
      <x:c r="G155" s="17" t="n">
        <x:v>8520.9436</x:v>
      </x:c>
      <x:c r="H155" s="17" t="n">
        <x:f>G155*F155</x:f>
        <x:v>42604.718</x:v>
      </x:c>
      <x:c r="I155" s="22" t="str">
        <x:f>HYPERLINK("https://etp-aktiv.ru/catalog/materialy/ehlektrodvigateli/2000552185-V114/","Открыть позицию")</x:f>
        <x:v>Открыть позицию</x:v>
      </x:c>
    </x:row>
    <x:row r="156" ht="28" customHeight="1">
      <x:c r="A156" s="16" t="str">
        <x:v>Красноярская ТЭЦ-3</x:v>
      </x:c>
      <x:c r="B156" s="16" t="str">
        <x:v>2000552291-V114</x:v>
      </x:c>
      <x:c r="C156" s="16" t="str">
        <x:v>Э/ДВИГ ДАЗО4-560Х-8У1 630/6000/750/1001</x:v>
      </x:c>
      <x:c r="D156" s="16" t="str">
        <x:v>Электродви по ТЗ</x:v>
      </x:c>
      <x:c r="E156" s="16" t="str">
        <x:v>ШТ</x:v>
      </x:c>
      <x:c r="F156" s="21" t="n">
        <x:v>1</x:v>
      </x:c>
      <x:c r="G156" s="17" t="n">
        <x:v>375000.001</x:v>
      </x:c>
      <x:c r="H156" s="17" t="n">
        <x:f>G156*F156</x:f>
        <x:v>375000.001</x:v>
      </x:c>
      <x:c r="I156" s="22" t="str">
        <x:f>HYPERLINK("https://etp-aktiv.ru/catalog/materialy/ehlektrodvigateli/2000552291-V114/","Открыть позицию")</x:f>
        <x:v>Открыть позицию</x:v>
      </x:c>
    </x:row>
    <x:row r="157" ht="28" customHeight="1">
      <x:c r="A157" s="16" t="str">
        <x:v>Красноярская ТЭЦ-3</x:v>
      </x:c>
      <x:c r="B157" s="16" t="str">
        <x:v>2000290507-V114</x:v>
      </x:c>
      <x:c r="C157" s="16" t="str">
        <x:v>Э/ЩЕТКА М1А 16*40*50</x:v>
      </x:c>
      <x:c r="D157" s="16" t="str">
        <x:v>Электрощетки</x:v>
      </x:c>
      <x:c r="E157" s="16" t="str">
        <x:v>ШТ</x:v>
      </x:c>
      <x:c r="F157" s="21" t="n">
        <x:v>6</x:v>
      </x:c>
      <x:c r="G157" s="17" t="n">
        <x:v>362.34</x:v>
      </x:c>
      <x:c r="H157" s="17" t="n">
        <x:f>G157*F157</x:f>
        <x:v>2174.04</x:v>
      </x:c>
      <x:c r="I157" s="22" t="str">
        <x:f>HYPERLINK("https://etp-aktiv.ru/catalog/materialy/ehlektrotekhnicheskie-materialy/2000290507-V114/","Открыть позицию")</x:f>
        <x:v>Открыть позицию</x:v>
      </x:c>
    </x:row>
    <x:row r="158" ht="28" customHeight="1">
      <x:c r="A158" s="16" t="str">
        <x:v>Красноярская ТЭЦ-3</x:v>
      </x:c>
      <x:c r="B158" s="16" t="str">
        <x:v>2000551940-V114</x:v>
      </x:c>
      <x:c r="C158" s="16" t="str">
        <x:v>Э/ЩЕТКА ЭГ-71 12,5*25*32 К1-3 L=125 Д</x:v>
      </x:c>
      <x:c r="D158" s="16" t="str">
        <x:v>Электрощетки</x:v>
      </x:c>
      <x:c r="E158" s="16" t="str">
        <x:v>ШТ</x:v>
      </x:c>
      <x:c r="F158" s="21" t="n">
        <x:v>13</x:v>
      </x:c>
      <x:c r="G158" s="17" t="n">
        <x:v>78.5192</x:v>
      </x:c>
      <x:c r="H158" s="17" t="n">
        <x:f>G158*F158</x:f>
        <x:v>1020.7496</x:v>
      </x:c>
      <x:c r="I158" s="22" t="str">
        <x:f>HYPERLINK("https://etp-aktiv.ru/catalog/materialy/ehlektrotekhnicheskie-materialy/2000551940-V114/","Открыть позицию")</x:f>
        <x:v>Открыть позицию</x:v>
      </x:c>
    </x:row>
    <x:row r="159" ht="28" customHeight="1">
      <x:c r="A159" s="16" t="str">
        <x:v>Красноярская ТЭЦ-3</x:v>
      </x:c>
      <x:c r="B159" s="16" t="str">
        <x:v>2000218544-V114</x:v>
      </x:c>
      <x:c r="C159" s="16" t="str">
        <x:v>Э/ЩЕТКА ЭГ-71 16*25*32</x:v>
      </x:c>
      <x:c r="D159" s="16" t="str">
        <x:v>Электрощетки</x:v>
      </x:c>
      <x:c r="E159" s="16" t="str">
        <x:v>ШТ</x:v>
      </x:c>
      <x:c r="F159" s="21" t="n">
        <x:v>8</x:v>
      </x:c>
      <x:c r="G159" s="17" t="n">
        <x:v>154.28119999999998</x:v>
      </x:c>
      <x:c r="H159" s="17" t="n">
        <x:f>G159*F159</x:f>
        <x:v>1234.2495999999999</x:v>
      </x:c>
      <x:c r="I159" s="22" t="str">
        <x:f>HYPERLINK("https://etp-aktiv.ru/catalog/materialy/ehlektrotekhnicheskie-materialy/2000218544-V114/","Открыть позицию")</x:f>
        <x:v>Открыть позицию</x:v>
      </x:c>
    </x:row>
    <x:row r="160" ht="28" customHeight="1">
      <x:c r="A160" s="16" t="str">
        <x:v>Красноярская ТЭЦ-3</x:v>
      </x:c>
      <x:c r="B160" s="16" t="str">
        <x:v>2000551957-V114</x:v>
      </x:c>
      <x:c r="C160" s="16" t="str">
        <x:v>Э/ЩЕТКА ЭГ74 10*12,5*32 К4-2 ПЩ 1,5</x:v>
      </x:c>
      <x:c r="D160" s="16" t="str">
        <x:v>Электрощетки</x:v>
      </x:c>
      <x:c r="E160" s="16" t="str">
        <x:v>ШТ</x:v>
      </x:c>
      <x:c r="F160" s="21" t="n">
        <x:v>4</x:v>
      </x:c>
      <x:c r="G160" s="17" t="n">
        <x:v>70.0036</x:v>
      </x:c>
      <x:c r="H160" s="17" t="n">
        <x:f>G160*F160</x:f>
        <x:v>280.0144</x:v>
      </x:c>
      <x:c r="I160" s="22" t="str">
        <x:f>HYPERLINK("https://etp-aktiv.ru/catalog/materialy/ehlektrotekhnicheskie-materialy/2000551957-V114/","Открыть позицию")</x:f>
        <x:v>Открыть позицию</x:v>
      </x:c>
    </x:row>
    <x:row r="161" ht="28" customHeight="1">
      <x:c r="A161" s="16" t="str">
        <x:v>Красноярская теплосеть</x:v>
      </x:c>
      <x:c r="B161" s="16" t="str">
        <x:v>2000629237-V122</x:v>
      </x:c>
      <x:c r="C161" s="16" t="str">
        <x:v>ИЗМЕРИТЕЛЬ-РЕГУЛЯТОР ТРМ212-Щ1-КК</x:v>
      </x:c>
      <x:c r="D161" s="16" t="str">
        <x:v>ЗЧ КИПиА</x:v>
      </x:c>
      <x:c r="E161" s="16" t="str">
        <x:v>ШТ</x:v>
      </x:c>
      <x:c r="F161" s="21" t="n">
        <x:v>2</x:v>
      </x:c>
      <x:c r="G161" s="17" t="n">
        <x:v>1029.375</x:v>
      </x:c>
      <x:c r="H161" s="17" t="n">
        <x:f>G161*F161</x:f>
        <x:v>2058.75</x:v>
      </x:c>
      <x:c r="I161" s="22" t="str">
        <x:f>HYPERLINK("https://etp-aktiv.ru/catalog/materialy/zapasnye-chasti-i-prinadlezhnosti-dlya-priborov-kipia/2000629237-V122/","Открыть позицию")</x:f>
        <x:v>Открыть позицию</x:v>
      </x:c>
    </x:row>
    <x:row r="162" ht="28" customHeight="1">
      <x:c r="A162" s="16" t="str">
        <x:v>Красноярская теплосеть</x:v>
      </x:c>
      <x:c r="B162" s="16" t="str">
        <x:v>2000030124-V122</x:v>
      </x:c>
      <x:c r="C162" s="16" t="str">
        <x:v>МАНОМЕТР МТП-1М 0-10КГС/СМ2 Д60</x:v>
      </x:c>
      <x:c r="D162" s="16" t="str">
        <x:v>ЗЧ КИПиА</x:v>
      </x:c>
      <x:c r="E162" s="16" t="str">
        <x:v>ШТ</x:v>
      </x:c>
      <x:c r="F162" s="21" t="n">
        <x:v>56</x:v>
      </x:c>
      <x:c r="G162" s="17" t="n">
        <x:v>300.0224</x:v>
      </x:c>
      <x:c r="H162" s="17" t="n">
        <x:f>G162*F162</x:f>
        <x:v>16801.2544</x:v>
      </x:c>
      <x:c r="I162" s="22" t="str">
        <x:f>HYPERLINK("https://etp-aktiv.ru/catalog/materialy/zapasnye-chasti-i-prinadlezhnosti-dlya-priborov-kipia/2000030124-V122/","Открыть позицию")</x:f>
        <x:v>Открыть позицию</x:v>
      </x:c>
    </x:row>
    <x:row r="163" ht="28" customHeight="1">
      <x:c r="A163" s="16" t="str">
        <x:v>Красноярская теплосеть</x:v>
      </x:c>
      <x:c r="B163" s="16" t="str">
        <x:v>2000262402-V122</x:v>
      </x:c>
      <x:c r="C163" s="16" t="str">
        <x:v>МАНОМЕТР ТМ-210/Р.00 0-0,6МПА М12*1,5</x:v>
      </x:c>
      <x:c r="D163" s="16" t="str">
        <x:v>ЗЧ КИПиА</x:v>
      </x:c>
      <x:c r="E163" s="16" t="str">
        <x:v>ШТ</x:v>
      </x:c>
      <x:c r="F163" s="21" t="n">
        <x:v>12</x:v>
      </x:c>
      <x:c r="G163" s="17" t="n">
        <x:v>114.3628</x:v>
      </x:c>
      <x:c r="H163" s="17" t="n">
        <x:f>G163*F163</x:f>
        <x:v>1372.3536</x:v>
      </x:c>
      <x:c r="I163" s="22" t="str">
        <x:f>HYPERLINK("https://etp-aktiv.ru/catalog/materialy/zapasnye-chasti-i-prinadlezhnosti-dlya-priborov-kipia/2000262402-V122/","Открыть позицию")</x:f>
        <x:v>Открыть позицию</x:v>
      </x:c>
    </x:row>
    <x:row r="164" ht="28" customHeight="1">
      <x:c r="A164" s="16" t="str">
        <x:v>Красноярская теплосеть</x:v>
      </x:c>
      <x:c r="B164" s="16" t="str">
        <x:v>5000090382-V122</x:v>
      </x:c>
      <x:c r="C164" s="16" t="str">
        <x:v>СБОРКА ЗАДВИЖЕК КСАТО 3323.19-АТМ.ОЛ3</x:v>
      </x:c>
      <x:c r="D164" s="16" t="str">
        <x:v>Низковольт КМП устр</x:v>
      </x:c>
      <x:c r="E164" s="16" t="str">
        <x:v>ШТ</x:v>
      </x:c>
      <x:c r="F164" s="21" t="n">
        <x:v>1</x:v>
      </x:c>
      <x:c r="G164" s="17" t="n">
        <x:v>271306.7842</x:v>
      </x:c>
      <x:c r="H164" s="17" t="n">
        <x:f>G164*F164</x:f>
        <x:v>271306.7842</x:v>
      </x:c>
      <x:c r="I164" s="22" t="str">
        <x:f>HYPERLINK("https://etp-aktiv.ru/catalog/materialy/nizkovoltnaya-apparatura-i-zapasnye-chasti/5000090382-V122/","Открыть позицию")</x:f>
        <x:v>Открыть позицию</x:v>
      </x:c>
    </x:row>
    <x:row r="165" ht="28" customHeight="1">
      <x:c r="A165" s="16" t="str">
        <x:v>Красноярская теплосеть</x:v>
      </x:c>
      <x:c r="B165" s="16" t="str">
        <x:v>2000160149-V122</x:v>
      </x:c>
      <x:c r="C165" s="16" t="str">
        <x:v>ЩИТ ЩУ-3/1-0-74 IP54 553*460*165</x:v>
      </x:c>
      <x:c r="D165" s="16" t="str">
        <x:v>Низковол апп-ра и ЗЧ</x:v>
      </x:c>
      <x:c r="E165" s="16" t="str">
        <x:v>ШТ</x:v>
      </x:c>
      <x:c r="F165" s="21" t="n">
        <x:v>0</x:v>
      </x:c>
      <x:c r="G165" s="17" t="n">
        <x:v>366.24399999999997</x:v>
      </x:c>
      <x:c r="H165" s="17" t="n">
        <x:f>G165*F165</x:f>
        <x:v>0</x:v>
      </x:c>
      <x:c r="I165" s="22" t="str">
        <x:f>HYPERLINK("https://etp-aktiv.ru/catalog/materialy/nizkovoltnaya-apparatura-i-zapasnye-chasti/2000160149-V122/","Открыть позицию")</x:f>
        <x:v>Открыть позицию</x:v>
      </x:c>
    </x:row>
    <x:row r="166" ht="28" customHeight="1">
      <x:c r="A166" s="16" t="str">
        <x:v>Минусинская ТЭЦ</x:v>
      </x:c>
      <x:c r="B166" s="16" t="str">
        <x:v>2000445993-V112</x:v>
      </x:c>
      <x:c r="C166" s="16" t="str">
        <x:v>ПРОБООТБОРНИК ELCHROM-G 50МЛ</x:v>
      </x:c>
      <x:c r="D166" s="16" t="str">
        <x:v>ЗЧ КИПиА</x:v>
      </x:c>
      <x:c r="E166" s="16" t="str">
        <x:v>ШТ</x:v>
      </x:c>
      <x:c r="F166" s="21" t="n">
        <x:v>2</x:v>
      </x:c>
      <x:c r="G166" s="17" t="n">
        <x:v>7678.9484</x:v>
      </x:c>
      <x:c r="H166" s="17" t="n">
        <x:f>G166*F166</x:f>
        <x:v>15357.8968</x:v>
      </x:c>
      <x:c r="I166" s="22" t="str">
        <x:f>HYPERLINK("https://etp-aktiv.ru/catalog/materialy/zapasnye-chasti-i-prinadlezhnosti-dlya-priborov-kipia/2000445993-V112/","Открыть позицию")</x:f>
        <x:v>Открыть позицию</x:v>
      </x:c>
    </x:row>
    <x:row r="167" ht="28" customHeight="1">
      <x:c r="A167" s="16" t="str">
        <x:v>Минусинская ТЭЦ</x:v>
      </x:c>
      <x:c r="B167" s="16" t="str">
        <x:v>2000604598-V112</x:v>
      </x:c>
      <x:c r="C167" s="16" t="str">
        <x:v>РОЗЕТКА RJ-45 5E VIVA 1МОД БЕЛЫЙ 45037</x:v>
      </x:c>
      <x:c r="D167" s="16" t="str">
        <x:v>Компл,ЗЧ Оф/КомпОб</x:v>
      </x:c>
      <x:c r="E167" s="16" t="str">
        <x:v>ШТ</x:v>
      </x:c>
      <x:c r="F167" s="21" t="n">
        <x:v>50</x:v>
      </x:c>
      <x:c r="G167" s="17" t="n">
        <x:v>342.5638</x:v>
      </x:c>
      <x:c r="H167" s="17" t="n">
        <x:f>G167*F167</x:f>
        <x:v>17128.190000000002</x:v>
      </x:c>
      <x:c r="I167" s="22" t="str">
        <x:f>HYPERLINK("https://etp-aktiv.ru/catalog/materialy/komplektuyushchie-i-zapasnye-chasti-k-kompyuternomu-i-ofisnomu-oborudovaniyu/2000604598-V112/","Открыть позицию")</x:f>
        <x:v>Открыть позицию</x:v>
      </x:c>
    </x:row>
    <x:row r="168" ht="28" customHeight="1">
      <x:c r="A168" s="16" t="str">
        <x:v>Минусинская ТЭЦ</x:v>
      </x:c>
      <x:c r="B168" s="16" t="str">
        <x:v>2000441084-V112</x:v>
      </x:c>
      <x:c r="C168" s="16" t="str">
        <x:v>РОЗЕТКА ШР20П4ЭГ8 850В 35А IP20</x:v>
      </x:c>
      <x:c r="D168" s="16" t="str">
        <x:v>Освет и э/установоч</x:v>
      </x:c>
      <x:c r="E168" s="16" t="str">
        <x:v>ШТ</x:v>
      </x:c>
      <x:c r="F168" s="21" t="n">
        <x:v>5</x:v>
      </x:c>
      <x:c r="G168" s="17" t="n">
        <x:v>502.1032</x:v>
      </x:c>
      <x:c r="H168" s="17" t="n">
        <x:f>G168*F168</x:f>
        <x:v>2510.516</x:v>
      </x:c>
      <x:c r="I168" s="22" t="str">
        <x:f>HYPERLINK("https://etp-aktiv.ru/catalog/materialy/ehlektrotekhnicheskie-materialy/2000441084-V112/","Открыть позицию")</x:f>
        <x:v>Открыть позицию</x:v>
      </x:c>
    </x:row>
    <x:row r="169" ht="28" customHeight="1">
      <x:c r="A169" s="16" t="str">
        <x:v>Минусинская ТЭЦ</x:v>
      </x:c>
      <x:c r="B169" s="16" t="str">
        <x:v>2000920241-V112</x:v>
      </x:c>
      <x:c r="C169" s="16" t="str">
        <x:v>СИГНАЛИЗАТОР СУПТ-202EX-М27-70</x:v>
      </x:c>
      <x:c r="D169" s="16" t="str">
        <x:v>ЗЧ КИПиА</x:v>
      </x:c>
      <x:c r="E169" s="16" t="str">
        <x:v>ШТ</x:v>
      </x:c>
      <x:c r="F169" s="21" t="n">
        <x:v>1</x:v>
      </x:c>
      <x:c r="G169" s="17" t="n">
        <x:v>52069.2218</x:v>
      </x:c>
      <x:c r="H169" s="17" t="n">
        <x:f>G169*F169</x:f>
        <x:v>52069.2218</x:v>
      </x:c>
      <x:c r="I169" s="22" t="str">
        <x:f>HYPERLINK("https://etp-aktiv.ru/catalog/materialy/zapasnye-chasti-i-prinadlezhnosti-dlya-priborov-kipia/2000920241-V112/","Открыть позицию")</x:f>
        <x:v>Открыть позицию</x:v>
      </x:c>
    </x:row>
    <x:row r="170" ht="28" customHeight="1">
      <x:c r="A170" s="16" t="str">
        <x:v>Минусинская ТЭЦ</x:v>
      </x:c>
      <x:c r="B170" s="16" t="str">
        <x:v>2000248513-V112</x:v>
      </x:c>
      <x:c r="C170" s="16" t="str">
        <x:v>СТАРТЕР COMTECH LS 111М 4-65ВТ 220</x:v>
      </x:c>
      <x:c r="D170" s="16" t="str">
        <x:v>Освет и э/установоч</x:v>
      </x:c>
      <x:c r="E170" s="16" t="str">
        <x:v>ШТ</x:v>
      </x:c>
      <x:c r="F170" s="21" t="n">
        <x:v>66</x:v>
      </x:c>
      <x:c r="G170" s="17" t="n">
        <x:v>5.4412</x:v>
      </x:c>
      <x:c r="H170" s="17" t="n">
        <x:f>G170*F170</x:f>
        <x:v>359.11920000000003</x:v>
      </x:c>
      <x:c r="I170" s="22" t="str">
        <x:f>HYPERLINK("https://etp-aktiv.ru/catalog/materialy/ehlektrotekhnicheskie-materialy/2000248513-V112/","Открыть позицию")</x:f>
        <x:v>Открыть позицию</x:v>
      </x:c>
    </x:row>
    <x:row r="171" ht="28" customHeight="1">
      <x:c r="A171" s="16" t="str">
        <x:v>Минусинская ТЭЦ</x:v>
      </x:c>
      <x:c r="B171" s="16" t="str">
        <x:v>2000129117-V112</x:v>
      </x:c>
      <x:c r="C171" s="16" t="str">
        <x:v>СТАРТЕР OS ST111 4-80ВТ 220-240</x:v>
      </x:c>
      <x:c r="D171" s="16" t="str">
        <x:v>Освет и э/установоч</x:v>
      </x:c>
      <x:c r="E171" s="16" t="str">
        <x:v>ШТ</x:v>
      </x:c>
      <x:c r="F171" s="21" t="n">
        <x:v>30</x:v>
      </x:c>
      <x:c r="G171" s="17" t="n">
        <x:v>10.906799999999999</x:v>
      </x:c>
      <x:c r="H171" s="17" t="n">
        <x:f>G171*F171</x:f>
        <x:v>327.20399999999995</x:v>
      </x:c>
      <x:c r="I171" s="22" t="str">
        <x:f>HYPERLINK("https://etp-aktiv.ru/catalog/materialy/ehlektrotekhnicheskie-materialy/2000129117-V112/","Открыть позицию")</x:f>
        <x:v>Открыть позицию</x:v>
      </x:c>
    </x:row>
    <x:row r="172" ht="28" customHeight="1">
      <x:c r="A172" s="16" t="str">
        <x:v>Минусинская ТЭЦ</x:v>
      </x:c>
      <x:c r="B172" s="16" t="str">
        <x:v>2000609151-V112</x:v>
      </x:c>
      <x:c r="C172" s="16" t="str">
        <x:v>ЩИТ ОЩВ-6 63А+6*25А IP31 250*300*135</x:v>
      </x:c>
      <x:c r="D172" s="16" t="str">
        <x:v>Низковол апп-ра и ЗЧ</x:v>
      </x:c>
      <x:c r="E172" s="16" t="str">
        <x:v>ШТ</x:v>
      </x:c>
      <x:c r="F172" s="21" t="n">
        <x:v>1</x:v>
      </x:c>
      <x:c r="G172" s="17" t="n">
        <x:v>1046.8088</x:v>
      </x:c>
      <x:c r="H172" s="17" t="n">
        <x:f>G172*F172</x:f>
        <x:v>1046.8088</x:v>
      </x:c>
      <x:c r="I172" s="22" t="str">
        <x:f>HYPERLINK("https://etp-aktiv.ru/catalog/materialy/nizkovoltnaya-apparatura-i-zapasnye-chasti/2000609151-V112/","Открыть позицию")</x:f>
        <x:v>Открыть позицию</x:v>
      </x:c>
    </x:row>
    <x:row r="173" ht="28" customHeight="1">
      <x:c r="A173" s="16" t="str">
        <x:v>Назаровская ГРЭС</x:v>
      </x:c>
      <x:c r="B173" s="16" t="str">
        <x:v>2000540813-V311</x:v>
      </x:c>
      <x:c r="C173" s="16" t="str">
        <x:v>АДАПТЕР BA 2X RJ45 6ES7193-6AR00-0AA0</x:v>
      </x:c>
      <x:c r="D173" s="16" t="str">
        <x:v>ЗЧ КИПиА</x:v>
      </x:c>
      <x:c r="E173" s="16" t="str">
        <x:v>ШТ</x:v>
      </x:c>
      <x:c r="F173" s="21" t="n">
        <x:v>1</x:v>
      </x:c>
      <x:c r="G173" s="17" t="n">
        <x:v>8029.125</x:v>
      </x:c>
      <x:c r="H173" s="17" t="n">
        <x:f>G173*F173</x:f>
        <x:v>8029.125</x:v>
      </x:c>
      <x:c r="I173" s="22" t="str">
        <x:f>HYPERLINK("https://etp-aktiv.ru/catalog/materialy/zapasnye-chasti-i-prinadlezhnosti-dlya-priborov-kipia/2000540813-V311/","Открыть позицию")</x:f>
        <x:v>Открыть позицию</x:v>
      </x:c>
    </x:row>
    <x:row r="174" ht="28" customHeight="1">
      <x:c r="A174" s="16" t="str">
        <x:v>Назаровская ГРЭС</x:v>
      </x:c>
      <x:c r="B174" s="16" t="str">
        <x:v>2000571362-V311</x:v>
      </x:c>
      <x:c r="C174" s="16" t="str">
        <x:v>АККУМУЛЯТОР 18650 3,7В 2600МАЧ LI-ION</x:v>
      </x:c>
      <x:c r="D174" s="16" t="str">
        <x:v>Элементы питания</x:v>
      </x:c>
      <x:c r="E174" s="16" t="str">
        <x:v>ШТ</x:v>
      </x:c>
      <x:c r="F174" s="21" t="n">
        <x:v>4</x:v>
      </x:c>
      <x:c r="G174" s="17" t="n">
        <x:v>286.17539999999997</x:v>
      </x:c>
      <x:c r="H174" s="17" t="n">
        <x:f>G174*F174</x:f>
        <x:v>1144.7015999999999</x:v>
      </x:c>
      <x:c r="I174" s="22" t="str">
        <x:f>HYPERLINK("https://etp-aktiv.ru/catalog/materialy/akkumulyatory/2000571362-V311/","Открыть позицию")</x:f>
        <x:v>Открыть позицию</x:v>
      </x:c>
    </x:row>
    <x:row r="175" ht="28" customHeight="1">
      <x:c r="A175" s="16" t="str">
        <x:v>Назаровская ГРЭС</x:v>
      </x:c>
      <x:c r="B175" s="16" t="str">
        <x:v>2001003351-V311</x:v>
      </x:c>
      <x:c r="C175" s="16" t="str">
        <x:v>АМПЕРМЕТР М42300 5МА 0-200А 1,5 В IP50</x:v>
      </x:c>
      <x:c r="D175" s="16" t="str">
        <x:v>ЗЧ КИПиА</x:v>
      </x:c>
      <x:c r="E175" s="16" t="str">
        <x:v>ШТ</x:v>
      </x:c>
      <x:c r="F175" s="21" t="n">
        <x:v>1</x:v>
      </x:c>
      <x:c r="G175" s="17" t="n">
        <x:v>3441.5468</x:v>
      </x:c>
      <x:c r="H175" s="17" t="n">
        <x:f>G175*F175</x:f>
        <x:v>3441.5468</x:v>
      </x:c>
      <x:c r="I175" s="22" t="str">
        <x:f>HYPERLINK("https://etp-aktiv.ru/catalog/materialy/zapasnye-chasti-i-prinadlezhnosti-dlya-priborov-kipia/2001003351-V311/","Открыть позицию")</x:f>
        <x:v>Открыть позицию</x:v>
      </x:c>
    </x:row>
    <x:row r="176" ht="28" customHeight="1">
      <x:c r="A176" s="16" t="str">
        <x:v>Назаровская ГРЭС</x:v>
      </x:c>
      <x:c r="B176" s="16" t="str">
        <x:v>2001013127-V311</x:v>
      </x:c>
      <x:c r="C176" s="16" t="str">
        <x:v>АМПЕРМЕТР М4276(С) 0-20МА КЛ1,5 В</x:v>
      </x:c>
      <x:c r="D176" s="16" t="str">
        <x:v>ЗЧ КИПиА</x:v>
      </x:c>
      <x:c r="E176" s="16" t="str">
        <x:v>ШТ</x:v>
      </x:c>
      <x:c r="F176" s="21" t="n">
        <x:v>1</x:v>
      </x:c>
      <x:c r="G176" s="17" t="n">
        <x:v>5661.5686</x:v>
      </x:c>
      <x:c r="H176" s="17" t="n">
        <x:f>G176*F176</x:f>
        <x:v>5661.5686</x:v>
      </x:c>
      <x:c r="I176" s="22" t="str">
        <x:f>HYPERLINK("https://etp-aktiv.ru/catalog/materialy/zapasnye-chasti-i-prinadlezhnosti-dlya-priborov-kipia/2001013127-V311/","Открыть позицию")</x:f>
        <x:v>Открыть позицию</x:v>
      </x:c>
    </x:row>
    <x:row r="177" ht="28" customHeight="1">
      <x:c r="A177" s="16" t="str">
        <x:v>Назаровская ГРЭС</x:v>
      </x:c>
      <x:c r="B177" s="16" t="str">
        <x:v>2000586196-V311</x:v>
      </x:c>
      <x:c r="C177" s="16" t="str">
        <x:v>АНАЛИЗАТОР ЛИДЕР-300.1010.6-1.6-1.6-1</x:v>
      </x:c>
      <x:c r="D177" s="16" t="str">
        <x:v>ЗЧ КИПиА</x:v>
      </x:c>
      <x:c r="E177" s="16" t="str">
        <x:v>КМП</x:v>
      </x:c>
      <x:c r="F177" s="21" t="n">
        <x:v>1</x:v>
      </x:c>
      <x:c r="G177" s="17" t="n">
        <x:v>145116.1452</x:v>
      </x:c>
      <x:c r="H177" s="17" t="n">
        <x:f>G177*F177</x:f>
        <x:v>145116.1452</x:v>
      </x:c>
      <x:c r="I177" s="22" t="str">
        <x:f>HYPERLINK("https://etp-aktiv.ru/catalog/materialy/zapasnye-chasti-i-prinadlezhnosti-dlya-priborov-kipia/2000586196-V311/","Открыть позицию")</x:f>
        <x:v>Открыть позицию</x:v>
      </x:c>
    </x:row>
    <x:row r="178" ht="28" customHeight="1">
      <x:c r="A178" s="16" t="str">
        <x:v>Назаровская ГРЭС</x:v>
      </x:c>
      <x:c r="B178" s="16" t="str">
        <x:v>2000536302-V311</x:v>
      </x:c>
      <x:c r="C178" s="16" t="str">
        <x:v>БЛОК КОНТАКТНЫЙ MCB-10 1SFA611610R1001</x:v>
      </x:c>
      <x:c r="D178" s="16" t="str">
        <x:v>Низковол апп ЗЧ спец</x:v>
      </x:c>
      <x:c r="E178" s="16" t="str">
        <x:v>ШТ</x:v>
      </x:c>
      <x:c r="F178" s="21" t="n">
        <x:v>0</x:v>
      </x:c>
      <x:c r="G178" s="17" t="n">
        <x:v>66.917</x:v>
      </x:c>
      <x:c r="H178" s="17" t="n">
        <x:f>G178*F178</x:f>
        <x:v>0</x:v>
      </x:c>
      <x:c r="I178" s="22" t="str">
        <x:f>HYPERLINK("https://etp-aktiv.ru/catalog/materialy/nizkovoltnaya-apparatura-i-zapasnye-chasti/2000536302-V311/","Открыть позицию")</x:f>
        <x:v>Открыть позицию</x:v>
      </x:c>
    </x:row>
    <x:row r="179" ht="28" customHeight="1">
      <x:c r="A179" s="16" t="str">
        <x:v>Назаровская ГРЭС</x:v>
      </x:c>
      <x:c r="B179" s="16" t="str">
        <x:v>2000541362-V311</x:v>
      </x:c>
      <x:c r="C179" s="16" t="str">
        <x:v>БЛОК ПИТАНИЯ БПС 4-24-150</x:v>
      </x:c>
      <x:c r="D179" s="16" t="str">
        <x:v>ЗЧ КИПиА</x:v>
      </x:c>
      <x:c r="E179" s="16" t="str">
        <x:v>ШТ</x:v>
      </x:c>
      <x:c r="F179" s="21" t="n">
        <x:v>2</x:v>
      </x:c>
      <x:c r="G179" s="17" t="n">
        <x:v>1930.0888</x:v>
      </x:c>
      <x:c r="H179" s="17" t="n">
        <x:f>G179*F179</x:f>
        <x:v>3860.1776</x:v>
      </x:c>
      <x:c r="I179" s="22" t="str">
        <x:f>HYPERLINK("https://etp-aktiv.ru/catalog/materialy/zapasnye-chasti-i-prinadlezhnosti-dlya-priborov-kipia/2000541362-V311/","Открыть позицию")</x:f>
        <x:v>Открыть позицию</x:v>
      </x:c>
    </x:row>
    <x:row r="180" ht="28" customHeight="1">
      <x:c r="A180" s="16" t="str">
        <x:v>Назаровская ГРЭС</x:v>
      </x:c>
      <x:c r="B180" s="16" t="str">
        <x:v>2000807823-V311</x:v>
      </x:c>
      <x:c r="C180" s="16" t="str">
        <x:v>БОБЫШКА 753 ИСП.1 М20*1,5 12Х18Н10Т L=50</x:v>
      </x:c>
      <x:c r="D180" s="16" t="str">
        <x:v>ЗЧ КИПиА</x:v>
      </x:c>
      <x:c r="E180" s="16" t="str">
        <x:v>ШТ</x:v>
      </x:c>
      <x:c r="F180" s="21" t="n">
        <x:v>4</x:v>
      </x:c>
      <x:c r="G180" s="17" t="n">
        <x:v>1078.1018000000001</x:v>
      </x:c>
      <x:c r="H180" s="17" t="n">
        <x:f>G180*F180</x:f>
        <x:v>4312.407200000001</x:v>
      </x:c>
      <x:c r="I180" s="22" t="str">
        <x:f>HYPERLINK("https://etp-aktiv.ru/catalog/materialy/zapasnye-chasti-i-prinadlezhnosti-dlya-priborov-kipia/2000807823-V311/","Открыть позицию")</x:f>
        <x:v>Открыть позицию</x:v>
      </x:c>
    </x:row>
    <x:row r="181" ht="28" customHeight="1">
      <x:c r="A181" s="16" t="str">
        <x:v>Назаровская ГРЭС</x:v>
      </x:c>
      <x:c r="B181" s="16" t="str">
        <x:v>2000540867-V311</x:v>
      </x:c>
      <x:c r="C181" s="16" t="str">
        <x:v>БОБЫШКА Б1 12Х18Н10Т М20*1,5-32</x:v>
      </x:c>
      <x:c r="D181" s="16" t="str">
        <x:v>ЗЧ КИПиА</x:v>
      </x:c>
      <x:c r="E181" s="16" t="str">
        <x:v>ШТ</x:v>
      </x:c>
      <x:c r="F181" s="21" t="n">
        <x:v>14</x:v>
      </x:c>
      <x:c r="G181" s="17" t="n">
        <x:v>67.466</x:v>
      </x:c>
      <x:c r="H181" s="17" t="n">
        <x:f>G181*F181</x:f>
        <x:v>944.5239999999999</x:v>
      </x:c>
      <x:c r="I181" s="22" t="str">
        <x:f>HYPERLINK("https://etp-aktiv.ru/catalog/materialy/zapasnye-chasti-i-prinadlezhnosti-dlya-priborov-kipia/2000540867-V311/","Открыть позицию")</x:f>
        <x:v>Открыть позицию</x:v>
      </x:c>
    </x:row>
    <x:row r="182" ht="28" customHeight="1">
      <x:c r="A182" s="16" t="str">
        <x:v>Назаровская ГРЭС</x:v>
      </x:c>
      <x:c r="B182" s="16" t="str">
        <x:v>2000540879-V311</x:v>
      </x:c>
      <x:c r="C182" s="16" t="str">
        <x:v>БОБЫШКА БП01-М20*1,5-55ММ СТ20</x:v>
      </x:c>
      <x:c r="D182" s="16" t="str">
        <x:v>ЗЧ КИПиА</x:v>
      </x:c>
      <x:c r="E182" s="16" t="str">
        <x:v>ШТ</x:v>
      </x:c>
      <x:c r="F182" s="21" t="n">
        <x:v>4</x:v>
      </x:c>
      <x:c r="G182" s="17" t="n">
        <x:v>97.234</x:v>
      </x:c>
      <x:c r="H182" s="17" t="n">
        <x:f>G182*F182</x:f>
        <x:v>388.936</x:v>
      </x:c>
      <x:c r="I182" s="22" t="str">
        <x:f>HYPERLINK("https://etp-aktiv.ru/catalog/materialy/zapasnye-chasti-i-prinadlezhnosti-dlya-priborov-kipia/2000540879-V311/","Открыть позицию")</x:f>
        <x:v>Открыть позицию</x:v>
      </x:c>
    </x:row>
    <x:row r="183" ht="28" customHeight="1">
      <x:c r="A183" s="16" t="str">
        <x:v>Назаровская ГРЭС</x:v>
      </x:c>
      <x:c r="B183" s="16" t="str">
        <x:v>2000481862-V311</x:v>
      </x:c>
      <x:c r="C183" s="16" t="str">
        <x:v>БОБЫШКА БП1-05 12Х18Н10Т</x:v>
      </x:c>
      <x:c r="D183" s="16" t="str">
        <x:v>ЗЧ КИПиА</x:v>
      </x:c>
      <x:c r="E183" s="16" t="str">
        <x:v>ШТ</x:v>
      </x:c>
      <x:c r="F183" s="21" t="n">
        <x:v>4</x:v>
      </x:c>
      <x:c r="G183" s="17" t="n">
        <x:v>367.1468</x:v>
      </x:c>
      <x:c r="H183" s="17" t="n">
        <x:f>G183*F183</x:f>
        <x:v>1468.5872</x:v>
      </x:c>
      <x:c r="I183" s="22" t="str">
        <x:f>HYPERLINK("https://etp-aktiv.ru/catalog/materialy/zapasnye-chasti-i-prinadlezhnosti-dlya-priborov-kipia/2000481862-V311/","Открыть позицию")</x:f>
        <x:v>Открыть позицию</x:v>
      </x:c>
    </x:row>
    <x:row r="184" ht="28" customHeight="1">
      <x:c r="A184" s="16" t="str">
        <x:v>Назаровская ГРЭС</x:v>
      </x:c>
      <x:c r="B184" s="16" t="str">
        <x:v>2000540894-V311</x:v>
      </x:c>
      <x:c r="C184" s="16" t="str">
        <x:v>БОБЫШКА ЮНКЖ 034.1 М20*1,5-С10-32-60</x:v>
      </x:c>
      <x:c r="D184" s="16" t="str">
        <x:v>ЗЧ КИПиА</x:v>
      </x:c>
      <x:c r="E184" s="16" t="str">
        <x:v>ШТ</x:v>
      </x:c>
      <x:c r="F184" s="21" t="n">
        <x:v>1</x:v>
      </x:c>
      <x:c r="G184" s="17" t="n">
        <x:v>275.2564</x:v>
      </x:c>
      <x:c r="H184" s="17" t="n">
        <x:f>G184*F184</x:f>
        <x:v>275.2564</x:v>
      </x:c>
      <x:c r="I184" s="22" t="str">
        <x:f>HYPERLINK("https://etp-aktiv.ru/catalog/materialy/zapasnye-chasti-i-prinadlezhnosti-dlya-priborov-kipia/2000540894-V311/","Открыть позицию")</x:f>
        <x:v>Открыть позицию</x:v>
      </x:c>
    </x:row>
    <x:row r="185" ht="28" customHeight="1">
      <x:c r="A185" s="16" t="str">
        <x:v>Назаровская ГРЭС</x:v>
      </x:c>
      <x:c r="B185" s="16" t="str">
        <x:v>2000468880-V311</x:v>
      </x:c>
      <x:c r="C185" s="16" t="str">
        <x:v>ВИЛКА DIS21812536 400В 125А IP67</x:v>
      </x:c>
      <x:c r="D185" s="16" t="str">
        <x:v>Освет и э/установоч</x:v>
      </x:c>
      <x:c r="E185" s="16" t="str">
        <x:v>ШТ</x:v>
      </x:c>
      <x:c r="F185" s="21" t="n">
        <x:v>5</x:v>
      </x:c>
      <x:c r="G185" s="17" t="n">
        <x:v>2103.8534</x:v>
      </x:c>
      <x:c r="H185" s="17" t="n">
        <x:f>G185*F185</x:f>
        <x:v>10519.267</x:v>
      </x:c>
      <x:c r="I185" s="22" t="str">
        <x:f>HYPERLINK("https://etp-aktiv.ru/catalog/materialy/ehlektrotekhnicheskie-materialy/2000468880-V311/","Открыть позицию")</x:f>
        <x:v>Открыть позицию</x:v>
      </x:c>
    </x:row>
    <x:row r="186" ht="28" customHeight="1">
      <x:c r="A186" s="16" t="str">
        <x:v>Назаровская ГРЭС</x:v>
      </x:c>
      <x:c r="B186" s="16" t="str">
        <x:v>2000536360-V311</x:v>
      </x:c>
      <x:c r="C186" s="16" t="str">
        <x:v>ДАТЧИК ТЕРМОРЕЛЕ ТР-31Е L=2,5М</x:v>
      </x:c>
      <x:c r="D186" s="16" t="str">
        <x:v>Низковол апп-ра и ЗЧ</x:v>
      </x:c>
      <x:c r="E186" s="16" t="str">
        <x:v>ШТ</x:v>
      </x:c>
      <x:c r="F186" s="21" t="n">
        <x:v>4</x:v>
      </x:c>
      <x:c r="G186" s="17" t="n">
        <x:v>294.996</x:v>
      </x:c>
      <x:c r="H186" s="17" t="n">
        <x:f>G186*F186</x:f>
        <x:v>1179.984</x:v>
      </x:c>
      <x:c r="I186" s="22" t="str">
        <x:f>HYPERLINK("https://etp-aktiv.ru/catalog/materialy/nizkovoltnaya-apparatura-i-zapasnye-chasti/2000536360-V311/","Открыть позицию")</x:f>
        <x:v>Открыть позицию</x:v>
      </x:c>
    </x:row>
    <x:row r="187" ht="28" customHeight="1">
      <x:c r="A187" s="16" t="str">
        <x:v>Назаровская ГРЭС</x:v>
      </x:c>
      <x:c r="B187" s="16" t="str">
        <x:v>2000549193-V311</x:v>
      </x:c>
      <x:c r="C187" s="16" t="str">
        <x:v>ДИОД КЦ 201 Е</x:v>
      </x:c>
      <x:c r="D187" s="16" t="str">
        <x:v>Изделия радиоэл/техн</x:v>
      </x:c>
      <x:c r="E187" s="16" t="str">
        <x:v>ШТ</x:v>
      </x:c>
      <x:c r="F187" s="21" t="n">
        <x:v>15</x:v>
      </x:c>
      <x:c r="G187" s="17" t="n">
        <x:v>367.1468</x:v>
      </x:c>
      <x:c r="H187" s="17" t="n">
        <x:f>G187*F187</x:f>
        <x:v>5507.201999999999</x:v>
      </x:c>
      <x:c r="I187" s="22" t="str">
        <x:f>HYPERLINK("https://etp-aktiv.ru/catalog/materialy/prochie-materialy/2000549193-V311/","Открыть позицию")</x:f>
        <x:v>Открыть позицию</x:v>
      </x:c>
    </x:row>
    <x:row r="188" ht="28" customHeight="1">
      <x:c r="A188" s="16" t="str">
        <x:v>Назаровская ГРЭС</x:v>
      </x:c>
      <x:c r="B188" s="16" t="str">
        <x:v>2000536383-V311</x:v>
      </x:c>
      <x:c r="C188" s="16" t="str">
        <x:v>ЗАМОК БЛОКИРОВОЧНЫЙ ЗБ-1М УХЛ1</x:v>
      </x:c>
      <x:c r="D188" s="16" t="str">
        <x:v>Низковол апп-ра и ЗЧ</x:v>
      </x:c>
      <x:c r="E188" s="16" t="str">
        <x:v>ШТ</x:v>
      </x:c>
      <x:c r="F188" s="21" t="n">
        <x:v>2</x:v>
      </x:c>
      <x:c r="G188" s="17" t="n">
        <x:v>309.7702</x:v>
      </x:c>
      <x:c r="H188" s="17" t="n">
        <x:f>G188*F188</x:f>
        <x:v>619.5404</x:v>
      </x:c>
      <x:c r="I188" s="22" t="str">
        <x:f>HYPERLINK("https://etp-aktiv.ru/catalog/materialy/nizkovoltnaya-apparatura-i-zapasnye-chasti/2000536383-V311/","Открыть позицию")</x:f>
        <x:v>Открыть позицию</x:v>
      </x:c>
    </x:row>
    <x:row r="189" ht="28" customHeight="1">
      <x:c r="A189" s="16" t="str">
        <x:v>Назаровская ГРЭС</x:v>
      </x:c>
      <x:c r="B189" s="16" t="str">
        <x:v>2000473372-V311</x:v>
      </x:c>
      <x:c r="C189" s="16" t="str">
        <x:v>ИЗВЕЩАТЕЛЬ ОХРАННЫЙ ИО 102-20 А2П</x:v>
      </x:c>
      <x:c r="D189" s="16" t="str">
        <x:v>Комп систем наблюд</x:v>
      </x:c>
      <x:c r="E189" s="16" t="str">
        <x:v>ШТ</x:v>
      </x:c>
      <x:c r="F189" s="21" t="n">
        <x:v>10</x:v>
      </x:c>
      <x:c r="G189" s="17" t="n">
        <x:v>78.23859999999999</x:v>
      </x:c>
      <x:c r="H189" s="17" t="n">
        <x:f>G189*F189</x:f>
        <x:v>782.386</x:v>
      </x:c>
      <x:c r="I189" s="22" t="str">
        <x:f>HYPERLINK("https://etp-aktiv.ru/catalog/materialy/prochie-materialy/2000473372-V311/","Открыть позицию")</x:f>
        <x:v>Открыть позицию</x:v>
      </x:c>
    </x:row>
    <x:row r="190" ht="28" customHeight="1">
      <x:c r="A190" s="16" t="str">
        <x:v>Назаровская ГРЭС</x:v>
      </x:c>
      <x:c r="B190" s="16" t="str">
        <x:v>2000551849-V311</x:v>
      </x:c>
      <x:c r="C190" s="16" t="str">
        <x:v>ИЗОЛЯТОР ОСК 10-110-Б04-2 УХЛ1</x:v>
      </x:c>
      <x:c r="D190" s="16" t="str">
        <x:v>Изоляторы</x:v>
      </x:c>
      <x:c r="E190" s="16" t="str">
        <x:v>ШТ</x:v>
      </x:c>
      <x:c r="F190" s="21" t="n">
        <x:v>8</x:v>
      </x:c>
      <x:c r="G190" s="17" t="n">
        <x:v>3620.5939999999996</x:v>
      </x:c>
      <x:c r="H190" s="17" t="n">
        <x:f>G190*F190</x:f>
        <x:v>28964.751999999997</x:v>
      </x:c>
      <x:c r="I190" s="22" t="str">
        <x:f>HYPERLINK("https://etp-aktiv.ru/catalog/materialy/ehlektrotekhnicheskie-materialy/2000551849-V311/","Открыть позицию")</x:f>
        <x:v>Открыть позицию</x:v>
      </x:c>
    </x:row>
    <x:row r="191" ht="28" customHeight="1">
      <x:c r="A191" s="16" t="str">
        <x:v>Назаровская ГРЭС</x:v>
      </x:c>
      <x:c r="B191" s="16" t="str">
        <x:v>2000958513-V311</x:v>
      </x:c>
      <x:c r="C191" s="16" t="str">
        <x:v>ИЗОЛЯТОР ОСК 8-10-206-А УХЛ2</x:v>
      </x:c>
      <x:c r="D191" s="16" t="str">
        <x:v>Изоляторы</x:v>
      </x:c>
      <x:c r="E191" s="16" t="str">
        <x:v>ШТ</x:v>
      </x:c>
      <x:c r="F191" s="21" t="n">
        <x:v>400</x:v>
      </x:c>
      <x:c r="G191" s="17" t="n">
        <x:v>3156.75</x:v>
      </x:c>
      <x:c r="H191" s="17" t="n">
        <x:f>G191*F191</x:f>
        <x:v>1262700</x:v>
      </x:c>
      <x:c r="I191" s="22" t="str">
        <x:f>HYPERLINK("https://etp-aktiv.ru/catalog/materialy/ehlektrotekhnicheskie-materialy/2000958513-V311/","Открыть позицию")</x:f>
        <x:v>Открыть позицию</x:v>
      </x:c>
    </x:row>
    <x:row r="192" ht="28" customHeight="1">
      <x:c r="A192" s="16" t="str">
        <x:v>Назаровская ГРЭС</x:v>
      </x:c>
      <x:c r="B192" s="16" t="str">
        <x:v>2000572529-V311</x:v>
      </x:c>
      <x:c r="C192" s="16" t="str">
        <x:v>ИЗОЛЯТОР ОСК-10-110-Б041-2 УХЛ1</x:v>
      </x:c>
      <x:c r="D192" s="16" t="str">
        <x:v>Изоляторы</x:v>
      </x:c>
      <x:c r="E192" s="16" t="str">
        <x:v>ШТ</x:v>
      </x:c>
      <x:c r="F192" s="21" t="n">
        <x:v>4</x:v>
      </x:c>
      <x:c r="G192" s="17" t="n">
        <x:v>3620.5939999999996</x:v>
      </x:c>
      <x:c r="H192" s="17" t="n">
        <x:f>G192*F192</x:f>
        <x:v>14482.375999999998</x:v>
      </x:c>
      <x:c r="I192" s="22" t="str">
        <x:f>HYPERLINK("https://etp-aktiv.ru/catalog/materialy/ehlektrotekhnicheskie-materialy/2000572529-V311/","Открыть позицию")</x:f>
        <x:v>Открыть позицию</x:v>
      </x:c>
    </x:row>
    <x:row r="193" ht="28" customHeight="1">
      <x:c r="A193" s="16" t="str">
        <x:v>Назаровская ГРЭС</x:v>
      </x:c>
      <x:c r="B193" s="16" t="str">
        <x:v>2000572530-V311</x:v>
      </x:c>
      <x:c r="C193" s="16" t="str">
        <x:v>ИЗОЛЯТОР ОСК-10-110-Г026-3 УХЛ1</x:v>
      </x:c>
      <x:c r="D193" s="16" t="str">
        <x:v>Изоляторы</x:v>
      </x:c>
      <x:c r="E193" s="16" t="str">
        <x:v>ШТ</x:v>
      </x:c>
      <x:c r="F193" s="21" t="n">
        <x:v>8</x:v>
      </x:c>
      <x:c r="G193" s="17" t="n">
        <x:v>3685.376</x:v>
      </x:c>
      <x:c r="H193" s="17" t="n">
        <x:f>G193*F193</x:f>
        <x:v>29483.008</x:v>
      </x:c>
      <x:c r="I193" s="22" t="str">
        <x:f>HYPERLINK("https://etp-aktiv.ru/catalog/materialy/ehlektrotekhnicheskie-materialy/2000572530-V311/","Открыть позицию")</x:f>
        <x:v>Открыть позицию</x:v>
      </x:c>
    </x:row>
    <x:row r="194" ht="28" customHeight="1">
      <x:c r="A194" s="16" t="str">
        <x:v>Назаровская ГРЭС</x:v>
      </x:c>
      <x:c r="B194" s="16" t="str">
        <x:v>2000379633-V311</x:v>
      </x:c>
      <x:c r="C194" s="16" t="str">
        <x:v>ИСТОЧНИК QUINT-UPS/1AC/1AC/500 2320270</x:v>
      </x:c>
      <x:c r="D194" s="16" t="str">
        <x:v>ЗЧ КИПиА</x:v>
      </x:c>
      <x:c r="E194" s="16" t="str">
        <x:v>ШТ</x:v>
      </x:c>
      <x:c r="F194" s="21" t="n">
        <x:v>1</x:v>
      </x:c>
      <x:c r="G194" s="17" t="n">
        <x:v>24975.205599999998</x:v>
      </x:c>
      <x:c r="H194" s="17" t="n">
        <x:f>G194*F194</x:f>
        <x:v>24975.205599999998</x:v>
      </x:c>
      <x:c r="I194" s="22" t="str">
        <x:f>HYPERLINK("https://etp-aktiv.ru/catalog/materialy/zapasnye-chasti-i-prinadlezhnosti-dlya-priborov-kipia/2000379633-V311/","Открыть позицию")</x:f>
        <x:v>Открыть позицию</x:v>
      </x:c>
    </x:row>
    <x:row r="195" ht="28" customHeight="1">
      <x:c r="A195" s="16" t="str">
        <x:v>Назаровская ГРЭС</x:v>
      </x:c>
      <x:c r="B195" s="16" t="str">
        <x:v>2000524423-V311</x:v>
      </x:c>
      <x:c r="C195" s="16" t="str">
        <x:v>КЛАПАН ВД5.456.292</x:v>
      </x:c>
      <x:c r="D195" s="16" t="str">
        <x:v>ЗЧ выключателей</x:v>
      </x:c>
      <x:c r="E195" s="16" t="str">
        <x:v>ШТ</x:v>
      </x:c>
      <x:c r="F195" s="21" t="n">
        <x:v>1</x:v>
      </x:c>
      <x:c r="G195" s="17" t="n">
        <x:v>1784.25</x:v>
      </x:c>
      <x:c r="H195" s="17" t="n">
        <x:f>G195*F195</x:f>
        <x:v>1784.25</x:v>
      </x:c>
      <x:c r="I195" s="22" t="str">
        <x:f>HYPERLINK("https://etp-aktiv.ru/catalog/materialy/ehlektrotekhnicheskie-materialy/2000524423-V311/","Открыть позицию")</x:f>
        <x:v>Открыть позицию</x:v>
      </x:c>
    </x:row>
    <x:row r="196" ht="28" customHeight="1">
      <x:c r="A196" s="16" t="str">
        <x:v>Назаровская ГРЭС</x:v>
      </x:c>
      <x:c r="B196" s="16" t="str">
        <x:v>2000541047-V311</x:v>
      </x:c>
      <x:c r="C196" s="16" t="str">
        <x:v>КЛАПАН КЗИ-16С-А М20*1,5/М20*1,5</x:v>
      </x:c>
      <x:c r="D196" s="16" t="str">
        <x:v>ЗЧ КИПиА</x:v>
      </x:c>
      <x:c r="E196" s="16" t="str">
        <x:v>ШТ</x:v>
      </x:c>
      <x:c r="F196" s="21" t="n">
        <x:v>4</x:v>
      </x:c>
      <x:c r="G196" s="17" t="n">
        <x:v>654.4568</x:v>
      </x:c>
      <x:c r="H196" s="17" t="n">
        <x:f>G196*F196</x:f>
        <x:v>2617.8272</x:v>
      </x:c>
      <x:c r="I196" s="22" t="str">
        <x:f>HYPERLINK("https://etp-aktiv.ru/catalog/materialy/zapasnye-chasti-i-prinadlezhnosti-dlya-priborov-kipia/2000541047-V311/","Открыть позицию")</x:f>
        <x:v>Открыть позицию</x:v>
      </x:c>
    </x:row>
    <x:row r="197" ht="28" customHeight="1">
      <x:c r="A197" s="16" t="str">
        <x:v>Назаровская ГРЭС</x:v>
      </x:c>
      <x:c r="B197" s="16" t="str">
        <x:v>2000796699-V311</x:v>
      </x:c>
      <x:c r="C197" s="16" t="str">
        <x:v>КЛЕММА ST 2,5-TWIN-MT 3036356</x:v>
      </x:c>
      <x:c r="D197" s="16" t="str">
        <x:v>Низковол апп-ра и ЗЧ</x:v>
      </x:c>
      <x:c r="E197" s="16" t="str">
        <x:v>ШТ</x:v>
      </x:c>
      <x:c r="F197" s="21" t="n">
        <x:v>19</x:v>
      </x:c>
      <x:c r="G197" s="17" t="n">
        <x:v>346.57759999999996</x:v>
      </x:c>
      <x:c r="H197" s="17" t="n">
        <x:f>G197*F197</x:f>
        <x:v>6584.974399999999</x:v>
      </x:c>
      <x:c r="I197" s="22" t="str">
        <x:f>HYPERLINK("https://etp-aktiv.ru/catalog/materialy/nizkovoltnaya-apparatura-i-zapasnye-chasti/2000796699-V311/","Открыть позицию")</x:f>
        <x:v>Открыть позицию</x:v>
      </x:c>
    </x:row>
    <x:row r="198" ht="28" customHeight="1">
      <x:c r="A198" s="16" t="str">
        <x:v>Назаровская ГРЭС</x:v>
      </x:c>
      <x:c r="B198" s="16" t="str">
        <x:v>2000151626-V311</x:v>
      </x:c>
      <x:c r="C198" s="16" t="str">
        <x:v>КЛЕММА UT 2,5 3044076</x:v>
      </x:c>
      <x:c r="D198" s="16" t="str">
        <x:v>Низковол апп-ра и ЗЧ</x:v>
      </x:c>
      <x:c r="E198" s="16" t="str">
        <x:v>ШТ</x:v>
      </x:c>
      <x:c r="F198" s="21" t="n">
        <x:v>3</x:v>
      </x:c>
      <x:c r="G198" s="17" t="n">
        <x:v>21.2768</x:v>
      </x:c>
      <x:c r="H198" s="17" t="n">
        <x:f>G198*F198</x:f>
        <x:v>63.830400000000004</x:v>
      </x:c>
      <x:c r="I198" s="22" t="str">
        <x:f>HYPERLINK("https://etp-aktiv.ru/catalog/materialy/nizkovoltnaya-apparatura-i-zapasnye-chasti/2000151626-V311/","Открыть позицию")</x:f>
        <x:v>Открыть позицию</x:v>
      </x:c>
    </x:row>
    <x:row r="199" ht="28" customHeight="1">
      <x:c r="A199" s="16" t="str">
        <x:v>Назаровская ГРЭС</x:v>
      </x:c>
      <x:c r="B199" s="16" t="str">
        <x:v>2000524432-V311</x:v>
      </x:c>
      <x:c r="C199" s="16" t="str">
        <x:v>КОЛЬЦО ВД8.218.038</x:v>
      </x:c>
      <x:c r="D199" s="16" t="str">
        <x:v>ЗЧ выключателей</x:v>
      </x:c>
      <x:c r="E199" s="16" t="str">
        <x:v>ШТ</x:v>
      </x:c>
      <x:c r="F199" s="21" t="n">
        <x:v>1</x:v>
      </x:c>
      <x:c r="G199" s="17" t="n">
        <x:v>480.375</x:v>
      </x:c>
      <x:c r="H199" s="17" t="n">
        <x:f>G199*F199</x:f>
        <x:v>480.375</x:v>
      </x:c>
      <x:c r="I199" s="22" t="str">
        <x:f>HYPERLINK("https://etp-aktiv.ru/catalog/materialy/ehlektrotekhnicheskie-materialy/2000524432-V311/","Открыть позицию")</x:f>
        <x:v>Открыть позицию</x:v>
      </x:c>
    </x:row>
    <x:row r="200" ht="28" customHeight="1">
      <x:c r="A200" s="16" t="str">
        <x:v>Назаровская ГРЭС</x:v>
      </x:c>
      <x:c r="B200" s="16" t="str">
        <x:v>2000524430-V311</x:v>
      </x:c>
      <x:c r="C200" s="16" t="str">
        <x:v>КОЛЬЦО ПОРШНЕВОЕ ВД8.218.031</x:v>
      </x:c>
      <x:c r="D200" s="16" t="str">
        <x:v>ЗЧ выключателей</x:v>
      </x:c>
      <x:c r="E200" s="16" t="str">
        <x:v>ШТ</x:v>
      </x:c>
      <x:c r="F200" s="21" t="n">
        <x:v>1</x:v>
      </x:c>
      <x:c r="G200" s="17" t="n">
        <x:v>2642.0686</x:v>
      </x:c>
      <x:c r="H200" s="17" t="n">
        <x:f>G200*F200</x:f>
        <x:v>2642.0686</x:v>
      </x:c>
      <x:c r="I200" s="22" t="str">
        <x:f>HYPERLINK("https://etp-aktiv.ru/catalog/materialy/ehlektrotekhnicheskie-materialy/2000524430-V311/","Открыть позицию")</x:f>
        <x:v>Открыть позицию</x:v>
      </x:c>
    </x:row>
    <x:row r="201" ht="28" customHeight="1">
      <x:c r="A201" s="16" t="str">
        <x:v>Назаровская ГРЭС</x:v>
      </x:c>
      <x:c r="B201" s="16" t="str">
        <x:v>2000524431-V311</x:v>
      </x:c>
      <x:c r="C201" s="16" t="str">
        <x:v>КОЛЬЦО ПОРШНЕВОЕ ВД8.218.036</x:v>
      </x:c>
      <x:c r="D201" s="16" t="str">
        <x:v>ЗЧ выключателей</x:v>
      </x:c>
      <x:c r="E201" s="16" t="str">
        <x:v>ШТ</x:v>
      </x:c>
      <x:c r="F201" s="21" t="n">
        <x:v>1</x:v>
      </x:c>
      <x:c r="G201" s="17" t="n">
        <x:v>480.375</x:v>
      </x:c>
      <x:c r="H201" s="17" t="n">
        <x:f>G201*F201</x:f>
        <x:v>480.375</x:v>
      </x:c>
      <x:c r="I201" s="22" t="str">
        <x:f>HYPERLINK("https://etp-aktiv.ru/catalog/materialy/ehlektrotekhnicheskie-materialy/2000524431-V311/","Открыть позицию")</x:f>
        <x:v>Открыть позицию</x:v>
      </x:c>
    </x:row>
    <x:row r="202" ht="28" customHeight="1">
      <x:c r="A202" s="16" t="str">
        <x:v>Назаровская ГРЭС</x:v>
      </x:c>
      <x:c r="B202" s="16" t="str">
        <x:v>2000524434-V311</x:v>
      </x:c>
      <x:c r="C202" s="16" t="str">
        <x:v>КОЛЬЦО РИГФ.753615.002-02</x:v>
      </x:c>
      <x:c r="D202" s="16" t="str">
        <x:v>ЗЧ выключателей</x:v>
      </x:c>
      <x:c r="E202" s="16" t="str">
        <x:v>ШТ</x:v>
      </x:c>
      <x:c r="F202" s="21" t="n">
        <x:v>21</x:v>
      </x:c>
      <x:c r="G202" s="17" t="n">
        <x:v>64.33059999999999</x:v>
      </x:c>
      <x:c r="H202" s="17" t="n">
        <x:f>G202*F202</x:f>
        <x:v>1350.9425999999999</x:v>
      </x:c>
      <x:c r="I202" s="22" t="str">
        <x:f>HYPERLINK("https://etp-aktiv.ru/catalog/materialy/ehlektrotekhnicheskie-materialy/2000524434-V311/","Открыть позицию")</x:f>
        <x:v>Открыть позицию</x:v>
      </x:c>
    </x:row>
    <x:row r="203" ht="28" customHeight="1">
      <x:c r="A203" s="16" t="str">
        <x:v>Назаровская ГРЭС</x:v>
      </x:c>
      <x:c r="B203" s="16" t="str">
        <x:v>2000960894-V311</x:v>
      </x:c>
      <x:c r="C203" s="16" t="str">
        <x:v>КОНТАКТ НЕПОДВИЖ ПМ12-025 ИСП Б ET012638</x:v>
      </x:c>
      <x:c r="D203" s="16" t="str">
        <x:v>Низковол апп-ра и ЗЧ</x:v>
      </x:c>
      <x:c r="E203" s="16" t="str">
        <x:v>ШТ</x:v>
      </x:c>
      <x:c r="F203" s="21" t="n">
        <x:v>5</x:v>
      </x:c>
      <x:c r="G203" s="17" t="n">
        <x:v>114.60679999999999</x:v>
      </x:c>
      <x:c r="H203" s="17" t="n">
        <x:f>G203*F203</x:f>
        <x:v>573.034</x:v>
      </x:c>
      <x:c r="I203" s="22" t="str">
        <x:f>HYPERLINK("https://etp-aktiv.ru/catalog/materialy/nizkovoltnaya-apparatura-i-zapasnye-chasti/2000960894-V311/","Открыть позицию")</x:f>
        <x:v>Открыть позицию</x:v>
      </x:c>
    </x:row>
    <x:row r="204" ht="28" customHeight="1">
      <x:c r="A204" s="16" t="str">
        <x:v>Назаровская ГРЭС</x:v>
      </x:c>
      <x:c r="B204" s="16" t="str">
        <x:v>2000961168-V311</x:v>
      </x:c>
      <x:c r="C204" s="16" t="str">
        <x:v>КОНТАКТ НЕПОДВИЖ ПМ12-063 ИСП А ET012177</x:v>
      </x:c>
      <x:c r="D204" s="16" t="str">
        <x:v>Низковол апп-ра и ЗЧ</x:v>
      </x:c>
      <x:c r="E204" s="16" t="str">
        <x:v>ШТ</x:v>
      </x:c>
      <x:c r="F204" s="21" t="n">
        <x:v>5</x:v>
      </x:c>
      <x:c r="G204" s="17" t="n">
        <x:v>359.59499999999997</x:v>
      </x:c>
      <x:c r="H204" s="17" t="n">
        <x:f>G204*F204</x:f>
        <x:v>1797.975</x:v>
      </x:c>
      <x:c r="I204" s="22" t="str">
        <x:f>HYPERLINK("https://etp-aktiv.ru/catalog/materialy/nizkovoltnaya-apparatura-i-zapasnye-chasti/2000961168-V311/","Открыть позицию")</x:f>
        <x:v>Открыть позицию</x:v>
      </x:c>
    </x:row>
    <x:row r="205" ht="28" customHeight="1">
      <x:c r="A205" s="16" t="str">
        <x:v>Назаровская ГРЭС</x:v>
      </x:c>
      <x:c r="B205" s="16" t="str">
        <x:v>2000960669-V311</x:v>
      </x:c>
      <x:c r="C205" s="16" t="str">
        <x:v>КОНТАКТ ПОДВИЖН ПМ12-025 ИСП.Б ET012639</x:v>
      </x:c>
      <x:c r="D205" s="16" t="str">
        <x:v>Низковол апп-ра и ЗЧ</x:v>
      </x:c>
      <x:c r="E205" s="16" t="str">
        <x:v>ШТ</x:v>
      </x:c>
      <x:c r="F205" s="21" t="n">
        <x:v>3</x:v>
      </x:c>
      <x:c r="G205" s="17" t="n">
        <x:v>102.94359999999999</x:v>
      </x:c>
      <x:c r="H205" s="17" t="n">
        <x:f>G205*F205</x:f>
        <x:v>308.83079999999995</x:v>
      </x:c>
      <x:c r="I205" s="22" t="str">
        <x:f>HYPERLINK("https://etp-aktiv.ru/catalog/materialy/nizkovoltnaya-apparatura-i-zapasnye-chasti/2000960669-V311/","Открыть позицию")</x:f>
        <x:v>Открыть позицию</x:v>
      </x:c>
    </x:row>
    <x:row r="206" ht="28" customHeight="1">
      <x:c r="A206" s="16" t="str">
        <x:v>Назаровская ГРЭС</x:v>
      </x:c>
      <x:c r="B206" s="16" t="str">
        <x:v>2000960895-V311</x:v>
      </x:c>
      <x:c r="C206" s="16" t="str">
        <x:v>КОНТАКТ ПОДВИЖНЫЙ ПМ12-63 ИСП А ET012176</x:v>
      </x:c>
      <x:c r="D206" s="16" t="str">
        <x:v>Низковол апп-ра и ЗЧ</x:v>
      </x:c>
      <x:c r="E206" s="16" t="str">
        <x:v>ШТ</x:v>
      </x:c>
      <x:c r="F206" s="21" t="n">
        <x:v>3</x:v>
      </x:c>
      <x:c r="G206" s="17" t="n">
        <x:v>586.0636</x:v>
      </x:c>
      <x:c r="H206" s="17" t="n">
        <x:f>G206*F206</x:f>
        <x:v>1758.1907999999999</x:v>
      </x:c>
      <x:c r="I206" s="22" t="str">
        <x:f>HYPERLINK("https://etp-aktiv.ru/catalog/materialy/nizkovoltnaya-apparatura-i-zapasnye-chasti/2000960895-V311/","Открыть позицию")</x:f>
        <x:v>Открыть позицию</x:v>
      </x:c>
    </x:row>
    <x:row r="207" ht="28" customHeight="1">
      <x:c r="A207" s="16" t="str">
        <x:v>Назаровская ГРЭС</x:v>
      </x:c>
      <x:c r="B207" s="16" t="str">
        <x:v>2000635294-V311</x:v>
      </x:c>
      <x:c r="C207" s="16" t="str">
        <x:v>КОНТАКТОР МК2-20 УЗА 220В</x:v>
      </x:c>
      <x:c r="D207" s="16" t="str">
        <x:v>Низковол апп-ра и ЗЧ</x:v>
      </x:c>
      <x:c r="E207" s="16" t="str">
        <x:v>ШТ</x:v>
      </x:c>
      <x:c r="F207" s="21" t="n">
        <x:v>0</x:v>
      </x:c>
      <x:c r="G207" s="17" t="n">
        <x:v>1016.7357999999999</x:v>
      </x:c>
      <x:c r="H207" s="17" t="n">
        <x:f>G207*F207</x:f>
        <x:v>0</x:v>
      </x:c>
      <x:c r="I207" s="22" t="str">
        <x:f>HYPERLINK("https://etp-aktiv.ru/catalog/materialy/nizkovoltnaya-apparatura-i-zapasnye-chasti/2000635294-V311/","Открыть позицию")</x:f>
        <x:v>Открыть позицию</x:v>
      </x:c>
    </x:row>
    <x:row r="208" ht="28" customHeight="1">
      <x:c r="A208" s="16" t="str">
        <x:v>Назаровская ГРЭС</x:v>
      </x:c>
      <x:c r="B208" s="16" t="str">
        <x:v>2000988697-V311</x:v>
      </x:c>
      <x:c r="C208" s="16" t="str">
        <x:v>КОРОБКА РАСПАЯЧНАЯ CHINT 8820015 IP44</x:v>
      </x:c>
      <x:c r="D208" s="16" t="str">
        <x:v>Освет и э/установоч</x:v>
      </x:c>
      <x:c r="E208" s="16" t="str">
        <x:v>ШТ</x:v>
      </x:c>
      <x:c r="F208" s="21" t="n">
        <x:v>200</x:v>
      </x:c>
      <x:c r="G208" s="17" t="n">
        <x:v>29.5118</x:v>
      </x:c>
      <x:c r="H208" s="17" t="n">
        <x:f>G208*F208</x:f>
        <x:v>5902.360000000001</x:v>
      </x:c>
      <x:c r="I208" s="22" t="str">
        <x:f>HYPERLINK("https://etp-aktiv.ru/catalog/materialy/ehlektrotekhnicheskie-materialy/2000988697-V311/","Открыть позицию")</x:f>
        <x:v>Открыть позицию</x:v>
      </x:c>
    </x:row>
    <x:row r="209" ht="28" customHeight="1">
      <x:c r="A209" s="16" t="str">
        <x:v>Назаровская ГРЭС</x:v>
      </x:c>
      <x:c r="B209" s="16" t="str">
        <x:v>2000983782-V311</x:v>
      </x:c>
      <x:c r="C209" s="16" t="str">
        <x:v>КОРОБКА РАСПРЕД LEGRAND PLEXO 092101</x:v>
      </x:c>
      <x:c r="D209" s="16" t="str">
        <x:v>Освет и э/установоч</x:v>
      </x:c>
      <x:c r="E209" s="16" t="str">
        <x:v>ШТ</x:v>
      </x:c>
      <x:c r="F209" s="21" t="n">
        <x:v>9</x:v>
      </x:c>
      <x:c r="G209" s="17" t="n">
        <x:v>463.2218</x:v>
      </x:c>
      <x:c r="H209" s="17" t="n">
        <x:f>G209*F209</x:f>
        <x:v>4168.9962</x:v>
      </x:c>
      <x:c r="I209" s="22" t="str">
        <x:f>HYPERLINK("https://etp-aktiv.ru/catalog/materialy/ehlektrotekhnicheskie-materialy/2000983782-V311/","Открыть позицию")</x:f>
        <x:v>Открыть позицию</x:v>
      </x:c>
    </x:row>
    <x:row r="210" ht="28" customHeight="1">
      <x:c r="A210" s="16" t="str">
        <x:v>Назаровская ГРЭС</x:v>
      </x:c>
      <x:c r="B210" s="16" t="str">
        <x:v>2000483246-V311</x:v>
      </x:c>
      <x:c r="C210" s="16" t="str">
        <x:v>КОРОБКА РАСПРЕД ОП 100*100*50 IP55 220В</x:v>
      </x:c>
      <x:c r="D210" s="16" t="str">
        <x:v>Освет и э/установоч</x:v>
      </x:c>
      <x:c r="E210" s="16" t="str">
        <x:v>ШТ</x:v>
      </x:c>
      <x:c r="F210" s="21" t="n">
        <x:v>20</x:v>
      </x:c>
      <x:c r="G210" s="17" t="n">
        <x:v>46.1404</x:v>
      </x:c>
      <x:c r="H210" s="17" t="n">
        <x:f>G210*F210</x:f>
        <x:v>922.808</x:v>
      </x:c>
      <x:c r="I210" s="22" t="str">
        <x:f>HYPERLINK("https://etp-aktiv.ru/catalog/materialy/ehlektrotekhnicheskie-materialy/2000483246-V311/","Открыть позицию")</x:f>
        <x:v>Открыть позицию</x:v>
      </x:c>
    </x:row>
    <x:row r="211" ht="28" customHeight="1">
      <x:c r="A211" s="16" t="str">
        <x:v>Назаровская ГРЭС</x:v>
      </x:c>
      <x:c r="B211" s="16" t="str">
        <x:v>2000549373-V311</x:v>
      </x:c>
      <x:c r="C211" s="16" t="str">
        <x:v>КОРПУС ЗАЩИТНЫЙ ПЛАСТИК С ФЛАНЦЕМ G313MF</x:v>
      </x:c>
      <x:c r="D211" s="16" t="str">
        <x:v>Изделия радиоэл/техн</x:v>
      </x:c>
      <x:c r="E211" s="16" t="str">
        <x:v>ШТ</x:v>
      </x:c>
      <x:c r="F211" s="21" t="n">
        <x:v>4</x:v>
      </x:c>
      <x:c r="G211" s="17" t="n">
        <x:v>346.2604</x:v>
      </x:c>
      <x:c r="H211" s="17" t="n">
        <x:f>G211*F211</x:f>
        <x:v>1385.0416</x:v>
      </x:c>
      <x:c r="I211" s="22" t="str">
        <x:f>HYPERLINK("https://etp-aktiv.ru/catalog/materialy/prochie-materialy/2000549373-V311/","Открыть позицию")</x:f>
        <x:v>Открыть позицию</x:v>
      </x:c>
    </x:row>
    <x:row r="212" ht="28" customHeight="1">
      <x:c r="A212" s="16" t="str">
        <x:v>Назаровская ГРЭС</x:v>
      </x:c>
      <x:c r="B212" s="16" t="str">
        <x:v>2000536578-V311</x:v>
      </x:c>
      <x:c r="C212" s="16" t="str">
        <x:v>КРЫШКА КОНЦЕВАЯ D-ST 2,5-TWIN 3030488</x:v>
      </x:c>
      <x:c r="D212" s="16" t="str">
        <x:v>Низковол апп-ра и ЗЧ</x:v>
      </x:c>
      <x:c r="E212" s="16" t="str">
        <x:v>ШТ</x:v>
      </x:c>
      <x:c r="F212" s="21" t="n">
        <x:v>2</x:v>
      </x:c>
      <x:c r="G212" s="17" t="n">
        <x:v>15.7014</x:v>
      </x:c>
      <x:c r="H212" s="17" t="n">
        <x:f>G212*F212</x:f>
        <x:v>31.4028</x:v>
      </x:c>
      <x:c r="I212" s="22" t="str">
        <x:f>HYPERLINK("https://etp-aktiv.ru/catalog/materialy/nizkovoltnaya-apparatura-i-zapasnye-chasti/2000536578-V311/","Открыть позицию")</x:f>
        <x:v>Открыть позицию</x:v>
      </x:c>
    </x:row>
    <x:row r="213" ht="28" customHeight="1">
      <x:c r="A213" s="16" t="str">
        <x:v>Назаровская ГРЭС</x:v>
      </x:c>
      <x:c r="B213" s="16" t="str">
        <x:v>2000763157-V311</x:v>
      </x:c>
      <x:c r="C213" s="16" t="str">
        <x:v>ЛАМПА CL2-523Y 1SFA619403R5233 ABB</x:v>
      </x:c>
      <x:c r="D213" s="16" t="str">
        <x:v>Освет и э/установоч</x:v>
      </x:c>
      <x:c r="E213" s="16" t="str">
        <x:v>ШТ</x:v>
      </x:c>
      <x:c r="F213" s="21" t="n">
        <x:v>3</x:v>
      </x:c>
      <x:c r="G213" s="17" t="n">
        <x:v>333.0112</x:v>
      </x:c>
      <x:c r="H213" s="17" t="n">
        <x:f>G213*F213</x:f>
        <x:v>999.0336</x:v>
      </x:c>
      <x:c r="I213" s="22" t="str">
        <x:f>HYPERLINK("https://etp-aktiv.ru/catalog/materialy/ehlektrotekhnicheskie-materialy/2000763157-V311/","Открыть позицию")</x:f>
        <x:v>Открыть позицию</x:v>
      </x:c>
    </x:row>
    <x:row r="214" ht="28" customHeight="1">
      <x:c r="A214" s="16" t="str">
        <x:v>Назаровская ГРЭС</x:v>
      </x:c>
      <x:c r="B214" s="16" t="str">
        <x:v>2000545160-V311</x:v>
      </x:c>
      <x:c r="C214" s="16" t="str">
        <x:v>ЛАМПА HNS OFR 4008321398826 15ВТ G13</x:v>
      </x:c>
      <x:c r="D214" s="16" t="str">
        <x:v>Освет и э/установоч</x:v>
      </x:c>
      <x:c r="E214" s="16" t="str">
        <x:v>ШТ</x:v>
      </x:c>
      <x:c r="F214" s="21" t="n">
        <x:v>4</x:v>
      </x:c>
      <x:c r="G214" s="17" t="n">
        <x:v>608.7067999999999</x:v>
      </x:c>
      <x:c r="H214" s="17" t="n">
        <x:f>G214*F214</x:f>
        <x:v>2434.8271999999997</x:v>
      </x:c>
      <x:c r="I214" s="22" t="str">
        <x:f>HYPERLINK("https://etp-aktiv.ru/catalog/materialy/ehlektrotekhnicheskie-materialy/2000545160-V311/","Открыть позицию")</x:f>
        <x:v>Открыть позицию</x:v>
      </x:c>
    </x:row>
    <x:row r="215" ht="28" customHeight="1">
      <x:c r="A215" s="16" t="str">
        <x:v>Назаровская ГРЭС</x:v>
      </x:c>
      <x:c r="B215" s="16" t="str">
        <x:v>2000586043-V311</x:v>
      </x:c>
      <x:c r="C215" s="16" t="str">
        <x:v>ЛАМПА PLED T8-1200GL 20W FR G13 1025340</x:v>
      </x:c>
      <x:c r="D215" s="16" t="str">
        <x:v>Освет и э/установоч</x:v>
      </x:c>
      <x:c r="E215" s="16" t="str">
        <x:v>ШТ</x:v>
      </x:c>
      <x:c r="F215" s="21" t="n">
        <x:v>4</x:v>
      </x:c>
      <x:c r="G215" s="17" t="n">
        <x:v>97.07539999999999</x:v>
      </x:c>
      <x:c r="H215" s="17" t="n">
        <x:f>G215*F215</x:f>
        <x:v>388.30159999999995</x:v>
      </x:c>
      <x:c r="I215" s="22" t="str">
        <x:f>HYPERLINK("https://etp-aktiv.ru/catalog/materialy/ehlektrotekhnicheskie-materialy/2000586043-V311/","Открыть позицию")</x:f>
        <x:v>Открыть позицию</x:v>
      </x:c>
    </x:row>
    <x:row r="216" ht="28" customHeight="1">
      <x:c r="A216" s="16" t="str">
        <x:v>Назаровская ГРЭС</x:v>
      </x:c>
      <x:c r="B216" s="16" t="str">
        <x:v>2000545127-V311</x:v>
      </x:c>
      <x:c r="C216" s="16" t="str">
        <x:v>ЛАМПА ЛСО 1-Б-2-220 2ВТ B15D</x:v>
      </x:c>
      <x:c r="D216" s="16" t="str">
        <x:v>Освет и э/установоч</x:v>
      </x:c>
      <x:c r="E216" s="16" t="str">
        <x:v>ШТ</x:v>
      </x:c>
      <x:c r="F216" s="21" t="n">
        <x:v>1</x:v>
      </x:c>
      <x:c r="G216" s="17" t="n">
        <x:v>85.05839999999999</x:v>
      </x:c>
      <x:c r="H216" s="17" t="n">
        <x:f>G216*F216</x:f>
        <x:v>85.05839999999999</x:v>
      </x:c>
      <x:c r="I216" s="22" t="str">
        <x:f>HYPERLINK("https://etp-aktiv.ru/catalog/materialy/ehlektrotekhnicheskie-materialy/2000545127-V311/","Открыть позицию")</x:f>
        <x:v>Открыть позицию</x:v>
      </x:c>
    </x:row>
    <x:row r="217" ht="28" customHeight="1">
      <x:c r="A217" s="16" t="str">
        <x:v>Назаровская ГРЭС</x:v>
      </x:c>
      <x:c r="B217" s="16" t="str">
        <x:v>2000029360-V311</x:v>
      </x:c>
      <x:c r="C217" s="16" t="str">
        <x:v>ЛЕНТА КИПЕРНАЯ БВ-14 15ММ ГОСТ4514-49</x:v>
      </x:c>
      <x:c r="D217" s="16" t="str">
        <x:v>Э/изоляцион мат-лы</x:v>
      </x:c>
      <x:c r="E217" s="16" t="str">
        <x:v>М</x:v>
      </x:c>
      <x:c r="F217" s="26" t="n">
        <x:v>1186.24</x:v>
      </x:c>
      <x:c r="G217" s="17" t="n">
        <x:v>1.3176</x:v>
      </x:c>
      <x:c r="H217" s="17" t="n">
        <x:f>G217*F217</x:f>
        <x:v>1562.9898240000002</x:v>
      </x:c>
      <x:c r="I217" s="22" t="str">
        <x:f>HYPERLINK("https://etp-aktiv.ru/catalog/materialy/ehlektroizolyacionnye-materialy/2000029360-V311/","Открыть позицию")</x:f>
        <x:v>Открыть позицию</x:v>
      </x:c>
    </x:row>
    <x:row r="218" ht="28" customHeight="1">
      <x:c r="A218" s="16" t="str">
        <x:v>Назаровская ГРЭС</x:v>
      </x:c>
      <x:c r="B218" s="16" t="str">
        <x:v>2000540487-V311</x:v>
      </x:c>
      <x:c r="C218" s="16" t="str">
        <x:v>МАНОВАКУУММЕТР МВП4-У У2 -1-15КГС/СМ2</x:v>
      </x:c>
      <x:c r="D218" s="16" t="str">
        <x:v>ЗЧ КИПиА</x:v>
      </x:c>
      <x:c r="E218" s="16" t="str">
        <x:v>ШТ</x:v>
      </x:c>
      <x:c r="F218" s="21" t="n">
        <x:v>2</x:v>
      </x:c>
      <x:c r="G218" s="17" t="n">
        <x:v>1556.415</x:v>
      </x:c>
      <x:c r="H218" s="17" t="n">
        <x:f>G218*F218</x:f>
        <x:v>3112.83</x:v>
      </x:c>
      <x:c r="I218" s="22" t="str">
        <x:f>HYPERLINK("https://etp-aktiv.ru/catalog/materialy/zapasnye-chasti-i-prinadlezhnosti-dlya-priborov-kipia/2000540487-V311/","Открыть позицию")</x:f>
        <x:v>Открыть позицию</x:v>
      </x:c>
    </x:row>
    <x:row r="219" ht="28" customHeight="1">
      <x:c r="A219" s="16" t="str">
        <x:v>Назаровская ГРЭС</x:v>
      </x:c>
      <x:c r="B219" s="16" t="str">
        <x:v>2000540500-V311</x:v>
      </x:c>
      <x:c r="C219" s="16" t="str">
        <x:v>МАНОВАКУУММЕТР МВП4-У У2-1-0-1,5КГС/СМ2</x:v>
      </x:c>
      <x:c r="D219" s="16" t="str">
        <x:v>ЗЧ КИПиА</x:v>
      </x:c>
      <x:c r="E219" s="16" t="str">
        <x:v>ШТ</x:v>
      </x:c>
      <x:c r="F219" s="21" t="n">
        <x:v>4</x:v>
      </x:c>
      <x:c r="G219" s="17" t="n">
        <x:v>1030.1192</x:v>
      </x:c>
      <x:c r="H219" s="17" t="n">
        <x:f>G219*F219</x:f>
        <x:v>4120.4768</x:v>
      </x:c>
      <x:c r="I219" s="22" t="str">
        <x:f>HYPERLINK("https://etp-aktiv.ru/catalog/materialy/zapasnye-chasti-i-prinadlezhnosti-dlya-priborov-kipia/2000540500-V311/","Открыть позицию")</x:f>
        <x:v>Открыть позицию</x:v>
      </x:c>
    </x:row>
    <x:row r="220" ht="28" customHeight="1">
      <x:c r="A220" s="16" t="str">
        <x:v>Назаровская ГРЭС</x:v>
      </x:c>
      <x:c r="B220" s="16" t="str">
        <x:v>2000540655-V311</x:v>
      </x:c>
      <x:c r="C220" s="16" t="str">
        <x:v>МАНОМЕТР МП4-У 2,5КГС/СМ2 У2</x:v>
      </x:c>
      <x:c r="D220" s="16" t="str">
        <x:v>ЗЧ КИПиА</x:v>
      </x:c>
      <x:c r="E220" s="16" t="str">
        <x:v>ШТ</x:v>
      </x:c>
      <x:c r="F220" s="21" t="n">
        <x:v>6</x:v>
      </x:c>
      <x:c r="G220" s="17" t="n">
        <x:v>789.8768</x:v>
      </x:c>
      <x:c r="H220" s="17" t="n">
        <x:f>G220*F220</x:f>
        <x:v>4739.2608</x:v>
      </x:c>
      <x:c r="I220" s="22" t="str">
        <x:f>HYPERLINK("https://etp-aktiv.ru/catalog/materialy/zapasnye-chasti-i-prinadlezhnosti-dlya-priborov-kipia/2000540655-V311/","Открыть позицию")</x:f>
        <x:v>Открыть позицию</x:v>
      </x:c>
    </x:row>
    <x:row r="221" ht="28" customHeight="1">
      <x:c r="A221" s="16" t="str">
        <x:v>Назаровская ГРЭС</x:v>
      </x:c>
      <x:c r="B221" s="16" t="str">
        <x:v>2000540707-V311</x:v>
      </x:c>
      <x:c r="C221" s="16" t="str">
        <x:v>МАНОМЕТР ТМ 210Р.00 0-0,4МПАКЛ2,5АЦЕТИЛЕ</x:v>
      </x:c>
      <x:c r="D221" s="16" t="str">
        <x:v>ЗЧ КИПиА</x:v>
      </x:c>
      <x:c r="E221" s="16" t="str">
        <x:v>ШТ</x:v>
      </x:c>
      <x:c r="F221" s="21" t="n">
        <x:v>12</x:v>
      </x:c>
      <x:c r="G221" s="17" t="n">
        <x:v>68.1004</x:v>
      </x:c>
      <x:c r="H221" s="17" t="n">
        <x:f>G221*F221</x:f>
        <x:v>817.2048</x:v>
      </x:c>
      <x:c r="I221" s="22" t="str">
        <x:f>HYPERLINK("https://etp-aktiv.ru/catalog/materialy/zapasnye-chasti-i-prinadlezhnosti-dlya-priborov-kipia/2000540707-V311/","Открыть позицию")</x:f>
        <x:v>Открыть позицию</x:v>
      </x:c>
    </x:row>
    <x:row r="222" ht="28" customHeight="1">
      <x:c r="A222" s="16" t="str">
        <x:v>Назаровская ГРЭС</x:v>
      </x:c>
      <x:c r="B222" s="16" t="str">
        <x:v>2000604159-V311</x:v>
      </x:c>
      <x:c r="C222" s="16" t="str">
        <x:v>МИКРОАМПЕРМЕТР М2003 0-100МКА КЛ.1,5</x:v>
      </x:c>
      <x:c r="D222" s="16" t="str">
        <x:v>ЗЧ КИПиА</x:v>
      </x:c>
      <x:c r="E222" s="16" t="str">
        <x:v>ШТ</x:v>
      </x:c>
      <x:c r="F222" s="21" t="n">
        <x:v>10</x:v>
      </x:c>
      <x:c r="G222" s="17" t="n">
        <x:v>3568.5</x:v>
      </x:c>
      <x:c r="H222" s="17" t="n">
        <x:f>G222*F222</x:f>
        <x:v>35685</x:v>
      </x:c>
      <x:c r="I222" s="22" t="str">
        <x:f>HYPERLINK("https://etp-aktiv.ru/catalog/materialy/zapasnye-chasti-i-prinadlezhnosti-dlya-priborov-kipia/2000604159-V311/","Открыть позицию")</x:f>
        <x:v>Открыть позицию</x:v>
      </x:c>
    </x:row>
    <x:row r="223" ht="28" customHeight="1">
      <x:c r="A223" s="16" t="str">
        <x:v>Назаровская ГРЭС</x:v>
      </x:c>
      <x:c r="B223" s="16" t="str">
        <x:v>2000621584-V311</x:v>
      </x:c>
      <x:c r="C223" s="16" t="str">
        <x:v>МОДУЛЬ ЭЛЕКТРОПИТАНИЯ МЭП-5/12</x:v>
      </x:c>
      <x:c r="D223" s="16" t="str">
        <x:v>ЗЧ КИПиА</x:v>
      </x:c>
      <x:c r="E223" s="16" t="str">
        <x:v>ШТ</x:v>
      </x:c>
      <x:c r="F223" s="21" t="n">
        <x:v>3</x:v>
      </x:c>
      <x:c r="G223" s="17" t="n">
        <x:v>10437.868599999998</x:v>
      </x:c>
      <x:c r="H223" s="17" t="n">
        <x:f>G223*F223</x:f>
        <x:v>31313.605799999994</x:v>
      </x:c>
      <x:c r="I223" s="22" t="str">
        <x:f>HYPERLINK("https://etp-aktiv.ru/catalog/materialy/zapasnye-chasti-i-prinadlezhnosti-dlya-priborov-kipia/2000621584-V311/","Открыть позицию")</x:f>
        <x:v>Открыть позицию</x:v>
      </x:c>
    </x:row>
    <x:row r="224" ht="28" customHeight="1">
      <x:c r="A224" s="16" t="str">
        <x:v>Назаровская ГРЭС</x:v>
      </x:c>
      <x:c r="B224" s="16" t="str">
        <x:v>2000551877-V311</x:v>
      </x:c>
      <x:c r="C224" s="16" t="str">
        <x:v>ОГРАНИЧИТЕЛЬ ОПН-П-20/24/10/1-III УХЛ1</x:v>
      </x:c>
      <x:c r="D224" s="16" t="str">
        <x:v>Ограничители перенап</x:v>
      </x:c>
      <x:c r="E224" s="16" t="str">
        <x:v>ШТ</x:v>
      </x:c>
      <x:c r="F224" s="21" t="n">
        <x:v>2</x:v>
      </x:c>
      <x:c r="G224" s="17" t="n">
        <x:v>536.9342</x:v>
      </x:c>
      <x:c r="H224" s="17" t="n">
        <x:f>G224*F224</x:f>
        <x:v>1073.8684</x:v>
      </x:c>
      <x:c r="I224" s="22" t="str">
        <x:f>HYPERLINK("https://etp-aktiv.ru/catalog/materialy/ehlektrotekhnicheskie-materialy/2000551877-V311/","Открыть позицию")</x:f>
        <x:v>Открыть позицию</x:v>
      </x:c>
    </x:row>
    <x:row r="225" ht="28" customHeight="1">
      <x:c r="A225" s="16" t="str">
        <x:v>Назаровская ГРЭС</x:v>
      </x:c>
      <x:c r="B225" s="16" t="str">
        <x:v>2000147458-V311</x:v>
      </x:c>
      <x:c r="C225" s="16" t="str">
        <x:v>ПАТРОН Е40 750В 16А ГОЛИАФ Ц-40</x:v>
      </x:c>
      <x:c r="D225" s="16" t="str">
        <x:v>Освет и э/установоч</x:v>
      </x:c>
      <x:c r="E225" s="16" t="str">
        <x:v>ШТ</x:v>
      </x:c>
      <x:c r="F225" s="21" t="n">
        <x:v>6</x:v>
      </x:c>
      <x:c r="G225" s="17" t="n">
        <x:v>12.2854</x:v>
      </x:c>
      <x:c r="H225" s="17" t="n">
        <x:f>G225*F225</x:f>
        <x:v>73.7124</x:v>
      </x:c>
      <x:c r="I225" s="22" t="str">
        <x:f>HYPERLINK("https://etp-aktiv.ru/catalog/materialy/ehlektrotekhnicheskie-materialy/2000147458-V311/","Открыть позицию")</x:f>
        <x:v>Открыть позицию</x:v>
      </x:c>
    </x:row>
    <x:row r="226" ht="28" customHeight="1">
      <x:c r="A226" s="16" t="str">
        <x:v>Назаровская ГРЭС</x:v>
      </x:c>
      <x:c r="B226" s="16" t="str">
        <x:v>2000580294-V311</x:v>
      </x:c>
      <x:c r="C226" s="16" t="str">
        <x:v>ПАТРОН ЭЛЕКТРИЧЕСКИЙ Е40 250В 4А ДКС-004</x:v>
      </x:c>
      <x:c r="D226" s="16" t="str">
        <x:v>Освет и э/установоч</x:v>
      </x:c>
      <x:c r="E226" s="16" t="str">
        <x:v>ШТ</x:v>
      </x:c>
      <x:c r="F226" s="21" t="n">
        <x:v>2</x:v>
      </x:c>
      <x:c r="G226" s="17" t="n">
        <x:v>28.1088</x:v>
      </x:c>
      <x:c r="H226" s="17" t="n">
        <x:f>G226*F226</x:f>
        <x:v>56.2176</x:v>
      </x:c>
      <x:c r="I226" s="22" t="str">
        <x:f>HYPERLINK("https://etp-aktiv.ru/catalog/materialy/ehlektrotekhnicheskie-materialy/2000580294-V311/","Открыть позицию")</x:f>
        <x:v>Открыть позицию</x:v>
      </x:c>
    </x:row>
    <x:row r="227" ht="28" customHeight="1">
      <x:c r="A227" s="16" t="str">
        <x:v>Назаровская ГРЭС</x:v>
      </x:c>
      <x:c r="B227" s="16" t="str">
        <x:v>2000580144-V311</x:v>
      </x:c>
      <x:c r="C227" s="16" t="str">
        <x:v>ПАТРОН ЭЛЕКТРИЧЕСКИЙ КАРБОЛИТО Е27 250В</x:v>
      </x:c>
      <x:c r="D227" s="16" t="str">
        <x:v>Освет и э/установоч</x:v>
      </x:c>
      <x:c r="E227" s="16" t="str">
        <x:v>ШТ</x:v>
      </x:c>
      <x:c r="F227" s="21" t="n">
        <x:v>90</x:v>
      </x:c>
      <x:c r="G227" s="17" t="n">
        <x:v>9.3086</x:v>
      </x:c>
      <x:c r="H227" s="17" t="n">
        <x:f>G227*F227</x:f>
        <x:v>837.774</x:v>
      </x:c>
      <x:c r="I227" s="22" t="str">
        <x:f>HYPERLINK("https://etp-aktiv.ru/catalog/materialy/ehlektrotekhnicheskie-materialy/2000580144-V311/","Открыть позицию")</x:f>
        <x:v>Открыть позицию</x:v>
      </x:c>
    </x:row>
    <x:row r="228" ht="28" customHeight="1">
      <x:c r="A228" s="16" t="str">
        <x:v>Назаровская ГРЭС</x:v>
      </x:c>
      <x:c r="B228" s="16" t="str">
        <x:v>2000033327-V311</x:v>
      </x:c>
      <x:c r="C228" s="16" t="str">
        <x:v>ПЕРЕКЛЮЧАТЕЛЬ ПКУ3-12 220В</x:v>
      </x:c>
      <x:c r="D228" s="16" t="str">
        <x:v>Низковол апп-ра и ЗЧ</x:v>
      </x:c>
      <x:c r="E228" s="16" t="str">
        <x:v>ШТ</x:v>
      </x:c>
      <x:c r="F228" s="21" t="n">
        <x:v>1</x:v>
      </x:c>
      <x:c r="G228" s="17" t="n">
        <x:v>2051.8936</x:v>
      </x:c>
      <x:c r="H228" s="17" t="n">
        <x:f>G228*F228</x:f>
        <x:v>2051.8936</x:v>
      </x:c>
      <x:c r="I228" s="22" t="str">
        <x:f>HYPERLINK("https://etp-aktiv.ru/catalog/materialy/nizkovoltnaya-apparatura-i-zapasnye-chasti/2000033327-V311/","Открыть позицию")</x:f>
        <x:v>Открыть позицию</x:v>
      </x:c>
    </x:row>
    <x:row r="229" ht="28" customHeight="1">
      <x:c r="A229" s="16" t="str">
        <x:v>Назаровская ГРЭС</x:v>
      </x:c>
      <x:c r="B229" s="16" t="str">
        <x:v>2000750268-V311</x:v>
      </x:c>
      <x:c r="C229" s="16" t="str">
        <x:v>ПЕРЕХОДНИК П-С10Г-1Г</x:v>
      </x:c>
      <x:c r="D229" s="16" t="str">
        <x:v>ЗЧ КИПиА</x:v>
      </x:c>
      <x:c r="E229" s="16" t="str">
        <x:v>ШТ</x:v>
      </x:c>
      <x:c r="F229" s="21" t="n">
        <x:v>4</x:v>
      </x:c>
      <x:c r="G229" s="17" t="n">
        <x:v>185.2936</x:v>
      </x:c>
      <x:c r="H229" s="17" t="n">
        <x:f>G229*F229</x:f>
        <x:v>741.1744</x:v>
      </x:c>
      <x:c r="I229" s="22" t="str">
        <x:f>HYPERLINK("https://etp-aktiv.ru/catalog/materialy/zapasnye-chasti-i-prinadlezhnosti-dlya-priborov-kipia/2000750268-V311/","Открыть позицию")</x:f>
        <x:v>Открыть позицию</x:v>
      </x:c>
    </x:row>
    <x:row r="230" ht="28" customHeight="1">
      <x:c r="A230" s="16" t="str">
        <x:v>Назаровская ГРЭС</x:v>
      </x:c>
      <x:c r="B230" s="16" t="str">
        <x:v>2000170644-V311</x:v>
      </x:c>
      <x:c r="C230" s="16" t="str">
        <x:v>ПЛАСТИНА ТРАНСФ УМ-3 1000*1000 ГОСТ12855</x:v>
      </x:c>
      <x:c r="D230" s="16" t="str">
        <x:v>Проч э/технич мат-лы</x:v>
      </x:c>
      <x:c r="E230" s="16" t="str">
        <x:v>КГ</x:v>
      </x:c>
      <x:c r="F230" s="26" t="n">
        <x:v>44.3</x:v>
      </x:c>
      <x:c r="G230" s="17" t="n">
        <x:v>177.5588</x:v>
      </x:c>
      <x:c r="H230" s="17" t="n">
        <x:f>G230*F230</x:f>
        <x:v>7865.854839999999</x:v>
      </x:c>
      <x:c r="I230" s="22" t="str">
        <x:f>HYPERLINK("https://etp-aktiv.ru/catalog/materialy/ehlektrotekhnicheskie-materialy/2000170644-V311/","Открыть позицию")</x:f>
        <x:v>Открыть позицию</x:v>
      </x:c>
    </x:row>
    <x:row r="231" ht="28" customHeight="1">
      <x:c r="A231" s="16" t="str">
        <x:v>Назаровская ГРЭС</x:v>
      </x:c>
      <x:c r="B231" s="16" t="str">
        <x:v>2000001171-V311</x:v>
      </x:c>
      <x:c r="C231" s="16" t="str">
        <x:v>ПОЛКА К1160 У3</x:v>
      </x:c>
      <x:c r="D231" s="16" t="str">
        <x:v>Низковол апп-ра и ЗЧ</x:v>
      </x:c>
      <x:c r="E231" s="16" t="str">
        <x:v>ШТ</x:v>
      </x:c>
      <x:c r="F231" s="21" t="n">
        <x:v>19</x:v>
      </x:c>
      <x:c r="G231" s="17" t="n">
        <x:v>112.7158</x:v>
      </x:c>
      <x:c r="H231" s="17" t="n">
        <x:f>G231*F231</x:f>
        <x:v>2141.6002</x:v>
      </x:c>
      <x:c r="I231" s="22" t="str">
        <x:f>HYPERLINK("https://etp-aktiv.ru/catalog/materialy/nizkovoltnaya-apparatura-i-zapasnye-chasti/2000001171-V311/","Открыть позицию")</x:f>
        <x:v>Открыть позицию</x:v>
      </x:c>
    </x:row>
    <x:row r="232" ht="28" customHeight="1">
      <x:c r="A232" s="16" t="str">
        <x:v>Назаровская ГРЭС</x:v>
      </x:c>
      <x:c r="B232" s="16" t="str">
        <x:v>2000536762-V311</x:v>
      </x:c>
      <x:c r="C232" s="16" t="str">
        <x:v>ПОСТ КНОПОЧНЫЙ ПКЕ 212-3-У3-IP40 150750</x:v>
      </x:c>
      <x:c r="D232" s="16" t="str">
        <x:v>Низковол апп-ра и ЗЧ</x:v>
      </x:c>
      <x:c r="E232" s="16" t="str">
        <x:v>ШТ</x:v>
      </x:c>
      <x:c r="F232" s="21" t="n">
        <x:v>2</x:v>
      </x:c>
      <x:c r="G232" s="17" t="n">
        <x:v>148.9132</x:v>
      </x:c>
      <x:c r="H232" s="17" t="n">
        <x:f>G232*F232</x:f>
        <x:v>297.8264</x:v>
      </x:c>
      <x:c r="I232" s="22" t="str">
        <x:f>HYPERLINK("https://etp-aktiv.ru/catalog/materialy/nizkovoltnaya-apparatura-i-zapasnye-chasti/2000536762-V311/","Открыть позицию")</x:f>
        <x:v>Открыть позицию</x:v>
      </x:c>
    </x:row>
    <x:row r="233" ht="28" customHeight="1">
      <x:c r="A233" s="16" t="str">
        <x:v>Назаровская ГРЭС</x:v>
      </x:c>
      <x:c r="B233" s="16" t="str">
        <x:v>2000261763-V311</x:v>
      </x:c>
      <x:c r="C233" s="16" t="str">
        <x:v>ПРЕДОХРАНИТЕЛЬ ПВ60АС УХЛЗ 110В</x:v>
      </x:c>
      <x:c r="D233" s="16" t="str">
        <x:v>Низковол апп-ра и ЗЧ</x:v>
      </x:c>
      <x:c r="E233" s="16" t="str">
        <x:v>ШТ</x:v>
      </x:c>
      <x:c r="F233" s="21" t="n">
        <x:v>30</x:v>
      </x:c>
      <x:c r="G233" s="17" t="n">
        <x:v>40.1014</x:v>
      </x:c>
      <x:c r="H233" s="17" t="n">
        <x:f>G233*F233</x:f>
        <x:v>1203.042</x:v>
      </x:c>
      <x:c r="I233" s="22" t="str">
        <x:f>HYPERLINK("https://etp-aktiv.ru/catalog/materialy/nizkovoltnaya-apparatura-i-zapasnye-chasti/2000261763-V311/","Открыть позицию")</x:f>
        <x:v>Открыть позицию</x:v>
      </x:c>
    </x:row>
    <x:row r="234" ht="28" customHeight="1">
      <x:c r="A234" s="16" t="str">
        <x:v>Назаровская ГРЭС</x:v>
      </x:c>
      <x:c r="B234" s="16" t="str">
        <x:v>2000541157-V311</x:v>
      </x:c>
      <x:c r="C234" s="16" t="str">
        <x:v>ПРЕОБРАЗОВАТЕЛЬ П121-2,5-65-АК20 AN2565</x:v>
      </x:c>
      <x:c r="D234" s="16" t="str">
        <x:v>ЗЧ КИПиА</x:v>
      </x:c>
      <x:c r="E234" s="16" t="str">
        <x:v>ШТ</x:v>
      </x:c>
      <x:c r="F234" s="21" t="n">
        <x:v>2</x:v>
      </x:c>
      <x:c r="G234" s="17" t="n">
        <x:v>1484.2276</x:v>
      </x:c>
      <x:c r="H234" s="17" t="n">
        <x:f>G234*F234</x:f>
        <x:v>2968.4552</x:v>
      </x:c>
      <x:c r="I234" s="22" t="str">
        <x:f>HYPERLINK("https://etp-aktiv.ru/catalog/materialy/zapasnye-chasti-i-prinadlezhnosti-dlya-priborov-kipia/2000541157-V311/","Открыть позицию")</x:f>
        <x:v>Открыть позицию</x:v>
      </x:c>
    </x:row>
    <x:row r="235" ht="28" customHeight="1">
      <x:c r="A235" s="16" t="str">
        <x:v>Назаровская ГРЭС</x:v>
      </x:c>
      <x:c r="B235" s="16" t="str">
        <x:v>2000541162-V311</x:v>
      </x:c>
      <x:c r="C235" s="16" t="str">
        <x:v>ПРЕОБРАЗОВАТЕЛЬ П121-5-40-108-Г03</x:v>
      </x:c>
      <x:c r="D235" s="16" t="str">
        <x:v>ЗЧ КИПиА</x:v>
      </x:c>
      <x:c r="E235" s="16" t="str">
        <x:v>ШТ</x:v>
      </x:c>
      <x:c r="F235" s="21" t="n">
        <x:v>1</x:v>
      </x:c>
      <x:c r="G235" s="17" t="n">
        <x:v>1579.1924000000001</x:v>
      </x:c>
      <x:c r="H235" s="17" t="n">
        <x:f>G235*F235</x:f>
        <x:v>1579.1924000000001</x:v>
      </x:c>
      <x:c r="I235" s="22" t="str">
        <x:f>HYPERLINK("https://etp-aktiv.ru/catalog/materialy/zapasnye-chasti-i-prinadlezhnosti-dlya-priborov-kipia/2000541162-V311/","Открыть позицию")</x:f>
        <x:v>Открыть позицию</x:v>
      </x:c>
    </x:row>
    <x:row r="236" ht="28" customHeight="1">
      <x:c r="A236" s="16" t="str">
        <x:v>Назаровская ГРЭС</x:v>
      </x:c>
      <x:c r="B236" s="16" t="str">
        <x:v>2000541166-V311</x:v>
      </x:c>
      <x:c r="C236" s="16" t="str">
        <x:v>ПРЕОБРАЗОВАТЕЛЬ П121-5-70-32 AM5070J032</x:v>
      </x:c>
      <x:c r="D236" s="16" t="str">
        <x:v>ЗЧ КИПиА</x:v>
      </x:c>
      <x:c r="E236" s="16" t="str">
        <x:v>ШТ</x:v>
      </x:c>
      <x:c r="F236" s="21" t="n">
        <x:v>2</x:v>
      </x:c>
      <x:c r="G236" s="17" t="n">
        <x:v>1626.2844</x:v>
      </x:c>
      <x:c r="H236" s="17" t="n">
        <x:f>G236*F236</x:f>
        <x:v>3252.5688</x:v>
      </x:c>
      <x:c r="I236" s="22" t="str">
        <x:f>HYPERLINK("https://etp-aktiv.ru/catalog/materialy/zapasnye-chasti-i-prinadlezhnosti-dlya-priborov-kipia/2000541166-V311/","Открыть позицию")</x:f>
        <x:v>Открыть позицию</x:v>
      </x:c>
    </x:row>
    <x:row r="237" ht="28" customHeight="1">
      <x:c r="A237" s="16" t="str">
        <x:v>Назаровская ГРЭС</x:v>
      </x:c>
      <x:c r="B237" s="16" t="str">
        <x:v>2000541167-V311</x:v>
      </x:c>
      <x:c r="C237" s="16" t="str">
        <x:v>ПРЕОБРАЗОВАТЕЛЬ П121-5-70-42 AM5070J042</x:v>
      </x:c>
      <x:c r="D237" s="16" t="str">
        <x:v>ЗЧ КИПиА</x:v>
      </x:c>
      <x:c r="E237" s="16" t="str">
        <x:v>ШТ</x:v>
      </x:c>
      <x:c r="F237" s="21" t="n">
        <x:v>2</x:v>
      </x:c>
      <x:c r="G237" s="17" t="n">
        <x:v>1626.2844</x:v>
      </x:c>
      <x:c r="H237" s="17" t="n">
        <x:f>G237*F237</x:f>
        <x:v>3252.5688</x:v>
      </x:c>
      <x:c r="I237" s="22" t="str">
        <x:f>HYPERLINK("https://etp-aktiv.ru/catalog/materialy/zapasnye-chasti-i-prinadlezhnosti-dlya-priborov-kipia/2000541167-V311/","Открыть позицию")</x:f>
        <x:v>Открыть позицию</x:v>
      </x:c>
    </x:row>
    <x:row r="238" ht="28" customHeight="1">
      <x:c r="A238" s="16" t="str">
        <x:v>Назаровская ГРЭС</x:v>
      </x:c>
      <x:c r="B238" s="16" t="str">
        <x:v>2000541169-V311</x:v>
      </x:c>
      <x:c r="C238" s="16" t="str">
        <x:v>ПРЕОБРАЗОВАТЕЛЬ П121-5-70-D57 АМ5070J057</x:v>
      </x:c>
      <x:c r="D238" s="16" t="str">
        <x:v>ЗЧ КИПиА</x:v>
      </x:c>
      <x:c r="E238" s="16" t="str">
        <x:v>ШТ</x:v>
      </x:c>
      <x:c r="F238" s="21" t="n">
        <x:v>1</x:v>
      </x:c>
      <x:c r="G238" s="17" t="n">
        <x:v>1579.1924000000001</x:v>
      </x:c>
      <x:c r="H238" s="17" t="n">
        <x:f>G238*F238</x:f>
        <x:v>1579.1924000000001</x:v>
      </x:c>
      <x:c r="I238" s="22" t="str">
        <x:f>HYPERLINK("https://etp-aktiv.ru/catalog/materialy/zapasnye-chasti-i-prinadlezhnosti-dlya-priborov-kipia/2000541169-V311/","Открыть позицию")</x:f>
        <x:v>Открыть позицию</x:v>
      </x:c>
    </x:row>
    <x:row r="239" ht="28" customHeight="1">
      <x:c r="A239" s="16" t="str">
        <x:v>Назаровская ГРЭС</x:v>
      </x:c>
      <x:c r="B239" s="16" t="str">
        <x:v>2000541170-V311</x:v>
      </x:c>
      <x:c r="C239" s="16" t="str">
        <x:v>ПРЕОБРАЗОВАТЕЛЬ П121-5-75-32 AM5075J032</x:v>
      </x:c>
      <x:c r="D239" s="16" t="str">
        <x:v>ЗЧ КИПиА</x:v>
      </x:c>
      <x:c r="E239" s="16" t="str">
        <x:v>ШТ</x:v>
      </x:c>
      <x:c r="F239" s="21" t="n">
        <x:v>2</x:v>
      </x:c>
      <x:c r="G239" s="17" t="n">
        <x:v>1626.2844</x:v>
      </x:c>
      <x:c r="H239" s="17" t="n">
        <x:f>G239*F239</x:f>
        <x:v>3252.5688</x:v>
      </x:c>
      <x:c r="I239" s="22" t="str">
        <x:f>HYPERLINK("https://etp-aktiv.ru/catalog/materialy/zapasnye-chasti-i-prinadlezhnosti-dlya-priborov-kipia/2000541170-V311/","Открыть позицию")</x:f>
        <x:v>Открыть позицию</x:v>
      </x:c>
    </x:row>
    <x:row r="240" ht="28" customHeight="1">
      <x:c r="A240" s="16" t="str">
        <x:v>Назаровская ГРЭС</x:v>
      </x:c>
      <x:c r="B240" s="16" t="str">
        <x:v>2000627513-V311</x:v>
      </x:c>
      <x:c r="C240" s="16" t="str">
        <x:v>ПРИБОР ИЗМ ТЕМП Д.6399-00.ЛОГ.Т3.01-01.М</x:v>
      </x:c>
      <x:c r="D240" s="16" t="str">
        <x:v>ЗЧ КИПиА</x:v>
      </x:c>
      <x:c r="E240" s="16" t="str">
        <x:v>ШТ</x:v>
      </x:c>
      <x:c r="F240" s="21" t="n">
        <x:v>100</x:v>
      </x:c>
      <x:c r="G240" s="17" t="n">
        <x:v>1663.47</x:v>
      </x:c>
      <x:c r="H240" s="17" t="n">
        <x:f>G240*F240</x:f>
        <x:v>166347</x:v>
      </x:c>
      <x:c r="I240" s="22" t="str">
        <x:f>HYPERLINK("https://etp-aktiv.ru/catalog/materialy/zapasnye-chasti-i-prinadlezhnosti-dlya-priborov-kipia/2000627513-V311/","Открыть позицию")</x:f>
        <x:v>Открыть позицию</x:v>
      </x:c>
    </x:row>
    <x:row r="241" ht="28" customHeight="1">
      <x:c r="A241" s="16" t="str">
        <x:v>Назаровская ГРЭС</x:v>
      </x:c>
      <x:c r="B241" s="16" t="str">
        <x:v>2000256764-V311</x:v>
      </x:c>
      <x:c r="C241" s="16" t="str">
        <x:v>РЕЗИСТОР МЛТ-0,5 0,5ВТ 130ОМ</x:v>
      </x:c>
      <x:c r="D241" s="16" t="str">
        <x:v>Изделия радиоэл/техн</x:v>
      </x:c>
      <x:c r="E241" s="16" t="str">
        <x:v>ШТ</x:v>
      </x:c>
      <x:c r="F241" s="21" t="n">
        <x:v>33</x:v>
      </x:c>
      <x:c r="G241" s="17" t="n">
        <x:v>1.342</x:v>
      </x:c>
      <x:c r="H241" s="17" t="n">
        <x:f>G241*F241</x:f>
        <x:v>44.286</x:v>
      </x:c>
      <x:c r="I241" s="22" t="str">
        <x:f>HYPERLINK("https://etp-aktiv.ru/catalog/materialy/prochie-materialy/2000256764-V311/","Открыть позицию")</x:f>
        <x:v>Открыть позицию</x:v>
      </x:c>
    </x:row>
    <x:row r="242" ht="28" customHeight="1">
      <x:c r="A242" s="16" t="str">
        <x:v>Назаровская ГРЭС</x:v>
      </x:c>
      <x:c r="B242" s="16" t="str">
        <x:v>2000184778-V311</x:v>
      </x:c>
      <x:c r="C242" s="16" t="str">
        <x:v>РЕЛЕ РВ-133 9С 220В</x:v>
      </x:c>
      <x:c r="D242" s="16" t="str">
        <x:v>Низковол апп-ра и ЗЧ</x:v>
      </x:c>
      <x:c r="E242" s="16" t="str">
        <x:v>ШТ</x:v>
      </x:c>
      <x:c r="F242" s="21" t="n">
        <x:v>0</x:v>
      </x:c>
      <x:c r="G242" s="17" t="n">
        <x:v>2660.5881999999997</x:v>
      </x:c>
      <x:c r="H242" s="17" t="n">
        <x:f>G242*F242</x:f>
        <x:v>0</x:v>
      </x:c>
      <x:c r="I242" s="22" t="str">
        <x:f>HYPERLINK("https://etp-aktiv.ru/catalog/materialy/nizkovoltnaya-apparatura-i-zapasnye-chasti/2000184778-V311/","Открыть позицию")</x:f>
        <x:v>Открыть позицию</x:v>
      </x:c>
    </x:row>
    <x:row r="243" ht="28" customHeight="1">
      <x:c r="A243" s="16" t="str">
        <x:v>Назаровская ГРЭС</x:v>
      </x:c>
      <x:c r="B243" s="16" t="str">
        <x:v>2000037678-V311</x:v>
      </x:c>
      <x:c r="C243" s="16" t="str">
        <x:v>РЕЛЕ РВ-237 220В</x:v>
      </x:c>
      <x:c r="D243" s="16" t="str">
        <x:v>Низковол апп-ра и ЗЧ</x:v>
      </x:c>
      <x:c r="E243" s="16" t="str">
        <x:v>ШТ</x:v>
      </x:c>
      <x:c r="F243" s="21" t="n">
        <x:v>1</x:v>
      </x:c>
      <x:c r="G243" s="17" t="n">
        <x:v>2660.5881999999997</x:v>
      </x:c>
      <x:c r="H243" s="17" t="n">
        <x:f>G243*F243</x:f>
        <x:v>2660.5881999999997</x:v>
      </x:c>
      <x:c r="I243" s="22" t="str">
        <x:f>HYPERLINK("https://etp-aktiv.ru/catalog/materialy/nizkovoltnaya-apparatura-i-zapasnye-chasti/2000037678-V311/","Открыть позицию")</x:f>
        <x:v>Открыть позицию</x:v>
      </x:c>
    </x:row>
    <x:row r="244" ht="28" customHeight="1">
      <x:c r="A244" s="16" t="str">
        <x:v>Назаровская ГРЭС</x:v>
      </x:c>
      <x:c r="B244" s="16" t="str">
        <x:v>2000037679-V311</x:v>
      </x:c>
      <x:c r="C244" s="16" t="str">
        <x:v>РЕЛЕ РВ-248 220В</x:v>
      </x:c>
      <x:c r="D244" s="16" t="str">
        <x:v>Низковол апп-ра и ЗЧ</x:v>
      </x:c>
      <x:c r="E244" s="16" t="str">
        <x:v>ШТ</x:v>
      </x:c>
      <x:c r="F244" s="21" t="n">
        <x:v>1</x:v>
      </x:c>
      <x:c r="G244" s="17" t="n">
        <x:v>2660.5881999999997</x:v>
      </x:c>
      <x:c r="H244" s="17" t="n">
        <x:f>G244*F244</x:f>
        <x:v>2660.5881999999997</x:v>
      </x:c>
      <x:c r="I244" s="22" t="str">
        <x:f>HYPERLINK("https://etp-aktiv.ru/catalog/materialy/nizkovoltnaya-apparatura-i-zapasnye-chasti/2000037679-V311/","Открыть позицию")</x:f>
        <x:v>Открыть позицию</x:v>
      </x:c>
    </x:row>
    <x:row r="245" ht="28" customHeight="1">
      <x:c r="A245" s="16" t="str">
        <x:v>Назаровская ГРЭС</x:v>
      </x:c>
      <x:c r="B245" s="16" t="str">
        <x:v>2000696445-V311</x:v>
      </x:c>
      <x:c r="C245" s="16" t="str">
        <x:v>РЕЛЕ РМУГ РС4.523.402.01 600-750В</x:v>
      </x:c>
      <x:c r="D245" s="16" t="str">
        <x:v>Низковол апп-ра и ЗЧ</x:v>
      </x:c>
      <x:c r="E245" s="16" t="str">
        <x:v>ШТ</x:v>
      </x:c>
      <x:c r="F245" s="21" t="n">
        <x:v>14</x:v>
      </x:c>
      <x:c r="G245" s="17" t="n">
        <x:v>266.265</x:v>
      </x:c>
      <x:c r="H245" s="17" t="n">
        <x:f>G245*F245</x:f>
        <x:v>3727.71</x:v>
      </x:c>
      <x:c r="I245" s="22" t="str">
        <x:f>HYPERLINK("https://etp-aktiv.ru/catalog/materialy/nizkovoltnaya-apparatura-i-zapasnye-chasti/2000696445-V311/","Открыть позицию")</x:f>
        <x:v>Открыть позицию</x:v>
      </x:c>
    </x:row>
    <x:row r="246" ht="28" customHeight="1">
      <x:c r="A246" s="16" t="str">
        <x:v>Назаровская ГРЭС</x:v>
      </x:c>
      <x:c r="B246" s="16" t="str">
        <x:v>2000243474-V311</x:v>
      </x:c>
      <x:c r="C246" s="16" t="str">
        <x:v>РЕЛЕ РП-5РС4.522.006СП 220В</x:v>
      </x:c>
      <x:c r="D246" s="16" t="str">
        <x:v>Низковол апп-ра и ЗЧ</x:v>
      </x:c>
      <x:c r="E246" s="16" t="str">
        <x:v>ШТ</x:v>
      </x:c>
      <x:c r="F246" s="21" t="n">
        <x:v>12</x:v>
      </x:c>
      <x:c r="G246" s="17" t="n">
        <x:v>1029.375</x:v>
      </x:c>
      <x:c r="H246" s="17" t="n">
        <x:f>G246*F246</x:f>
        <x:v>12352.5</x:v>
      </x:c>
      <x:c r="I246" s="22" t="str">
        <x:f>HYPERLINK("https://etp-aktiv.ru/catalog/materialy/nizkovoltnaya-apparatura-i-zapasnye-chasti/2000243474-V311/","Открыть позицию")</x:f>
        <x:v>Открыть позицию</x:v>
      </x:c>
    </x:row>
    <x:row r="247" ht="28" customHeight="1">
      <x:c r="A247" s="16" t="str">
        <x:v>Назаровская ГРЭС</x:v>
      </x:c>
      <x:c r="B247" s="16" t="str">
        <x:v>2000037996-V311</x:v>
      </x:c>
      <x:c r="C247" s="16" t="str">
        <x:v>РЕЛЕ ТЕПЛОВОЕ ТР 200 20А</x:v>
      </x:c>
      <x:c r="D247" s="16" t="str">
        <x:v>Низковол апп-ра и ЗЧ</x:v>
      </x:c>
      <x:c r="E247" s="16" t="str">
        <x:v>ШТ</x:v>
      </x:c>
      <x:c r="F247" s="21" t="n">
        <x:v>12</x:v>
      </x:c>
      <x:c r="G247" s="17" t="n">
        <x:v>1072.2702</x:v>
      </x:c>
      <x:c r="H247" s="17" t="n">
        <x:f>G247*F247</x:f>
        <x:v>12867.2424</x:v>
      </x:c>
      <x:c r="I247" s="22" t="str">
        <x:f>HYPERLINK("https://etp-aktiv.ru/catalog/materialy/nizkovoltnaya-apparatura-i-zapasnye-chasti/2000037996-V311/","Открыть позицию")</x:f>
        <x:v>Открыть позицию</x:v>
      </x:c>
    </x:row>
    <x:row r="248" ht="28" customHeight="1">
      <x:c r="A248" s="16" t="str">
        <x:v>Назаровская ГРЭС</x:v>
      </x:c>
      <x:c r="B248" s="16" t="str">
        <x:v>2000141771-V311</x:v>
      </x:c>
      <x:c r="C248" s="16" t="str">
        <x:v>РЕЛЕ ТРМ-11-11-25-04</x:v>
      </x:c>
      <x:c r="D248" s="16" t="str">
        <x:v>Низковол апп-ра и ЗЧ</x:v>
      </x:c>
      <x:c r="E248" s="16" t="str">
        <x:v>ШТ</x:v>
      </x:c>
      <x:c r="F248" s="21" t="n">
        <x:v>1</x:v>
      </x:c>
      <x:c r="G248" s="17" t="n">
        <x:v>772.0282</x:v>
      </x:c>
      <x:c r="H248" s="17" t="n">
        <x:f>G248*F248</x:f>
        <x:v>772.0282</x:v>
      </x:c>
      <x:c r="I248" s="22" t="str">
        <x:f>HYPERLINK("https://etp-aktiv.ru/catalog/materialy/nizkovoltnaya-apparatura-i-zapasnye-chasti/2000141771-V311/","Открыть позицию")</x:f>
        <x:v>Открыть позицию</x:v>
      </x:c>
    </x:row>
    <x:row r="249" ht="28" customHeight="1">
      <x:c r="A249" s="16" t="str">
        <x:v>Назаровская ГРЭС</x:v>
      </x:c>
      <x:c r="B249" s="16" t="str">
        <x:v>2000545316-V311</x:v>
      </x:c>
      <x:c r="C249" s="16" t="str">
        <x:v>РОЗЕТКА 225 PSR22-032-5 3P+E+N 380В 32А</x:v>
      </x:c>
      <x:c r="D249" s="16" t="str">
        <x:v>Освет и э/установоч</x:v>
      </x:c>
      <x:c r="E249" s="16" t="str">
        <x:v>ШТ</x:v>
      </x:c>
      <x:c r="F249" s="21" t="n">
        <x:v>6</x:v>
      </x:c>
      <x:c r="G249" s="17" t="n">
        <x:v>140.5074</x:v>
      </x:c>
      <x:c r="H249" s="17" t="n">
        <x:f>G249*F249</x:f>
        <x:v>843.0444</x:v>
      </x:c>
      <x:c r="I249" s="22" t="str">
        <x:f>HYPERLINK("https://etp-aktiv.ru/catalog/materialy/ehlektrotekhnicheskie-materialy/2000545316-V311/","Открыть позицию")</x:f>
        <x:v>Открыть позицию</x:v>
      </x:c>
    </x:row>
    <x:row r="250" ht="28" customHeight="1">
      <x:c r="A250" s="16" t="str">
        <x:v>Назаровская ГРЭС</x:v>
      </x:c>
      <x:c r="B250" s="16" t="str">
        <x:v>2000617605-V311</x:v>
      </x:c>
      <x:c r="C250" s="16" t="str">
        <x:v>РОЗЕТКА 2Р+E PSR11-016-3 230В 16А IP44</x:v>
      </x:c>
      <x:c r="D250" s="16" t="str">
        <x:v>Освет и э/установоч</x:v>
      </x:c>
      <x:c r="E250" s="16" t="str">
        <x:v>ШТ</x:v>
      </x:c>
      <x:c r="F250" s="21" t="n">
        <x:v>5</x:v>
      </x:c>
      <x:c r="G250" s="17" t="n">
        <x:v>96.319</x:v>
      </x:c>
      <x:c r="H250" s="17" t="n">
        <x:f>G250*F250</x:f>
        <x:v>481.595</x:v>
      </x:c>
      <x:c r="I250" s="22" t="str">
        <x:f>HYPERLINK("https://etp-aktiv.ru/catalog/materialy/ehlektrotekhnicheskie-materialy/2000617605-V311/","Открыть позицию")</x:f>
        <x:v>Открыть позицию</x:v>
      </x:c>
    </x:row>
    <x:row r="251" ht="28" customHeight="1">
      <x:c r="A251" s="16" t="str">
        <x:v>Назаровская ГРЭС</x:v>
      </x:c>
      <x:c r="B251" s="16" t="str">
        <x:v>2000472280-V311</x:v>
      </x:c>
      <x:c r="C251" s="16" t="str">
        <x:v>РОЗЕТКА 3252-6 3P+N+E 380В 32А IP67</x:v>
      </x:c>
      <x:c r="D251" s="16" t="str">
        <x:v>Освет и э/установоч</x:v>
      </x:c>
      <x:c r="E251" s="16" t="str">
        <x:v>ШТ</x:v>
      </x:c>
      <x:c r="F251" s="21" t="n">
        <x:v>6</x:v>
      </x:c>
      <x:c r="G251" s="17" t="n">
        <x:v>311.29519999999997</x:v>
      </x:c>
      <x:c r="H251" s="17" t="n">
        <x:f>G251*F251</x:f>
        <x:v>1867.7711999999997</x:v>
      </x:c>
      <x:c r="I251" s="22" t="str">
        <x:f>HYPERLINK("https://etp-aktiv.ru/catalog/materialy/ehlektrotekhnicheskie-materialy/2000472280-V311/","Открыть позицию")</x:f>
        <x:v>Открыть позицию</x:v>
      </x:c>
    </x:row>
    <x:row r="252" ht="28" customHeight="1">
      <x:c r="A252" s="16" t="str">
        <x:v>Назаровская ГРЭС</x:v>
      </x:c>
      <x:c r="B252" s="16" t="str">
        <x:v>2000545317-V311</x:v>
      </x:c>
      <x:c r="C252" s="16" t="str">
        <x:v>РОЗЕТКА DIS31812547 3P+E+N 400В 125 IP67</x:v>
      </x:c>
      <x:c r="D252" s="16" t="str">
        <x:v>Освет и э/установоч</x:v>
      </x:c>
      <x:c r="E252" s="16" t="str">
        <x:v>ШТ</x:v>
      </x:c>
      <x:c r="F252" s="21" t="n">
        <x:v>3</x:v>
      </x:c>
      <x:c r="G252" s="17" t="n">
        <x:v>2284.7062</x:v>
      </x:c>
      <x:c r="H252" s="17" t="n">
        <x:f>G252*F252</x:f>
        <x:v>6854.1186</x:v>
      </x:c>
      <x:c r="I252" s="22" t="str">
        <x:f>HYPERLINK("https://etp-aktiv.ru/catalog/materialy/ehlektrotekhnicheskie-materialy/2000545317-V311/","Открыть позицию")</x:f>
        <x:v>Открыть позицию</x:v>
      </x:c>
    </x:row>
    <x:row r="253" ht="28" customHeight="1">
      <x:c r="A253" s="16" t="str">
        <x:v>Назаровская ГРЭС</x:v>
      </x:c>
      <x:c r="B253" s="16" t="str">
        <x:v>2000617606-V311</x:v>
      </x:c>
      <x:c r="C253" s="16" t="str">
        <x:v>РОЗЕТКА ПРИМА РА16-411М-Б 250В 16А IP20</x:v>
      </x:c>
      <x:c r="D253" s="16" t="str">
        <x:v>Освет и э/установоч</x:v>
      </x:c>
      <x:c r="E253" s="16" t="str">
        <x:v>ШТ</x:v>
      </x:c>
      <x:c r="F253" s="21" t="n">
        <x:v>21</x:v>
      </x:c>
      <x:c r="G253" s="17" t="n">
        <x:v>167.689</x:v>
      </x:c>
      <x:c r="H253" s="17" t="n">
        <x:f>G253*F253</x:f>
        <x:v>3521.469</x:v>
      </x:c>
      <x:c r="I253" s="22" t="str">
        <x:f>HYPERLINK("https://etp-aktiv.ru/catalog/materialy/ehlektrotekhnicheskie-materialy/2000617606-V311/","Открыть позицию")</x:f>
        <x:v>Открыть позицию</x:v>
      </x:c>
    </x:row>
    <x:row r="254" ht="28" customHeight="1">
      <x:c r="A254" s="16" t="str">
        <x:v>Назаровская ГРЭС</x:v>
      </x:c>
      <x:c r="B254" s="16" t="str">
        <x:v>5000058567-V311</x:v>
      </x:c>
      <x:c r="C254" s="16" t="str">
        <x:v>РОУТЕР ROBUSTEL R3000-L3H</x:v>
      </x:c>
      <x:c r="D254" s="16" t="str">
        <x:v>Сетевое оборудование</x:v>
      </x:c>
      <x:c r="E254" s="16" t="str">
        <x:v>ШТ</x:v>
      </x:c>
      <x:c r="F254" s="21" t="n">
        <x:v>1</x:v>
      </x:c>
      <x:c r="G254" s="17" t="n">
        <x:v>5482.741</x:v>
      </x:c>
      <x:c r="H254" s="17" t="n">
        <x:f>G254*F254</x:f>
        <x:v>5482.741</x:v>
      </x:c>
      <x:c r="I254" s="22" t="str">
        <x:f>HYPERLINK("https://etp-aktiv.ru/catalog/materialy/komplektuyushchie-i-zapasnye-chasti-k-kompyuternomu-i-ofisnomu-oborudovaniyu/5000058567-V311/","Открыть позицию")</x:f>
        <x:v>Открыть позицию</x:v>
      </x:c>
    </x:row>
    <x:row r="255" ht="28" customHeight="1">
      <x:c r="A255" s="16" t="str">
        <x:v>Назаровская ГРЭС</x:v>
      </x:c>
      <x:c r="B255" s="16" t="str">
        <x:v>2000071372-V311</x:v>
      </x:c>
      <x:c r="C255" s="16" t="str">
        <x:v>РУБИЛЬНИК ВР-32-35А71240 250А</x:v>
      </x:c>
      <x:c r="D255" s="16" t="str">
        <x:v>Низковол апп-ра и ЗЧ</x:v>
      </x:c>
      <x:c r="E255" s="16" t="str">
        <x:v>ШТ</x:v>
      </x:c>
      <x:c r="F255" s="21" t="n">
        <x:v>14</x:v>
      </x:c>
      <x:c r="G255" s="17" t="n">
        <x:v>1606.0568</x:v>
      </x:c>
      <x:c r="H255" s="17" t="n">
        <x:f>G255*F255</x:f>
        <x:v>22484.7952</x:v>
      </x:c>
      <x:c r="I255" s="22" t="str">
        <x:f>HYPERLINK("https://etp-aktiv.ru/catalog/materialy/nizkovoltnaya-apparatura-i-zapasnye-chasti/2000071372-V311/","Открыть позицию")</x:f>
        <x:v>Открыть позицию</x:v>
      </x:c>
    </x:row>
    <x:row r="256" ht="28" customHeight="1">
      <x:c r="A256" s="16" t="str">
        <x:v>Назаровская ГРЭС</x:v>
      </x:c>
      <x:c r="B256" s="16" t="str">
        <x:v>2000553538-V311</x:v>
      </x:c>
      <x:c r="C256" s="16" t="str">
        <x:v>СБОРКА N-MALE(N-112F)-SMA-MALE(S-111F)</x:v>
      </x:c>
      <x:c r="D256" s="16" t="str">
        <x:v>З/ч обор связи/телеф</x:v>
      </x:c>
      <x:c r="E256" s="16" t="str">
        <x:v>ШТ</x:v>
      </x:c>
      <x:c r="F256" s="21" t="n">
        <x:v>6</x:v>
      </x:c>
      <x:c r="G256" s="17" t="n">
        <x:v>434.2468</x:v>
      </x:c>
      <x:c r="H256" s="17" t="n">
        <x:f>G256*F256</x:f>
        <x:v>2605.4808000000003</x:v>
      </x:c>
      <x:c r="I256" s="22" t="str">
        <x:f>HYPERLINK("https://etp-aktiv.ru/catalog/materialy/prochie-materialy/2000553538-V311/","Открыть позицию")</x:f>
        <x:v>Открыть позицию</x:v>
      </x:c>
    </x:row>
    <x:row r="257" ht="28" customHeight="1">
      <x:c r="A257" s="16" t="str">
        <x:v>Назаровская ГРЭС</x:v>
      </x:c>
      <x:c r="B257" s="16" t="str">
        <x:v>2000383150-V311</x:v>
      </x:c>
      <x:c r="C257" s="16" t="str">
        <x:v>СВЕТИЛЬНИК AQUA A5440PL-3WH GU10 50ВТ</x:v>
      </x:c>
      <x:c r="D257" s="16" t="str">
        <x:v>Освет и э/установоч</x:v>
      </x:c>
      <x:c r="E257" s="16" t="str">
        <x:v>ШТ</x:v>
      </x:c>
      <x:c r="F257" s="21" t="n">
        <x:v>4</x:v>
      </x:c>
      <x:c r="G257" s="17" t="n">
        <x:v>188.0386</x:v>
      </x:c>
      <x:c r="H257" s="17" t="n">
        <x:f>G257*F257</x:f>
        <x:v>752.1544</x:v>
      </x:c>
      <x:c r="I257" s="22" t="str">
        <x:f>HYPERLINK("https://etp-aktiv.ru/catalog/materialy/ehlektrotekhnicheskie-materialy/2000383150-V311/","Открыть позицию")</x:f>
        <x:v>Открыть позицию</x:v>
      </x:c>
    </x:row>
    <x:row r="258" ht="28" customHeight="1">
      <x:c r="A258" s="16" t="str">
        <x:v>Назаровская ГРЭС</x:v>
      </x:c>
      <x:c r="B258" s="16" t="str">
        <x:v>2000545563-V311</x:v>
      </x:c>
      <x:c r="C258" s="16" t="str">
        <x:v>СВЕТИЛЬНИК НСП 23-001 ХЛ1 E27 200ВТ IP65</x:v>
      </x:c>
      <x:c r="D258" s="16" t="str">
        <x:v>Освет и э/установоч</x:v>
      </x:c>
      <x:c r="E258" s="16" t="str">
        <x:v>ШТ</x:v>
      </x:c>
      <x:c r="F258" s="21" t="n">
        <x:v>4</x:v>
      </x:c>
      <x:c r="G258" s="17" t="n">
        <x:v>2523.2527999999998</x:v>
      </x:c>
      <x:c r="H258" s="17" t="n">
        <x:f>G258*F258</x:f>
        <x:v>10093.011199999999</x:v>
      </x:c>
      <x:c r="I258" s="22" t="str">
        <x:f>HYPERLINK("https://etp-aktiv.ru/catalog/materialy/ehlektrotekhnicheskie-materialy/2000545563-V311/","Открыть позицию")</x:f>
        <x:v>Открыть позицию</x:v>
      </x:c>
    </x:row>
    <x:row r="259" ht="28" customHeight="1">
      <x:c r="A259" s="16" t="str">
        <x:v>Назаровская ГРЭС</x:v>
      </x:c>
      <x:c r="B259" s="16" t="str">
        <x:v>2000040009-V311</x:v>
      </x:c>
      <x:c r="C259" s="16" t="str">
        <x:v>СВЕТОДИОД АЛ 307БМ КРАСНЫЙ</x:v>
      </x:c>
      <x:c r="D259" s="16" t="str">
        <x:v>Освет и э/установоч</x:v>
      </x:c>
      <x:c r="E259" s="16" t="str">
        <x:v>ШТ</x:v>
      </x:c>
      <x:c r="F259" s="21" t="n">
        <x:v>19</x:v>
      </x:c>
      <x:c r="G259" s="17" t="n">
        <x:v>65.6482</x:v>
      </x:c>
      <x:c r="H259" s="17" t="n">
        <x:f>G259*F259</x:f>
        <x:v>1247.3158</x:v>
      </x:c>
      <x:c r="I259" s="22" t="str">
        <x:f>HYPERLINK("https://etp-aktiv.ru/catalog/materialy/ehlektrotekhnicheskie-materialy/2000040009-V311/","Открыть позицию")</x:f>
        <x:v>Открыть позицию</x:v>
      </x:c>
    </x:row>
    <x:row r="260" ht="28" customHeight="1">
      <x:c r="A260" s="16" t="str">
        <x:v>Назаровская ГРЭС</x:v>
      </x:c>
      <x:c r="B260" s="16" t="str">
        <x:v>2000593727-V311</x:v>
      </x:c>
      <x:c r="C260" s="16" t="str">
        <x:v>СИМИСТОР BTA41-800BRG 40А 800В</x:v>
      </x:c>
      <x:c r="D260" s="16" t="str">
        <x:v>Изделия радиоэл/техн</x:v>
      </x:c>
      <x:c r="E260" s="16" t="str">
        <x:v>ШТ</x:v>
      </x:c>
      <x:c r="F260" s="21" t="n">
        <x:v>44</x:v>
      </x:c>
      <x:c r="G260" s="17" t="n">
        <x:v>226.78579999999997</x:v>
      </x:c>
      <x:c r="H260" s="17" t="n">
        <x:f>G260*F260</x:f>
        <x:v>9978.5752</x:v>
      </x:c>
      <x:c r="I260" s="22" t="str">
        <x:f>HYPERLINK("https://etp-aktiv.ru/catalog/materialy/prochie-materialy/2000593727-V311/","Открыть позицию")</x:f>
        <x:v>Открыть позицию</x:v>
      </x:c>
    </x:row>
    <x:row r="261" ht="28" customHeight="1">
      <x:c r="A261" s="16" t="str">
        <x:v>Назаровская ГРЭС</x:v>
      </x:c>
      <x:c r="B261" s="16" t="str">
        <x:v>2000040305-V311</x:v>
      </x:c>
      <x:c r="C261" s="16" t="str">
        <x:v>СКИПИДАР ЖИВИЧНЫЙ ГОСТ1571 82</x:v>
      </x:c>
      <x:c r="D261" s="16" t="str">
        <x:v>Химические реактивы</x:v>
      </x:c>
      <x:c r="E261" s="16" t="str">
        <x:v>КГ</x:v>
      </x:c>
      <x:c r="F261" s="30" t="n">
        <x:v>0.32</x:v>
      </x:c>
      <x:c r="G261" s="17" t="n">
        <x:v>195.5416</x:v>
      </x:c>
      <x:c r="H261" s="17" t="n">
        <x:f>G261*F261</x:f>
        <x:v>62.573311999999994</x:v>
      </x:c>
      <x:c r="I261" s="22" t="str">
        <x:f>HYPERLINK("https://etp-aktiv.ru/catalog/materialy/himicheskaya-produkciya/2000040305-V311/","Открыть позицию")</x:f>
        <x:v>Открыть позицию</x:v>
      </x:c>
    </x:row>
    <x:row r="262" ht="28" customHeight="1">
      <x:c r="A262" s="16" t="str">
        <x:v>Назаровская ГРЭС</x:v>
      </x:c>
      <x:c r="B262" s="16" t="str">
        <x:v>2000692199-V311</x:v>
      </x:c>
      <x:c r="C262" s="16" t="str">
        <x:v>СОЕДИНЕНИЕ НИППЕЛЬНОЕ П-Н.НСН 14*М20</x:v>
      </x:c>
      <x:c r="D262" s="16" t="str">
        <x:v>ЗЧ КИПиА</x:v>
      </x:c>
      <x:c r="E262" s="16" t="str">
        <x:v>ШТ</x:v>
      </x:c>
      <x:c r="F262" s="21" t="n">
        <x:v>19</x:v>
      </x:c>
      <x:c r="G262" s="17" t="n">
        <x:v>220.5028</x:v>
      </x:c>
      <x:c r="H262" s="17" t="n">
        <x:f>G262*F262</x:f>
        <x:v>4189.5532</x:v>
      </x:c>
      <x:c r="I262" s="22" t="str">
        <x:f>HYPERLINK("https://etp-aktiv.ru/catalog/materialy/zapasnye-chasti-i-prinadlezhnosti-dlya-priborov-kipia/2000692199-V311/","Открыть позицию")</x:f>
        <x:v>Открыть позицию</x:v>
      </x:c>
    </x:row>
    <x:row r="263" ht="28" customHeight="1">
      <x:c r="A263" s="16" t="str">
        <x:v>Назаровская ГРЭС</x:v>
      </x:c>
      <x:c r="B263" s="16" t="str">
        <x:v>2000041052-V311</x:v>
      </x:c>
      <x:c r="C263" s="16" t="str">
        <x:v>СТАБИЛИТРОН КС 515 А</x:v>
      </x:c>
      <x:c r="D263" s="16" t="str">
        <x:v>Изделия радиоэл/техн</x:v>
      </x:c>
      <x:c r="E263" s="16" t="str">
        <x:v>ШТ</x:v>
      </x:c>
      <x:c r="F263" s="21" t="n">
        <x:v>30</x:v>
      </x:c>
      <x:c r="G263" s="17" t="n">
        <x:v>24.7782</x:v>
      </x:c>
      <x:c r="H263" s="17" t="n">
        <x:f>G263*F263</x:f>
        <x:v>743.346</x:v>
      </x:c>
      <x:c r="I263" s="22" t="str">
        <x:f>HYPERLINK("https://etp-aktiv.ru/catalog/materialy/prochie-materialy/2000041052-V311/","Открыть позицию")</x:f>
        <x:v>Открыть позицию</x:v>
      </x:c>
    </x:row>
    <x:row r="264" ht="28" customHeight="1">
      <x:c r="A264" s="16" t="str">
        <x:v>Назаровская ГРЭС</x:v>
      </x:c>
      <x:c r="B264" s="16" t="str">
        <x:v>2000603938-V311</x:v>
      </x:c>
      <x:c r="C264" s="16" t="str">
        <x:v>СТАБИЛИТРОН КС518А</x:v>
      </x:c>
      <x:c r="D264" s="16" t="str">
        <x:v>Изделия радиоэл/техн</x:v>
      </x:c>
      <x:c r="E264" s="16" t="str">
        <x:v>ШТ</x:v>
      </x:c>
      <x:c r="F264" s="21" t="n">
        <x:v>30</x:v>
      </x:c>
      <x:c r="G264" s="17" t="n">
        <x:v>15.311</x:v>
      </x:c>
      <x:c r="H264" s="17" t="n">
        <x:f>G264*F264</x:f>
        <x:v>459.33</x:v>
      </x:c>
      <x:c r="I264" s="22" t="str">
        <x:f>HYPERLINK("https://etp-aktiv.ru/catalog/materialy/prochie-materialy/2000603938-V311/","Открыть позицию")</x:f>
        <x:v>Открыть позицию</x:v>
      </x:c>
    </x:row>
    <x:row r="265" ht="28" customHeight="1">
      <x:c r="A265" s="16" t="str">
        <x:v>Назаровская ГРЭС</x:v>
      </x:c>
      <x:c r="B265" s="16" t="str">
        <x:v>2000228094-V311</x:v>
      </x:c>
      <x:c r="C265" s="16" t="str">
        <x:v>СТОПОР E/UK PHOENIX 1201442</x:v>
      </x:c>
      <x:c r="D265" s="16" t="str">
        <x:v>Низковол апп-ра и ЗЧ</x:v>
      </x:c>
      <x:c r="E265" s="16" t="str">
        <x:v>ШТ</x:v>
      </x:c>
      <x:c r="F265" s="21" t="n">
        <x:v>10</x:v>
      </x:c>
      <x:c r="G265" s="17" t="n">
        <x:v>38.43</x:v>
      </x:c>
      <x:c r="H265" s="17" t="n">
        <x:f>G265*F265</x:f>
        <x:v>384.3</x:v>
      </x:c>
      <x:c r="I265" s="22" t="str">
        <x:f>HYPERLINK("https://etp-aktiv.ru/catalog/materialy/nizkovoltnaya-apparatura-i-zapasnye-chasti/2000228094-V311/","Открыть позицию")</x:f>
        <x:v>Открыть позицию</x:v>
      </x:c>
    </x:row>
    <x:row r="266" ht="28" customHeight="1">
      <x:c r="A266" s="16" t="str">
        <x:v>Назаровская ГРЭС</x:v>
      </x:c>
      <x:c r="B266" s="16" t="str">
        <x:v>2000604396-V311</x:v>
      </x:c>
      <x:c r="C266" s="16" t="str">
        <x:v>СЧИТЫВАТЕЛЬ БЕСКОНТАКТНЫЙ PROXY-5AG</x:v>
      </x:c>
      <x:c r="D266" s="16" t="str">
        <x:v>Комп систем наблюд</x:v>
      </x:c>
      <x:c r="E266" s="16" t="str">
        <x:v>ШТ</x:v>
      </x:c>
      <x:c r="F266" s="21" t="n">
        <x:v>10</x:v>
      </x:c>
      <x:c r="G266" s="17" t="n">
        <x:v>876.8994</x:v>
      </x:c>
      <x:c r="H266" s="17" t="n">
        <x:f>G266*F266</x:f>
        <x:v>8768.994</x:v>
      </x:c>
      <x:c r="I266" s="22" t="str">
        <x:f>HYPERLINK("https://etp-aktiv.ru/catalog/materialy/prochie-materialy/2000604396-V311/","Открыть позицию")</x:f>
        <x:v>Открыть позицию</x:v>
      </x:c>
    </x:row>
    <x:row r="267" ht="28" customHeight="1">
      <x:c r="A267" s="16" t="str">
        <x:v>Назаровская ГРЭС</x:v>
      </x:c>
      <x:c r="B267" s="16" t="str">
        <x:v>2000177663-V311</x:v>
      </x:c>
      <x:c r="C267" s="16" t="str">
        <x:v>ТЕРМОМЕТР ТКП-160СГ-М2-УХЛ2/0-120/2,5</x:v>
      </x:c>
      <x:c r="D267" s="16" t="str">
        <x:v>ЗЧ КИПиА</x:v>
      </x:c>
      <x:c r="E267" s="16" t="str">
        <x:v>ШТ</x:v>
      </x:c>
      <x:c r="F267" s="21" t="n">
        <x:v>10</x:v>
      </x:c>
      <x:c r="G267" s="17" t="n">
        <x:v>13819.794</x:v>
      </x:c>
      <x:c r="H267" s="17" t="n">
        <x:f>G267*F267</x:f>
        <x:v>138197.94</x:v>
      </x:c>
      <x:c r="I267" s="22" t="str">
        <x:f>HYPERLINK("https://etp-aktiv.ru/catalog/materialy/zapasnye-chasti-i-prinadlezhnosti-dlya-priborov-kipia/2000177663-V311/","Открыть позицию")</x:f>
        <x:v>Открыть позицию</x:v>
      </x:c>
    </x:row>
    <x:row r="268" ht="28" customHeight="1">
      <x:c r="A268" s="16" t="str">
        <x:v>Назаровская ГРЭС</x:v>
      </x:c>
      <x:c r="B268" s="16" t="str">
        <x:v>2000160877-V311</x:v>
      </x:c>
      <x:c r="C268" s="16" t="str">
        <x:v>ТЕРМОМЕТР ТТЖ-240/163 0...150°С</x:v>
      </x:c>
      <x:c r="D268" s="16" t="str">
        <x:v>ЗЧ КИПиА</x:v>
      </x:c>
      <x:c r="E268" s="16" t="str">
        <x:v>ШТ</x:v>
      </x:c>
      <x:c r="F268" s="21" t="n">
        <x:v>2</x:v>
      </x:c>
      <x:c r="G268" s="17" t="n">
        <x:v>1614.1209999999999</x:v>
      </x:c>
      <x:c r="H268" s="17" t="n">
        <x:f>G268*F268</x:f>
        <x:v>3228.2419999999997</x:v>
      </x:c>
      <x:c r="I268" s="22" t="str">
        <x:f>HYPERLINK("https://etp-aktiv.ru/catalog/materialy/zapasnye-chasti-i-prinadlezhnosti-dlya-priborov-kipia/2000160877-V311/","Открыть позицию")</x:f>
        <x:v>Открыть позицию</x:v>
      </x:c>
    </x:row>
    <x:row r="269" ht="28" customHeight="1">
      <x:c r="A269" s="16" t="str">
        <x:v>Назаровская ГРЭС</x:v>
      </x:c>
      <x:c r="B269" s="16" t="str">
        <x:v>2000392559-V311</x:v>
      </x:c>
      <x:c r="C269" s="16" t="str">
        <x:v>ТЕСТЕР ЭЛЕКТРОННЫЙ BESTWAY 58225</x:v>
      </x:c>
      <x:c r="D269" s="16" t="str">
        <x:v>ЗЧ КИПиА</x:v>
      </x:c>
      <x:c r="E269" s="16" t="str">
        <x:v>ШТ</x:v>
      </x:c>
      <x:c r="F269" s="21" t="n">
        <x:v>1</x:v>
      </x:c>
      <x:c r="G269" s="17" t="n">
        <x:v>2144.5281999999997</x:v>
      </x:c>
      <x:c r="H269" s="17" t="n">
        <x:f>G269*F269</x:f>
        <x:v>2144.5281999999997</x:v>
      </x:c>
      <x:c r="I269" s="22" t="str">
        <x:f>HYPERLINK("https://etp-aktiv.ru/catalog/materialy/zapasnye-chasti-i-prinadlezhnosti-dlya-priborov-kipia/2000392559-V311/","Открыть позицию")</x:f>
        <x:v>Открыть позицию</x:v>
      </x:c>
    </x:row>
    <x:row r="270" ht="28" customHeight="1">
      <x:c r="A270" s="16" t="str">
        <x:v>Назаровская ГРЭС</x:v>
      </x:c>
      <x:c r="B270" s="16" t="str">
        <x:v>2000549204-V311</x:v>
      </x:c>
      <x:c r="C270" s="16" t="str">
        <x:v>ТИРИСТОР ЛАВИННЫЙ ТЛ 2-200-10</x:v>
      </x:c>
      <x:c r="D270" s="16" t="str">
        <x:v>Изделия радиоэл/техн</x:v>
      </x:c>
      <x:c r="E270" s="16" t="str">
        <x:v>ШТ</x:v>
      </x:c>
      <x:c r="F270" s="21" t="n">
        <x:v>19</x:v>
      </x:c>
      <x:c r="G270" s="17" t="n">
        <x:v>2408.7436000000002</x:v>
      </x:c>
      <x:c r="H270" s="17" t="n">
        <x:f>G270*F270</x:f>
        <x:v>45766.1284</x:v>
      </x:c>
      <x:c r="I270" s="22" t="str">
        <x:f>HYPERLINK("https://etp-aktiv.ru/catalog/materialy/prochie-materialy/2000549204-V311/","Открыть позицию")</x:f>
        <x:v>Открыть позицию</x:v>
      </x:c>
    </x:row>
    <x:row r="271" ht="28" customHeight="1">
      <x:c r="A271" s="16" t="str">
        <x:v>Назаровская ГРЭС</x:v>
      </x:c>
      <x:c r="B271" s="16" t="str">
        <x:v>2000042750-V311</x:v>
      </x:c>
      <x:c r="C271" s="16" t="str">
        <x:v>ТРАНЗИСТОР КТ 203 А</x:v>
      </x:c>
      <x:c r="D271" s="16" t="str">
        <x:v>Изделия радиоэл/техн</x:v>
      </x:c>
      <x:c r="E271" s="16" t="str">
        <x:v>ШТ</x:v>
      </x:c>
      <x:c r="F271" s="21" t="n">
        <x:v>10</x:v>
      </x:c>
      <x:c r="G271" s="17" t="n">
        <x:v>116.6686</x:v>
      </x:c>
      <x:c r="H271" s="17" t="n">
        <x:f>G271*F271</x:f>
        <x:v>1166.686</x:v>
      </x:c>
      <x:c r="I271" s="22" t="str">
        <x:f>HYPERLINK("https://etp-aktiv.ru/catalog/materialy/prochie-materialy/2000042750-V311/","Открыть позицию")</x:f>
        <x:v>Открыть позицию</x:v>
      </x:c>
    </x:row>
    <x:row r="272" ht="28" customHeight="1">
      <x:c r="A272" s="16" t="str">
        <x:v>Назаровская ГРЭС</x:v>
      </x:c>
      <x:c r="B272" s="16" t="str">
        <x:v>2000551736-V311</x:v>
      </x:c>
      <x:c r="C272" s="16" t="str">
        <x:v>ТРАНСФОРМАТОР НАПР TGDC2-4K 220/0-260</x:v>
      </x:c>
      <x:c r="D272" s="16" t="str">
        <x:v>Трансформаторы измер</x:v>
      </x:c>
      <x:c r="E272" s="16" t="str">
        <x:v>ШТ</x:v>
      </x:c>
      <x:c r="F272" s="21" t="n">
        <x:v>1</x:v>
      </x:c>
      <x:c r="G272" s="17" t="n">
        <x:v>3359.6481999999996</x:v>
      </x:c>
      <x:c r="H272" s="17" t="n">
        <x:f>G272*F272</x:f>
        <x:v>3359.6481999999996</x:v>
      </x:c>
      <x:c r="I272" s="22" t="str">
        <x:f>HYPERLINK("https://etp-aktiv.ru/catalog/materialy/ehlektrotekhnicheskie-materialy/2000551736-V311/","Открыть позицию")</x:f>
        <x:v>Открыть позицию</x:v>
      </x:c>
    </x:row>
    <x:row r="273" ht="28" customHeight="1">
      <x:c r="A273" s="16" t="str">
        <x:v>Назаровская ГРЭС</x:v>
      </x:c>
      <x:c r="B273" s="16" t="str">
        <x:v>2000572506-V311</x:v>
      </x:c>
      <x:c r="C273" s="16" t="str">
        <x:v>ТРАНСФОРМАТОР НАПР НТС-2,5 У2 380/12В</x:v>
      </x:c>
      <x:c r="D273" s="16" t="str">
        <x:v>Трансформаторы измер</x:v>
      </x:c>
      <x:c r="E273" s="16" t="str">
        <x:v>ШТ</x:v>
      </x:c>
      <x:c r="F273" s="21" t="n">
        <x:v>3</x:v>
      </x:c>
      <x:c r="G273" s="17" t="n">
        <x:v>2865.8532</x:v>
      </x:c>
      <x:c r="H273" s="17" t="n">
        <x:f>G273*F273</x:f>
        <x:v>8597.5596</x:v>
      </x:c>
      <x:c r="I273" s="22" t="str">
        <x:f>HYPERLINK("https://etp-aktiv.ru/catalog/materialy/ehlektrotekhnicheskie-materialy/2000572506-V311/","Открыть позицию")</x:f>
        <x:v>Открыть позицию</x:v>
      </x:c>
    </x:row>
    <x:row r="274" ht="28" customHeight="1">
      <x:c r="A274" s="16" t="str">
        <x:v>Назаровская ГРЭС</x:v>
      </x:c>
      <x:c r="B274" s="16" t="str">
        <x:v>2000551737-V311</x:v>
      </x:c>
      <x:c r="C274" s="16" t="str">
        <x:v>ТРАНСФОРМАТОР НАПР ОСМ-0,25-3 220/5/12</x:v>
      </x:c>
      <x:c r="D274" s="16" t="str">
        <x:v>Трансформаторы измер</x:v>
      </x:c>
      <x:c r="E274" s="16" t="str">
        <x:v>ШТ</x:v>
      </x:c>
      <x:c r="F274" s="21" t="n">
        <x:v>3</x:v>
      </x:c>
      <x:c r="G274" s="17" t="n">
        <x:v>1436.4768000000001</x:v>
      </x:c>
      <x:c r="H274" s="17" t="n">
        <x:f>G274*F274</x:f>
        <x:v>4309.4304</x:v>
      </x:c>
      <x:c r="I274" s="22" t="str">
        <x:f>HYPERLINK("https://etp-aktiv.ru/catalog/materialy/ehlektrotekhnicheskie-materialy/2000551737-V311/","Открыть позицию")</x:f>
        <x:v>Открыть позицию</x:v>
      </x:c>
    </x:row>
    <x:row r="275" ht="28" customHeight="1">
      <x:c r="A275" s="16" t="str">
        <x:v>Назаровская ГРЭС</x:v>
      </x:c>
      <x:c r="B275" s="16" t="str">
        <x:v>2000697068-V311</x:v>
      </x:c>
      <x:c r="C275" s="16" t="str">
        <x:v>УКАЗАТЕЛЬ ПРОДУВКИ ВЫКЛЮЧАТ ВД5.441.017</x:v>
      </x:c>
      <x:c r="D275" s="16" t="str">
        <x:v>ЗЧ выключателей</x:v>
      </x:c>
      <x:c r="E275" s="16" t="str">
        <x:v>ШТ</x:v>
      </x:c>
      <x:c r="F275" s="21" t="n">
        <x:v>15</x:v>
      </x:c>
      <x:c r="G275" s="17" t="n">
        <x:v>1128.8781999999999</x:v>
      </x:c>
      <x:c r="H275" s="17" t="n">
        <x:f>G275*F275</x:f>
        <x:v>16933.173</x:v>
      </x:c>
      <x:c r="I275" s="22" t="str">
        <x:f>HYPERLINK("https://etp-aktiv.ru/catalog/materialy/ehlektrotekhnicheskie-materialy/2000697068-V311/","Открыть позицию")</x:f>
        <x:v>Открыть позицию</x:v>
      </x:c>
    </x:row>
    <x:row r="276" ht="28" customHeight="1">
      <x:c r="A276" s="16" t="str">
        <x:v>Назаровская ГРЭС</x:v>
      </x:c>
      <x:c r="B276" s="16" t="str">
        <x:v>2000524603-V311</x:v>
      </x:c>
      <x:c r="C276" s="16" t="str">
        <x:v>УПЛОТНЕНИЕ ВД8.371.265</x:v>
      </x:c>
      <x:c r="D276" s="16" t="str">
        <x:v>ЗЧ выключателей</x:v>
      </x:c>
      <x:c r="E276" s="16" t="str">
        <x:v>ШТ</x:v>
      </x:c>
      <x:c r="F276" s="21" t="n">
        <x:v>5</x:v>
      </x:c>
      <x:c r="G276" s="17" t="n">
        <x:v>463.9294</x:v>
      </x:c>
      <x:c r="H276" s="17" t="n">
        <x:f>G276*F276</x:f>
        <x:v>2319.647</x:v>
      </x:c>
      <x:c r="I276" s="22" t="str">
        <x:f>HYPERLINK("https://etp-aktiv.ru/catalog/materialy/ehlektrotekhnicheskie-materialy/2000524603-V311/","Открыть позицию")</x:f>
        <x:v>Открыть позицию</x:v>
      </x:c>
    </x:row>
    <x:row r="277" ht="28" customHeight="1">
      <x:c r="A277" s="16" t="str">
        <x:v>Назаровская ГРЭС</x:v>
      </x:c>
      <x:c r="B277" s="16" t="str">
        <x:v>2000541291-V311</x:v>
      </x:c>
      <x:c r="C277" s="16" t="str">
        <x:v>ФОТОДАТЧИК УСТРОЙСТВА ФАКЕЛ-3М</x:v>
      </x:c>
      <x:c r="D277" s="16" t="str">
        <x:v>ЗЧ КИПиА</x:v>
      </x:c>
      <x:c r="E277" s="16" t="str">
        <x:v>ШТ</x:v>
      </x:c>
      <x:c r="F277" s="21" t="n">
        <x:v>1</x:v>
      </x:c>
      <x:c r="G277" s="17" t="n">
        <x:v>26008.875</x:v>
      </x:c>
      <x:c r="H277" s="17" t="n">
        <x:f>G277*F277</x:f>
        <x:v>26008.875</x:v>
      </x:c>
      <x:c r="I277" s="22" t="str">
        <x:f>HYPERLINK("https://etp-aktiv.ru/catalog/materialy/zapasnye-chasti-i-prinadlezhnosti-dlya-priborov-kipia/2000541291-V311/","Открыть позицию")</x:f>
        <x:v>Открыть позицию</x:v>
      </x:c>
    </x:row>
    <x:row r="278" ht="28" customHeight="1">
      <x:c r="A278" s="16" t="str">
        <x:v>Назаровская ГРЭС</x:v>
      </x:c>
      <x:c r="B278" s="16" t="str">
        <x:v>2000524615-V311</x:v>
      </x:c>
      <x:c r="C278" s="16" t="str">
        <x:v>ШАЙБА А-8ВД.370.196.2</x:v>
      </x:c>
      <x:c r="D278" s="16" t="str">
        <x:v>ЗЧ выключателей</x:v>
      </x:c>
      <x:c r="E278" s="16" t="str">
        <x:v>ШТ</x:v>
      </x:c>
      <x:c r="F278" s="21" t="n">
        <x:v>15</x:v>
      </x:c>
      <x:c r="G278" s="17" t="n">
        <x:v>82.2646</x:v>
      </x:c>
      <x:c r="H278" s="17" t="n">
        <x:f>G278*F278</x:f>
        <x:v>1233.969</x:v>
      </x:c>
      <x:c r="I278" s="22" t="str">
        <x:f>HYPERLINK("https://etp-aktiv.ru/catalog/materialy/ehlektrotekhnicheskie-materialy/2000524615-V311/","Открыть позицию")</x:f>
        <x:v>Открыть позицию</x:v>
      </x:c>
    </x:row>
    <x:row r="279" ht="28" customHeight="1">
      <x:c r="A279" s="16" t="str">
        <x:v>Назаровская ГРЭС</x:v>
      </x:c>
      <x:c r="B279" s="16" t="str">
        <x:v>2000524712-V311</x:v>
      </x:c>
      <x:c r="C279" s="16" t="str">
        <x:v>ШАЙБА БТЛИ.754152.004-10</x:v>
      </x:c>
      <x:c r="D279" s="16" t="str">
        <x:v>ЗЧ высоковоль оборуд</x:v>
      </x:c>
      <x:c r="E279" s="16" t="str">
        <x:v>ШТ</x:v>
      </x:c>
      <x:c r="F279" s="21" t="n">
        <x:v>1</x:v>
      </x:c>
      <x:c r="G279" s="17" t="n">
        <x:v>276.2202</x:v>
      </x:c>
      <x:c r="H279" s="17" t="n">
        <x:f>G279*F279</x:f>
        <x:v>276.2202</x:v>
      </x:c>
      <x:c r="I279" s="22" t="str">
        <x:f>HYPERLINK("https://etp-aktiv.ru/catalog/materialy/ehlektrotekhnicheskie-materialy/2000524712-V311/","Открыть позицию")</x:f>
        <x:v>Открыть позицию</x:v>
      </x:c>
    </x:row>
    <x:row r="280" ht="28" customHeight="1">
      <x:c r="A280" s="16" t="str">
        <x:v>Назаровская ГРЭС</x:v>
      </x:c>
      <x:c r="B280" s="16" t="str">
        <x:v>2000636594-V311</x:v>
      </x:c>
      <x:c r="C280" s="16" t="str">
        <x:v>ШАЙБА МЕДНАЯ ПМ 21*32 ТУ36-1103-82</x:v>
      </x:c>
      <x:c r="D280" s="16" t="str">
        <x:v>ЗЧ КИПиА</x:v>
      </x:c>
      <x:c r="E280" s="16" t="str">
        <x:v>ШТ</x:v>
      </x:c>
      <x:c r="F280" s="21" t="n">
        <x:v>6</x:v>
      </x:c>
      <x:c r="G280" s="17" t="n">
        <x:v>41.175</x:v>
      </x:c>
      <x:c r="H280" s="17" t="n">
        <x:f>G280*F280</x:f>
        <x:v>247.04999999999998</x:v>
      </x:c>
      <x:c r="I280" s="22" t="str">
        <x:f>HYPERLINK("https://etp-aktiv.ru/catalog/materialy/zapasnye-chasti-i-prinadlezhnosti-dlya-priborov-kipia/2000636594-V311/","Открыть позицию")</x:f>
        <x:v>Открыть позицию</x:v>
      </x:c>
    </x:row>
    <x:row r="281" ht="28" customHeight="1">
      <x:c r="A281" s="16" t="str">
        <x:v>Назаровская ГРЭС</x:v>
      </x:c>
      <x:c r="B281" s="16" t="str">
        <x:v>2000541310-V311</x:v>
      </x:c>
      <x:c r="C281" s="16" t="str">
        <x:v>ШТУЦЕР ПРИВАРНОЙ ШЦ-G3/4 СТ20</x:v>
      </x:c>
      <x:c r="D281" s="16" t="str">
        <x:v>ЗЧ КИПиА</x:v>
      </x:c>
      <x:c r="E281" s="16" t="str">
        <x:v>ШТ</x:v>
      </x:c>
      <x:c r="F281" s="21" t="n">
        <x:v>2</x:v>
      </x:c>
      <x:c r="G281" s="17" t="n">
        <x:v>57.339999999999996</x:v>
      </x:c>
      <x:c r="H281" s="17" t="n">
        <x:f>G281*F281</x:f>
        <x:v>114.67999999999999</x:v>
      </x:c>
      <x:c r="I281" s="22" t="str">
        <x:f>HYPERLINK("https://etp-aktiv.ru/catalog/materialy/zapasnye-chasti-i-prinadlezhnosti-dlya-priborov-kipia/2000541310-V311/","Открыть позицию")</x:f>
        <x:v>Открыть позицию</x:v>
      </x:c>
    </x:row>
    <x:row r="282" ht="28" customHeight="1">
      <x:c r="A282" s="16" t="str">
        <x:v>Назаровская ГРЭС</x:v>
      </x:c>
      <x:c r="B282" s="16" t="str">
        <x:v>2000236529-V311</x:v>
      </x:c>
      <x:c r="C282" s="16" t="str">
        <x:v>ЩИТ ЩРН-9-З IP31 220*300*120</x:v>
      </x:c>
      <x:c r="D282" s="16" t="str">
        <x:v>Низковол апп-ра и ЗЧ</x:v>
      </x:c>
      <x:c r="E282" s="16" t="str">
        <x:v>ШТ</x:v>
      </x:c>
      <x:c r="F282" s="21" t="n">
        <x:v>1</x:v>
      </x:c>
      <x:c r="G282" s="17" t="n">
        <x:v>381.7136</x:v>
      </x:c>
      <x:c r="H282" s="17" t="n">
        <x:f>G282*F282</x:f>
        <x:v>381.7136</x:v>
      </x:c>
      <x:c r="I282" s="22" t="str">
        <x:f>HYPERLINK("https://etp-aktiv.ru/catalog/materialy/nizkovoltnaya-apparatura-i-zapasnye-chasti/2000236529-V311/","Открыть позицию")</x:f>
        <x:v>Открыть позицию</x:v>
      </x:c>
    </x:row>
    <x:row r="283" ht="28" customHeight="1">
      <x:c r="A283" s="16" t="str">
        <x:v>Назаровская ГРЭС</x:v>
      </x:c>
      <x:c r="B283" s="16" t="str">
        <x:v>2000218497-V311</x:v>
      </x:c>
      <x:c r="C283" s="16" t="str">
        <x:v>Э/ЩЕТКА ЭГ-14 30*30*40</x:v>
      </x:c>
      <x:c r="D283" s="16" t="str">
        <x:v>Электрощетки</x:v>
      </x:c>
      <x:c r="E283" s="16" t="str">
        <x:v>ШТ</x:v>
      </x:c>
      <x:c r="F283" s="21" t="n">
        <x:v>120</x:v>
      </x:c>
      <x:c r="G283" s="17" t="n">
        <x:v>193.6384</x:v>
      </x:c>
      <x:c r="H283" s="17" t="n">
        <x:f>G283*F283</x:f>
        <x:v>23236.608</x:v>
      </x:c>
      <x:c r="I283" s="22" t="str">
        <x:f>HYPERLINK("https://etp-aktiv.ru/catalog/materialy/ehlektrotekhnicheskie-materialy/2000218497-V311/","Открыть позицию")</x:f>
        <x:v>Открыть позицию</x:v>
      </x:c>
    </x:row>
    <x:row r="284" ht="28" customHeight="1">
      <x:c r="A284" s="16" t="str">
        <x:v>Назаровская ГРЭС</x:v>
      </x:c>
      <x:c r="B284" s="16" t="str">
        <x:v>2000001633-V311</x:v>
      </x:c>
      <x:c r="C284" s="16" t="str">
        <x:v>Э/ЩЕТКА ЭГ-4 16*25*32</x:v>
      </x:c>
      <x:c r="D284" s="16" t="str">
        <x:v>Электрощетки</x:v>
      </x:c>
      <x:c r="E284" s="16" t="str">
        <x:v>ШТ</x:v>
      </x:c>
      <x:c r="F284" s="21" t="n">
        <x:v>50</x:v>
      </x:c>
      <x:c r="G284" s="17" t="n">
        <x:v>96.075</x:v>
      </x:c>
      <x:c r="H284" s="17" t="n">
        <x:f>G284*F284</x:f>
        <x:v>4803.75</x:v>
      </x:c>
      <x:c r="I284" s="22" t="str">
        <x:f>HYPERLINK("https://etp-aktiv.ru/catalog/materialy/ehlektrotekhnicheskie-materialy/2000001633-V311/","Открыть позицию")</x:f>
        <x:v>Открыть позицию</x:v>
      </x:c>
    </x:row>
    <x:row r="285" ht="28" customHeight="1">
      <x:c r="A285" s="16" t="str">
        <x:v>Назаровская ГРЭС</x:v>
      </x:c>
      <x:c r="B285" s="16" t="str">
        <x:v>2000551940-V311</x:v>
      </x:c>
      <x:c r="C285" s="16" t="str">
        <x:v>Э/ЩЕТКА ЭГ-71 12,5*25*32 К1-3 L=125 Д</x:v>
      </x:c>
      <x:c r="D285" s="16" t="str">
        <x:v>Электрощетки</x:v>
      </x:c>
      <x:c r="E285" s="16" t="str">
        <x:v>ШТ</x:v>
      </x:c>
      <x:c r="F285" s="21" t="n">
        <x:v>18</x:v>
      </x:c>
      <x:c r="G285" s="17" t="n">
        <x:v>32.3666</x:v>
      </x:c>
      <x:c r="H285" s="17" t="n">
        <x:f>G285*F285</x:f>
        <x:v>582.5988</x:v>
      </x:c>
      <x:c r="I285" s="22" t="str">
        <x:f>HYPERLINK("https://etp-aktiv.ru/catalog/materialy/ehlektrotekhnicheskie-materialy/2000551940-V311/","Открыть позицию")</x:f>
        <x:v>Открыть позицию</x:v>
      </x:c>
    </x:row>
    <x:row r="286" ht="28" customHeight="1">
      <x:c r="A286" s="16" t="str">
        <x:v>Назаровская ГРЭС</x:v>
      </x:c>
      <x:c r="B286" s="16" t="str">
        <x:v>2000551956-V311</x:v>
      </x:c>
      <x:c r="C286" s="16" t="str">
        <x:v>Э/ЩЕТКА ЭГ-71 16*25*32 К1-3 ПЩ 4 5Д</x:v>
      </x:c>
      <x:c r="D286" s="16" t="str">
        <x:v>Электрощетки</x:v>
      </x:c>
      <x:c r="E286" s="16" t="str">
        <x:v>ШТ</x:v>
      </x:c>
      <x:c r="F286" s="21" t="n">
        <x:v>18</x:v>
      </x:c>
      <x:c r="G286" s="17" t="n">
        <x:v>437.492</x:v>
      </x:c>
      <x:c r="H286" s="17" t="n">
        <x:f>G286*F286</x:f>
        <x:v>7874.856000000001</x:v>
      </x:c>
      <x:c r="I286" s="22" t="str">
        <x:f>HYPERLINK("https://etp-aktiv.ru/catalog/materialy/ehlektrotekhnicheskie-materialy/2000551956-V311/","Открыть позицию")</x:f>
        <x:v>Открыть позицию</x:v>
      </x:c>
    </x:row>
    <x:row r="287" ht="28" customHeight="1">
      <x:c r="A287" s="16" t="str">
        <x:v>Назаровская ГРЭС</x:v>
      </x:c>
      <x:c r="B287" s="16" t="str">
        <x:v>2000551932-V311</x:v>
      </x:c>
      <x:c r="C287" s="16" t="str">
        <x:v>Э/ЩЕТКА ЭГ4 10*12,5*32 К4-2 ПЩ-1 L=120</x:v>
      </x:c>
      <x:c r="D287" s="16" t="str">
        <x:v>Электрощетки</x:v>
      </x:c>
      <x:c r="E287" s="16" t="str">
        <x:v>ШТ</x:v>
      </x:c>
      <x:c r="F287" s="21" t="n">
        <x:v>42</x:v>
      </x:c>
      <x:c r="G287" s="17" t="n">
        <x:v>29.853399999999997</x:v>
      </x:c>
      <x:c r="H287" s="17" t="n">
        <x:f>G287*F287</x:f>
        <x:v>1253.8428</x:v>
      </x:c>
      <x:c r="I287" s="22" t="str">
        <x:f>HYPERLINK("https://etp-aktiv.ru/catalog/materialy/ehlektrotekhnicheskie-materialy/2000551932-V311/","Открыть позицию")</x:f>
        <x:v>Открыть позицию</x:v>
      </x:c>
    </x:row>
    <x:row r="288" ht="28" customHeight="1">
      <x:c r="A288" s="16" t="str">
        <x:v>Назаровская ГРЭС</x:v>
      </x:c>
      <x:c r="B288" s="16" t="str">
        <x:v>2000551941-V311</x:v>
      </x:c>
      <x:c r="C288" s="16" t="str">
        <x:v>Э/ЩЕТКА ЭГ71 12,5*25*40 К1-2 НК5 В L=125</x:v>
      </x:c>
      <x:c r="D288" s="16" t="str">
        <x:v>Электрощетки</x:v>
      </x:c>
      <x:c r="E288" s="16" t="str">
        <x:v>ШТ</x:v>
      </x:c>
      <x:c r="F288" s="21" t="n">
        <x:v>20</x:v>
      </x:c>
      <x:c r="G288" s="17" t="n">
        <x:v>35.7948</x:v>
      </x:c>
      <x:c r="H288" s="17" t="n">
        <x:f>G288*F288</x:f>
        <x:v>715.8960000000001</x:v>
      </x:c>
      <x:c r="I288" s="22" t="str">
        <x:f>HYPERLINK("https://etp-aktiv.ru/catalog/materialy/ehlektrotekhnicheskie-materialy/2000551941-V311/","Открыть позицию")</x:f>
        <x:v>Открыть позицию</x:v>
      </x:c>
    </x:row>
    <x:row r="289" ht="28" customHeight="1">
      <x:c r="A289" s="16" t="str">
        <x:v>Назаровская ГРЭС</x:v>
      </x:c>
      <x:c r="B289" s="16" t="str">
        <x:v>2000550137-V311</x:v>
      </x:c>
      <x:c r="C289" s="16" t="str">
        <x:v>ЭЛЕКТРОМАГНИТ КМП-4А У3 220В ПВ 40%</x:v>
      </x:c>
      <x:c r="D289" s="16" t="str">
        <x:v>Проч э/технич мат-лы</x:v>
      </x:c>
      <x:c r="E289" s="16" t="str">
        <x:v>ШТ</x:v>
      </x:c>
      <x:c r="F289" s="21" t="n">
        <x:v>2</x:v>
      </x:c>
      <x:c r="G289" s="17" t="n">
        <x:v>28362.986999999997</x:v>
      </x:c>
      <x:c r="H289" s="17" t="n">
        <x:f>G289*F289</x:f>
        <x:v>56725.973999999995</x:v>
      </x:c>
      <x:c r="I289" s="22" t="str">
        <x:f>HYPERLINK("https://etp-aktiv.ru/catalog/materialy/ehlektrotekhnicheskie-materialy/2000550137-V311/","Открыть позицию")</x:f>
        <x:v>Открыть позицию</x:v>
      </x:c>
    </x:row>
    <x:row r="290" ht="28" customHeight="1">
      <x:c r="A290" s="16" t="str">
        <x:v>Назаровская ГРЭС</x:v>
      </x:c>
      <x:c r="B290" s="16" t="str">
        <x:v>2000586389-V311</x:v>
      </x:c>
      <x:c r="C290" s="16" t="str">
        <x:v>ЭЛЕКТРОПРИВОД BF-CMTA-1000-Т</x:v>
      </x:c>
      <x:c r="D290" s="16" t="str">
        <x:v>ЗЧ КИПиА</x:v>
      </x:c>
      <x:c r="E290" s="16" t="str">
        <x:v>ШТ</x:v>
      </x:c>
      <x:c r="F290" s="21" t="n">
        <x:v>2</x:v>
      </x:c>
      <x:c r="G290" s="17" t="n">
        <x:v>21623.9266</x:v>
      </x:c>
      <x:c r="H290" s="17" t="n">
        <x:f>G290*F290</x:f>
        <x:v>43247.8532</x:v>
      </x:c>
      <x:c r="I290" s="22" t="str">
        <x:f>HYPERLINK("https://etp-aktiv.ru/catalog/materialy/zapasnye-chasti-i-prinadlezhnosti-dlya-priborov-kipia/2000586389-V311/","Открыть позицию")</x:f>
        <x:v>Открыть позицию</x:v>
      </x:c>
    </x:row>
    <x:row r="291" ht="28" customHeight="1">
      <x:c r="A291" s="16" t="str">
        <x:v>Назаровская ГРЭС</x:v>
      </x:c>
      <x:c r="B291" s="16" t="str">
        <x:v>2000586388-V311</x:v>
      </x:c>
      <x:c r="C291" s="16" t="str">
        <x:v>ЭЛЕКТРОПРИВОД BF-CMTA-630</x:v>
      </x:c>
      <x:c r="D291" s="16" t="str">
        <x:v>ЗЧ КИПиА</x:v>
      </x:c>
      <x:c r="E291" s="16" t="str">
        <x:v>ШТ</x:v>
      </x:c>
      <x:c r="F291" s="21" t="n">
        <x:v>2</x:v>
      </x:c>
      <x:c r="G291" s="17" t="n">
        <x:v>19347.735999999997</x:v>
      </x:c>
      <x:c r="H291" s="17" t="n">
        <x:f>G291*F291</x:f>
        <x:v>38695.471999999994</x:v>
      </x:c>
      <x:c r="I291" s="22" t="str">
        <x:f>HYPERLINK("https://etp-aktiv.ru/catalog/materialy/zapasnye-chasti-i-prinadlezhnosti-dlya-priborov-kipia/2000586388-V311/","Открыть позицию")</x:f>
        <x:v>Открыть позицию</x:v>
      </x:c>
    </x:row>
    <x:row r="292" ht="28" customHeight="1">
      <x:c r="A292" s="16" t="str">
        <x:v>Назаровская ГРЭС</x:v>
      </x:c>
      <x:c r="B292" s="16" t="str">
        <x:v>2000384955-V311</x:v>
      </x:c>
      <x:c r="C292" s="16" t="str">
        <x:v>ЭЛЕМЕНТ ПИТАНИЯ CAMELION 1557 LR1130 BL</x:v>
      </x:c>
      <x:c r="D292" s="16" t="str">
        <x:v>ЭлемПитИмп,спец,зкз</x:v>
      </x:c>
      <x:c r="E292" s="16" t="str">
        <x:v>ШТ</x:v>
      </x:c>
      <x:c r="F292" s="21" t="n">
        <x:v>8</x:v>
      </x:c>
      <x:c r="G292" s="17" t="n">
        <x:v>13.115</x:v>
      </x:c>
      <x:c r="H292" s="17" t="n">
        <x:f>G292*F292</x:f>
        <x:v>104.92</x:v>
      </x:c>
      <x:c r="I292" s="22" t="str">
        <x:f>HYPERLINK("https://etp-aktiv.ru/catalog/materialy/akkumulyatory/2000384955-V311/","Открыть позицию")</x:f>
        <x:v>Открыть позицию</x:v>
      </x:c>
    </x:row>
    <x:row r="293" ht="28" customHeight="1">
      <x:c r="A293" s="16" t="str">
        <x:v>Назаровская ГРЭС</x:v>
      </x:c>
      <x:c r="B293" s="16" t="str">
        <x:v>2000571375-V311</x:v>
      </x:c>
      <x:c r="C293" s="16" t="str">
        <x:v>ЭЛЕМЕНТ ПИТАНИЯ GP SUPER 27A/MN27 12В</x:v>
      </x:c>
      <x:c r="D293" s="16" t="str">
        <x:v>Элементы питания</x:v>
      </x:c>
      <x:c r="E293" s="16" t="str">
        <x:v>ШТ</x:v>
      </x:c>
      <x:c r="F293" s="21" t="n">
        <x:v>10</x:v>
      </x:c>
      <x:c r="G293" s="17" t="n">
        <x:v>32.5984</x:v>
      </x:c>
      <x:c r="H293" s="17" t="n">
        <x:f>G293*F293</x:f>
        <x:v>325.984</x:v>
      </x:c>
      <x:c r="I293" s="22" t="str">
        <x:f>HYPERLINK("https://etp-aktiv.ru/catalog/materialy/akkumulyatory/2000571375-V311/","Открыть позицию")</x:f>
        <x:v>Открыть позицию</x:v>
      </x:c>
    </x:row>
    <x:row r="294" ht="28" customHeight="1">
      <x:c r="A294" s="16" t="str">
        <x:v>Назаровская ГРЭС</x:v>
      </x:c>
      <x:c r="B294" s="16" t="str">
        <x:v>2000550033-V311</x:v>
      </x:c>
      <x:c r="C294" s="16" t="str">
        <x:v>ЭЛЕМЕНТ ПИТАНИЯ КОСМОС 3R12 4,5В</x:v>
      </x:c>
      <x:c r="D294" s="16" t="str">
        <x:v>Элементы питания</x:v>
      </x:c>
      <x:c r="E294" s="16" t="str">
        <x:v>ШТ</x:v>
      </x:c>
      <x:c r="F294" s="21" t="n">
        <x:v>10</x:v>
      </x:c>
      <x:c r="G294" s="17" t="n">
        <x:v>41.5776</x:v>
      </x:c>
      <x:c r="H294" s="17" t="n">
        <x:f>G294*F294</x:f>
        <x:v>415.77599999999995</x:v>
      </x:c>
      <x:c r="I294" s="22" t="str">
        <x:f>HYPERLINK("https://etp-aktiv.ru/catalog/materialy/akkumulyatory/2000550033-V311/","Открыть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6ef6a24762c4244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МРО, механическое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Канская ТЭЦ</x:v>
      </x:c>
      <x:c r="B5" s="16" t="str">
        <x:v>2000183307-V141</x:v>
      </x:c>
      <x:c r="C5" s="16" t="str">
        <x:v>ПОДШИПНИК 32308</x:v>
      </x:c>
      <x:c r="D5" s="16" t="str">
        <x:v>Подшипники</x:v>
      </x:c>
      <x:c r="E5" s="16" t="str">
        <x:v>ШТ</x:v>
      </x:c>
      <x:c r="F5" s="21" t="n">
        <x:v>2</x:v>
      </x:c>
      <x:c r="G5" s="17" t="n">
        <x:v>228.1888</x:v>
      </x:c>
      <x:c r="H5" s="17" t="n">
        <x:f>G5*F5</x:f>
        <x:v>456.3776</x:v>
      </x:c>
      <x:c r="I5" s="22" t="str">
        <x:f>HYPERLINK("https://etp-aktiv.ru/catalog/materialy/podshipniki/2000183307-V141/","Открыть позицию")</x:f>
        <x:v>Открыть позицию</x:v>
      </x:c>
    </x:row>
    <x:row r="6" ht="28" customHeight="1">
      <x:c r="A6" s="16" t="str">
        <x:v>Канская ТЭЦ</x:v>
      </x:c>
      <x:c r="B6" s="16" t="str">
        <x:v>2000116602-V141</x:v>
      </x:c>
      <x:c r="C6" s="16" t="str">
        <x:v>ПОДШИПНИК 70-32612</x:v>
      </x:c>
      <x:c r="D6" s="16" t="str">
        <x:v>Подшипники</x:v>
      </x:c>
      <x:c r="E6" s="16" t="str">
        <x:v>ШТ</x:v>
      </x:c>
      <x:c r="F6" s="21" t="n">
        <x:v>1</x:v>
      </x:c>
      <x:c r="G6" s="17" t="n">
        <x:v>931.7262000000001</x:v>
      </x:c>
      <x:c r="H6" s="17" t="n">
        <x:f>G6*F6</x:f>
        <x:v>931.7262000000001</x:v>
      </x:c>
      <x:c r="I6" s="22" t="str">
        <x:f>HYPERLINK("https://etp-aktiv.ru/catalog/materialy/podshipniki/2000116602-V141/","Открыть позицию")</x:f>
        <x:v>Открыть позицию</x:v>
      </x:c>
    </x:row>
    <x:row r="7" ht="28" customHeight="1">
      <x:c r="A7" s="16" t="str">
        <x:v>КрасТЭК</x:v>
      </x:c>
      <x:c r="B7" s="16" t="str">
        <x:v>5000129861-VG11</x:v>
      </x:c>
      <x:c r="C7" s="16" t="str">
        <x:v>ВЕНТИЛЯТОР ВР 280-46 N2 ЛЕВ АИР80А2</x:v>
      </x:c>
      <x:c r="D7" s="16" t="str">
        <x:v>Вентиляцион оборуд</x:v>
      </x:c>
      <x:c r="E7" s="16" t="str">
        <x:v>ШТ</x:v>
      </x:c>
      <x:c r="F7" s="21" t="n">
        <x:v>1</x:v>
      </x:c>
      <x:c r="G7" s="17" t="n">
        <x:v>6756.701599999999</x:v>
      </x:c>
      <x:c r="H7" s="17" t="n">
        <x:f>G7*F7</x:f>
        <x:v>6756.701599999999</x:v>
      </x:c>
      <x:c r="I7" s="22" t="str">
        <x:f>HYPERLINK("https://etp-aktiv.ru/catalog/materialy/zapasnye-chasti-promyshlennogo-oborudovaniya/5000129861-VG11/","Открыть позицию")</x:f>
        <x:v>Открыть позицию</x:v>
      </x:c>
    </x:row>
    <x:row r="8" ht="28" customHeight="1">
      <x:c r="A8" s="16" t="str">
        <x:v>КрасТЭК</x:v>
      </x:c>
      <x:c r="B8" s="16" t="str">
        <x:v>2000894640-VG11</x:v>
      </x:c>
      <x:c r="C8" s="16" t="str">
        <x:v>ТАЛРЕП ВИЛКА-ВИЛКА М30</x:v>
      </x:c>
      <x:c r="D8" s="16" t="str">
        <x:v>ЗЧ грузоподъемн обор</x:v>
      </x:c>
      <x:c r="E8" s="16" t="str">
        <x:v>ШТ</x:v>
      </x:c>
      <x:c r="F8" s="21" t="n">
        <x:v>3</x:v>
      </x:c>
      <x:c r="G8" s="17" t="n">
        <x:v>1545.7034</x:v>
      </x:c>
      <x:c r="H8" s="17" t="n">
        <x:f>G8*F8</x:f>
        <x:v>4637.1102</x:v>
      </x:c>
      <x:c r="I8" s="22" t="str">
        <x:f>HYPERLINK("https://etp-aktiv.ru/catalog/materialy/zapasnye-chasti-k-gruzopodemnoj-tekhnike-oborudovaniyu-i-mekhanizmam/2000894640-VG11/","Открыть позицию")</x:f>
        <x:v>Открыть позицию</x:v>
      </x:c>
    </x:row>
    <x:row r="9" ht="28" customHeight="1">
      <x:c r="A9" s="16" t="str">
        <x:v>Красноярская ГРЭС-2</x:v>
      </x:c>
      <x:c r="B9" s="16" t="str">
        <x:v>2000641722-V116</x:v>
      </x:c>
      <x:c r="C9" s="16" t="str">
        <x:v>БАРАБАН 18.13.110.03</x:v>
      </x:c>
      <x:c r="D9" s="16" t="str">
        <x:v>@ЗЧ насосов</x:v>
      </x:c>
      <x:c r="E9" s="16" t="str">
        <x:v>ШТ</x:v>
      </x:c>
      <x:c r="F9" s="21" t="n">
        <x:v>3</x:v>
      </x:c>
      <x:c r="G9" s="17" t="n">
        <x:v>7109.4036</x:v>
      </x:c>
      <x:c r="H9" s="17" t="n">
        <x:f>G9*F9</x:f>
        <x:v>21328.2108</x:v>
      </x:c>
      <x:c r="I9" s="22" t="str">
        <x:f>HYPERLINK("https://etp-aktiv.ru/catalog/materialy/zapasnye-chasti-promyshlennogo-oborudovaniya/2000641722-V116/","Открыть позицию")</x:f>
        <x:v>Открыть позицию</x:v>
      </x:c>
    </x:row>
    <x:row r="10" ht="28" customHeight="1">
      <x:c r="A10" s="16" t="str">
        <x:v>Красноярская ГРЭС-2</x:v>
      </x:c>
      <x:c r="B10" s="16" t="str">
        <x:v>2000472140-V116</x:v>
      </x:c>
      <x:c r="C10" s="16" t="str">
        <x:v>БОРФРЕЗА 8ММ FORMAT 81306002</x:v>
      </x:c>
      <x:c r="D10" s="16" t="str">
        <x:v>Инструмент и спецосн</x:v>
      </x:c>
      <x:c r="E10" s="16" t="str">
        <x:v>ШТ</x:v>
      </x:c>
      <x:c r="F10" s="21" t="n">
        <x:v>2</x:v>
      </x:c>
      <x:c r="G10" s="17" t="n">
        <x:v>379.4932</x:v>
      </x:c>
      <x:c r="H10" s="17" t="n">
        <x:f>G10*F10</x:f>
        <x:v>758.9864</x:v>
      </x:c>
      <x:c r="I10" s="22" t="str">
        <x:f>HYPERLINK("https://etp-aktiv.ru/catalog/materialy/instrument-i-specosnastka/2000472140-V116/","Открыть позицию")</x:f>
        <x:v>Открыть позицию</x:v>
      </x:c>
    </x:row>
    <x:row r="11" ht="28" customHeight="1">
      <x:c r="A11" s="16" t="str">
        <x:v>Красноярская ГРЭС-2</x:v>
      </x:c>
      <x:c r="B11" s="16" t="str">
        <x:v>2000544305-V116</x:v>
      </x:c>
      <x:c r="C11" s="16" t="str">
        <x:v>БУМАГА ШЛИФ 230*280 П10 ЗЕРНО 240</x:v>
      </x:c>
      <x:c r="D11" s="16" t="str">
        <x:v>Инструмент и спецосн</x:v>
      </x:c>
      <x:c r="E11" s="16" t="str">
        <x:v>ШТ</x:v>
      </x:c>
      <x:c r="F11" s="21" t="n">
        <x:v>15</x:v>
      </x:c>
      <x:c r="G11" s="17" t="n">
        <x:v>42.882999999999996</x:v>
      </x:c>
      <x:c r="H11" s="17" t="n">
        <x:f>G11*F11</x:f>
        <x:v>643.2449999999999</x:v>
      </x:c>
      <x:c r="I11" s="22" t="str">
        <x:f>HYPERLINK("https://etp-aktiv.ru/catalog/materialy/instrument-i-specosnastka/2000544305-V116/","Открыть позицию")</x:f>
        <x:v>Открыть позицию</x:v>
      </x:c>
    </x:row>
    <x:row r="12" ht="28" customHeight="1">
      <x:c r="A12" s="16" t="str">
        <x:v>Красноярская ГРЭС-2</x:v>
      </x:c>
      <x:c r="B12" s="16" t="str">
        <x:v>2000643265-V116</x:v>
      </x:c>
      <x:c r="C12" s="16" t="str">
        <x:v>КАНАТ 22-Г-1-ОЖ-Л-О-Н-1770 Г 7668-80</x:v>
      </x:c>
      <x:c r="D12" s="16" t="str">
        <x:v>Канаты стальные</x:v>
      </x:c>
      <x:c r="E12" s="16" t="str">
        <x:v>М</x:v>
      </x:c>
      <x:c r="F12" s="21" t="n">
        <x:v>50</x:v>
      </x:c>
      <x:c r="G12" s="17" t="n">
        <x:v>68.75919999999999</x:v>
      </x:c>
      <x:c r="H12" s="17" t="n">
        <x:f>G12*F12</x:f>
        <x:v>3437.9599999999996</x:v>
      </x:c>
      <x:c r="I12" s="22" t="str">
        <x:f>HYPERLINK("https://etp-aktiv.ru/catalog/materialy/metizy/2000643265-V116/","Открыть позицию")</x:f>
        <x:v>Открыть позицию</x:v>
      </x:c>
    </x:row>
    <x:row r="13" ht="28" customHeight="1">
      <x:c r="A13" s="16" t="str">
        <x:v>Красноярская ГРЭС-2</x:v>
      </x:c>
      <x:c r="B13" s="16" t="str">
        <x:v>2000643836-V116</x:v>
      </x:c>
      <x:c r="C13" s="16" t="str">
        <x:v>КМП ЗИП К ГР.-М.23201.01.075.1003.1</x:v>
      </x:c>
      <x:c r="D13" s="16" t="str">
        <x:v>@ЗЧ насосов</x:v>
      </x:c>
      <x:c r="E13" s="16" t="str">
        <x:v>КМП</x:v>
      </x:c>
      <x:c r="F13" s="21" t="n">
        <x:v>1</x:v>
      </x:c>
      <x:c r="G13" s="17" t="n">
        <x:v>43805.1248</x:v>
      </x:c>
      <x:c r="H13" s="17" t="n">
        <x:f>G13*F13</x:f>
        <x:v>43805.1248</x:v>
      </x:c>
      <x:c r="I13" s="22" t="str">
        <x:f>HYPERLINK("https://etp-aktiv.ru/catalog/materialy/zapasnye-chasti-promyshlennogo-oborudovaniya/2000643836-V116/","Открыть позицию")</x:f>
        <x:v>Открыть позицию</x:v>
      </x:c>
    </x:row>
    <x:row r="14" ht="28" customHeight="1">
      <x:c r="A14" s="16" t="str">
        <x:v>Красноярская ГРЭС-2</x:v>
      </x:c>
      <x:c r="B14" s="16" t="str">
        <x:v>2000643680-V116</x:v>
      </x:c>
      <x:c r="C14" s="16" t="str">
        <x:v>КОЛЕСО 819.08.14.10-01</x:v>
      </x:c>
      <x:c r="D14" s="16" t="str">
        <x:v>@ЗЧ насосов</x:v>
      </x:c>
      <x:c r="E14" s="16" t="str">
        <x:v>ШТ</x:v>
      </x:c>
      <x:c r="F14" s="21" t="n">
        <x:v>1</x:v>
      </x:c>
      <x:c r="G14" s="17" t="n">
        <x:v>27373.6524</x:v>
      </x:c>
      <x:c r="H14" s="17" t="n">
        <x:f>G14*F14</x:f>
        <x:v>27373.6524</x:v>
      </x:c>
      <x:c r="I14" s="22" t="str">
        <x:f>HYPERLINK("https://etp-aktiv.ru/catalog/materialy/zapasnye-chasti-promyshlennogo-oborudovaniya/2000643680-V116/","Открыть позицию")</x:f>
        <x:v>Открыть позицию</x:v>
      </x:c>
    </x:row>
    <x:row r="15" ht="28" customHeight="1">
      <x:c r="A15" s="16" t="str">
        <x:v>Красноярская ГРЭС-2</x:v>
      </x:c>
      <x:c r="B15" s="16" t="str">
        <x:v>2000643681-V116</x:v>
      </x:c>
      <x:c r="C15" s="16" t="str">
        <x:v>КОЛЕСО 81908.1410</x:v>
      </x:c>
      <x:c r="D15" s="16" t="str">
        <x:v>@ЗЧ насосов</x:v>
      </x:c>
      <x:c r="E15" s="16" t="str">
        <x:v>ШТ</x:v>
      </x:c>
      <x:c r="F15" s="21" t="n">
        <x:v>1</x:v>
      </x:c>
      <x:c r="G15" s="17" t="n">
        <x:v>27373.6524</x:v>
      </x:c>
      <x:c r="H15" s="17" t="n">
        <x:f>G15*F15</x:f>
        <x:v>27373.6524</x:v>
      </x:c>
      <x:c r="I15" s="22" t="str">
        <x:f>HYPERLINK("https://etp-aktiv.ru/catalog/materialy/zapasnye-chasti-promyshlennogo-oborudovaniya/2000643681-V116/","Открыть позицию")</x:f>
        <x:v>Открыть позицию</x:v>
      </x:c>
    </x:row>
    <x:row r="16" ht="28" customHeight="1">
      <x:c r="A16" s="16" t="str">
        <x:v>Красноярская ГРЭС-2</x:v>
      </x:c>
      <x:c r="B16" s="16" t="str">
        <x:v>2000643999-V116</x:v>
      </x:c>
      <x:c r="C16" s="16" t="str">
        <x:v>КОРПУС ПОДШИПНИКА Н18.118.10.01</x:v>
      </x:c>
      <x:c r="D16" s="16" t="str">
        <x:v>@ЗЧ насосов</x:v>
      </x:c>
      <x:c r="E16" s="16" t="str">
        <x:v>ШТ</x:v>
      </x:c>
      <x:c r="F16" s="21" t="n">
        <x:v>2</x:v>
      </x:c>
      <x:c r="G16" s="17" t="n">
        <x:v>2202.3928</x:v>
      </x:c>
      <x:c r="H16" s="17" t="n">
        <x:f>G16*F16</x:f>
        <x:v>4404.7856</x:v>
      </x:c>
      <x:c r="I16" s="22" t="str">
        <x:f>HYPERLINK("https://etp-aktiv.ru/catalog/materialy/zapasnye-chasti-promyshlennogo-oborudovaniya/2000643999-V116/","Открыть позицию")</x:f>
        <x:v>Открыть позицию</x:v>
      </x:c>
    </x:row>
    <x:row r="17" ht="28" customHeight="1">
      <x:c r="A17" s="16" t="str">
        <x:v>Красноярская ГРЭС-2</x:v>
      </x:c>
      <x:c r="B17" s="16" t="str">
        <x:v>2000644277-V116</x:v>
      </x:c>
      <x:c r="C17" s="16" t="str">
        <x:v>КРУГ 1 150Х25Х32 25А 40СТ 40 М/С 16КБ2</x:v>
      </x:c>
      <x:c r="D17" s="16" t="str">
        <x:v>Инструмент и спецосн</x:v>
      </x:c>
      <x:c r="E17" s="16" t="str">
        <x:v>ШТ</x:v>
      </x:c>
      <x:c r="F17" s="21" t="n">
        <x:v>6</x:v>
      </x:c>
      <x:c r="G17" s="17" t="n">
        <x:v>74.4322</x:v>
      </x:c>
      <x:c r="H17" s="17" t="n">
        <x:f>G17*F17</x:f>
        <x:v>446.59319999999997</x:v>
      </x:c>
      <x:c r="I17" s="22" t="str">
        <x:f>HYPERLINK("https://etp-aktiv.ru/catalog/materialy/instrument-i-specosnastka/2000644277-V116/","Открыть позицию")</x:f>
        <x:v>Открыть позицию</x:v>
      </x:c>
    </x:row>
    <x:row r="18" ht="28" customHeight="1">
      <x:c r="A18" s="16" t="str">
        <x:v>Красноярская ГРЭС-2</x:v>
      </x:c>
      <x:c r="B18" s="16" t="str">
        <x:v>2000644285-V116</x:v>
      </x:c>
      <x:c r="C18" s="16" t="str">
        <x:v>КРУГ 1 400Х3Х32 14А 40 СМ Г Р 52781-07</x:v>
      </x:c>
      <x:c r="D18" s="16" t="str">
        <x:v>Инструмент и спецосн</x:v>
      </x:c>
      <x:c r="E18" s="16" t="str">
        <x:v>ШТ</x:v>
      </x:c>
      <x:c r="F18" s="21" t="n">
        <x:v>4</x:v>
      </x:c>
      <x:c r="G18" s="17" t="n">
        <x:v>139.4338</x:v>
      </x:c>
      <x:c r="H18" s="17" t="n">
        <x:f>G18*F18</x:f>
        <x:v>557.7352</x:v>
      </x:c>
      <x:c r="I18" s="22" t="str">
        <x:f>HYPERLINK("https://etp-aktiv.ru/catalog/materialy/instrument-i-specosnastka/2000644285-V116/","Открыть позицию")</x:f>
        <x:v>Открыть позицию</x:v>
      </x:c>
    </x:row>
    <x:row r="19" ht="28" customHeight="1">
      <x:c r="A19" s="16" t="str">
        <x:v>Красноярская ГРЭС-2</x:v>
      </x:c>
      <x:c r="B19" s="16" t="str">
        <x:v>2000644290-V116</x:v>
      </x:c>
      <x:c r="C19" s="16" t="str">
        <x:v>КРУГ 1 400Х4Х32 25А 25 СМ Г Р 52781-07</x:v>
      </x:c>
      <x:c r="D19" s="16" t="str">
        <x:v>Инструмент и спецосн</x:v>
      </x:c>
      <x:c r="E19" s="16" t="str">
        <x:v>ШТ</x:v>
      </x:c>
      <x:c r="F19" s="21" t="n">
        <x:v>4</x:v>
      </x:c>
      <x:c r="G19" s="17" t="n">
        <x:v>134.261</x:v>
      </x:c>
      <x:c r="H19" s="17" t="n">
        <x:f>G19*F19</x:f>
        <x:v>537.044</x:v>
      </x:c>
      <x:c r="I19" s="22" t="str">
        <x:f>HYPERLINK("https://etp-aktiv.ru/catalog/materialy/instrument-i-specosnastka/2000644290-V116/","Открыть позицию")</x:f>
        <x:v>Открыть позицию</x:v>
      </x:c>
    </x:row>
    <x:row r="20" ht="28" customHeight="1">
      <x:c r="A20" s="16" t="str">
        <x:v>Красноярская ГРЭС-2</x:v>
      </x:c>
      <x:c r="B20" s="16" t="str">
        <x:v>2000644420-V116</x:v>
      </x:c>
      <x:c r="C20" s="16" t="str">
        <x:v>КРУГ 1(ПП)150*20*32 14А F30 K7B35М/С 1КЛ</x:v>
      </x:c>
      <x:c r="D20" s="16" t="str">
        <x:v>Инструмент и спецосн</x:v>
      </x:c>
      <x:c r="E20" s="16" t="str">
        <x:v>ШТ</x:v>
      </x:c>
      <x:c r="F20" s="21" t="n">
        <x:v>282</x:v>
      </x:c>
      <x:c r="G20" s="17" t="n">
        <x:v>49.775999999999996</x:v>
      </x:c>
      <x:c r="H20" s="17" t="n">
        <x:f>G20*F20</x:f>
        <x:v>14036.831999999999</x:v>
      </x:c>
      <x:c r="I20" s="22" t="str">
        <x:f>HYPERLINK("https://etp-aktiv.ru/catalog/materialy/instrument-i-specosnastka/2000644420-V116/","Открыть позицию")</x:f>
        <x:v>Открыть позицию</x:v>
      </x:c>
    </x:row>
    <x:row r="21" ht="28" customHeight="1">
      <x:c r="A21" s="16" t="str">
        <x:v>Красноярская ГРЭС-2</x:v>
      </x:c>
      <x:c r="B21" s="16" t="str">
        <x:v>2000644272-V116</x:v>
      </x:c>
      <x:c r="C21" s="16" t="str">
        <x:v>КРУГ 1-125*20*32 25А 25СМ</x:v>
      </x:c>
      <x:c r="D21" s="16" t="str">
        <x:v>Инструмент и спецосн</x:v>
      </x:c>
      <x:c r="E21" s="16" t="str">
        <x:v>ШТ</x:v>
      </x:c>
      <x:c r="F21" s="21" t="n">
        <x:v>191</x:v>
      </x:c>
      <x:c r="G21" s="17" t="n">
        <x:v>77.48219999999999</x:v>
      </x:c>
      <x:c r="H21" s="17" t="n">
        <x:f>G21*F21</x:f>
        <x:v>14799.100199999999</x:v>
      </x:c>
      <x:c r="I21" s="22" t="str">
        <x:f>HYPERLINK("https://etp-aktiv.ru/catalog/materialy/instrument-i-specosnastka/2000644272-V116/","Открыть позицию")</x:f>
        <x:v>Открыть позицию</x:v>
      </x:c>
    </x:row>
    <x:row r="22" ht="28" customHeight="1">
      <x:c r="A22" s="16" t="str">
        <x:v>Красноярская ГРЭС-2</x:v>
      </x:c>
      <x:c r="B22" s="16" t="str">
        <x:v>2000644274-V116</x:v>
      </x:c>
      <x:c r="C22" s="16" t="str">
        <x:v>КРУГ 1-150*20*32 25А F60 K 6V 40М/С 2КЛ</x:v>
      </x:c>
      <x:c r="D22" s="16" t="str">
        <x:v>Инструмент и спецосн</x:v>
      </x:c>
      <x:c r="E22" s="16" t="str">
        <x:v>ШТ</x:v>
      </x:c>
      <x:c r="F22" s="21" t="n">
        <x:v>98</x:v>
      </x:c>
      <x:c r="G22" s="17" t="n">
        <x:v>79.55619999999999</x:v>
      </x:c>
      <x:c r="H22" s="17" t="n">
        <x:f>G22*F22</x:f>
        <x:v>7796.507599999999</x:v>
      </x:c>
      <x:c r="I22" s="22" t="str">
        <x:f>HYPERLINK("https://etp-aktiv.ru/catalog/materialy/instrument-i-specosnastka/2000644274-V116/","Открыть позицию")</x:f>
        <x:v>Открыть позицию</x:v>
      </x:c>
    </x:row>
    <x:row r="23" ht="28" customHeight="1">
      <x:c r="A23" s="16" t="str">
        <x:v>Красноярская ГРЭС-2</x:v>
      </x:c>
      <x:c r="B23" s="16" t="str">
        <x:v>2000644292-V116</x:v>
      </x:c>
      <x:c r="C23" s="16" t="str">
        <x:v>КРУГ 1-63*20*20 63С 40C СМ V 35М/С 1КЛ</x:v>
      </x:c>
      <x:c r="D23" s="16" t="str">
        <x:v>Инструмент и спецосн</x:v>
      </x:c>
      <x:c r="E23" s="16" t="str">
        <x:v>ШТ</x:v>
      </x:c>
      <x:c r="F23" s="21" t="n">
        <x:v>891</x:v>
      </x:c>
      <x:c r="G23" s="17" t="n">
        <x:v>28.645599999999998</x:v>
      </x:c>
      <x:c r="H23" s="17" t="n">
        <x:f>G23*F23</x:f>
        <x:v>25523.2296</x:v>
      </x:c>
      <x:c r="I23" s="22" t="str">
        <x:f>HYPERLINK("https://etp-aktiv.ru/catalog/materialy/instrument-i-specosnastka/2000644292-V116/","Открыть позицию")</x:f>
        <x:v>Открыть позицию</x:v>
      </x:c>
    </x:row>
    <x:row r="24" ht="28" customHeight="1">
      <x:c r="A24" s="16" t="str">
        <x:v>Красноярская ГРЭС-2</x:v>
      </x:c>
      <x:c r="B24" s="16" t="str">
        <x:v>2000652768-V116</x:v>
      </x:c>
      <x:c r="C24" s="16" t="str">
        <x:v>КРУГ 150*30*32 КЛ 14А 40Н Б</x:v>
      </x:c>
      <x:c r="D24" s="16" t="str">
        <x:v>Инструмент и спецосн</x:v>
      </x:c>
      <x:c r="E24" s="16" t="str">
        <x:v>ШТ</x:v>
      </x:c>
      <x:c r="F24" s="21" t="n">
        <x:v>15</x:v>
      </x:c>
      <x:c r="G24" s="17" t="n">
        <x:v>255.3826</x:v>
      </x:c>
      <x:c r="H24" s="17" t="n">
        <x:f>G24*F24</x:f>
        <x:v>3830.739</x:v>
      </x:c>
      <x:c r="I24" s="22" t="str">
        <x:f>HYPERLINK("https://etp-aktiv.ru/catalog/materialy/instrument-i-specosnastka/2000652768-V116/","Открыть позицию")</x:f>
        <x:v>Открыть позицию</x:v>
      </x:c>
    </x:row>
    <x:row r="25" ht="28" customHeight="1">
      <x:c r="A25" s="16" t="str">
        <x:v>Красноярская ГРЭС-2</x:v>
      </x:c>
      <x:c r="B25" s="16" t="str">
        <x:v>2000644297-V116</x:v>
      </x:c>
      <x:c r="C25" s="16" t="str">
        <x:v>КРУГ 26 Г 21963-2002</x:v>
      </x:c>
      <x:c r="D25" s="16" t="str">
        <x:v>Инструмент и спецосн</x:v>
      </x:c>
      <x:c r="E25" s="16" t="str">
        <x:v>ШТ</x:v>
      </x:c>
      <x:c r="F25" s="21" t="n">
        <x:v>4</x:v>
      </x:c>
      <x:c r="G25" s="17" t="n">
        <x:v>24.2902</x:v>
      </x:c>
      <x:c r="H25" s="17" t="n">
        <x:f>G25*F25</x:f>
        <x:v>97.1608</x:v>
      </x:c>
      <x:c r="I25" s="22" t="str">
        <x:f>HYPERLINK("https://etp-aktiv.ru/catalog/materialy/instrument-i-specosnastka/2000644297-V116/","Открыть позицию")</x:f>
        <x:v>Открыть позицию</x:v>
      </x:c>
    </x:row>
    <x:row r="26" ht="28" customHeight="1">
      <x:c r="A26" s="16" t="str">
        <x:v>Красноярская ГРЭС-2</x:v>
      </x:c>
      <x:c r="B26" s="16" t="str">
        <x:v>2000211516-V116</x:v>
      </x:c>
      <x:c r="C26" s="16" t="str">
        <x:v>КРУГ АБРАЗИВНЫЙ 250*40*76 25А</x:v>
      </x:c>
      <x:c r="D26" s="16" t="str">
        <x:v>Инструмент и спецосн</x:v>
      </x:c>
      <x:c r="E26" s="16" t="str">
        <x:v>ШТ</x:v>
      </x:c>
      <x:c r="F26" s="21" t="n">
        <x:v>12</x:v>
      </x:c>
      <x:c r="G26" s="17" t="n">
        <x:v>360.327</x:v>
      </x:c>
      <x:c r="H26" s="17" t="n">
        <x:f>G26*F26</x:f>
        <x:v>4323.924</x:v>
      </x:c>
      <x:c r="I26" s="22" t="str">
        <x:f>HYPERLINK("https://etp-aktiv.ru/catalog/materialy/instrument-i-specosnastka/2000211516-V116/","Открыть позицию")</x:f>
        <x:v>Открыть позицию</x:v>
      </x:c>
    </x:row>
    <x:row r="27" ht="28" customHeight="1">
      <x:c r="A27" s="16" t="str">
        <x:v>Красноярская ГРЭС-2</x:v>
      </x:c>
      <x:c r="B27" s="16" t="str">
        <x:v>2000544085-V116</x:v>
      </x:c>
      <x:c r="C27" s="16" t="str">
        <x:v>КРУГ ОТР 41 180*3*22,23 А24 S BF 80 2</x:v>
      </x:c>
      <x:c r="D27" s="16" t="str">
        <x:v>Инструмент и спецосн</x:v>
      </x:c>
      <x:c r="E27" s="16" t="str">
        <x:v>ШТ</x:v>
      </x:c>
      <x:c r="F27" s="21" t="n">
        <x:v>151</x:v>
      </x:c>
      <x:c r="G27" s="17" t="n">
        <x:v>19.3492</x:v>
      </x:c>
      <x:c r="H27" s="17" t="n">
        <x:f>G27*F27</x:f>
        <x:v>2921.7291999999998</x:v>
      </x:c>
      <x:c r="I27" s="22" t="str">
        <x:f>HYPERLINK("https://etp-aktiv.ru/catalog/materialy/instrument-i-specosnastka/2000544085-V116/","Открыть позицию")</x:f>
        <x:v>Открыть позицию</x:v>
      </x:c>
    </x:row>
    <x:row r="28" ht="28" customHeight="1">
      <x:c r="A28" s="16" t="str">
        <x:v>Красноярская ГРЭС-2</x:v>
      </x:c>
      <x:c r="B28" s="16" t="str">
        <x:v>2000544147-V116</x:v>
      </x:c>
      <x:c r="C28" s="16" t="str">
        <x:v>КРУГ ШЛ 150*6*22 14А А24 3650-150-06-111</x:v>
      </x:c>
      <x:c r="D28" s="16" t="str">
        <x:v>Инструмент и спецосн</x:v>
      </x:c>
      <x:c r="E28" s="16" t="str">
        <x:v>ШТ</x:v>
      </x:c>
      <x:c r="F28" s="21" t="n">
        <x:v>417</x:v>
      </x:c>
      <x:c r="G28" s="17" t="n">
        <x:v>32.5618</x:v>
      </x:c>
      <x:c r="H28" s="17" t="n">
        <x:f>G28*F28</x:f>
        <x:v>13578.2706</x:v>
      </x:c>
      <x:c r="I28" s="22" t="str">
        <x:f>HYPERLINK("https://etp-aktiv.ru/catalog/materialy/instrument-i-specosnastka/2000544147-V116/","Открыть позицию")</x:f>
        <x:v>Открыть позицию</x:v>
      </x:c>
    </x:row>
    <x:row r="29" ht="28" customHeight="1">
      <x:c r="A29" s="16" t="str">
        <x:v>Красноярская ГРЭС-2</x:v>
      </x:c>
      <x:c r="B29" s="16" t="str">
        <x:v>2001012934-V116</x:v>
      </x:c>
      <x:c r="C29" s="16" t="str">
        <x:v>КРУГ ШЛИФ 450*20*127 1 63С 40С К V 35М/С</x:v>
      </x:c>
      <x:c r="D29" s="16" t="str">
        <x:v>Инструмент и спецосн</x:v>
      </x:c>
      <x:c r="E29" s="16" t="str">
        <x:v>ШТ</x:v>
      </x:c>
      <x:c r="F29" s="21" t="n">
        <x:v>5</x:v>
      </x:c>
      <x:c r="G29" s="17" t="n">
        <x:v>847.3144</x:v>
      </x:c>
      <x:c r="H29" s="17" t="n">
        <x:f>G29*F29</x:f>
        <x:v>4236.572</x:v>
      </x:c>
      <x:c r="I29" s="22" t="str">
        <x:f>HYPERLINK("https://etp-aktiv.ru/catalog/materialy/instrument-i-specosnastka/2001012934-V116/","Открыть позицию")</x:f>
        <x:v>Открыть позицию</x:v>
      </x:c>
    </x:row>
    <x:row r="30" ht="28" customHeight="1">
      <x:c r="A30" s="16" t="str">
        <x:v>Красноярская ГРЭС-2</x:v>
      </x:c>
      <x:c r="B30" s="16" t="str">
        <x:v>2000717992-V116</x:v>
      </x:c>
      <x:c r="C30" s="16" t="str">
        <x:v>КРУГ ШЛИФОВАЛЬНЫЙ 100*20*20 25СМ 25А</x:v>
      </x:c>
      <x:c r="D30" s="16" t="str">
        <x:v>Инструмент и спецосн</x:v>
      </x:c>
      <x:c r="E30" s="16" t="str">
        <x:v>ШТ</x:v>
      </x:c>
      <x:c r="F30" s="21" t="n">
        <x:v>562</x:v>
      </x:c>
      <x:c r="G30" s="17" t="n">
        <x:v>51.1424</x:v>
      </x:c>
      <x:c r="H30" s="17" t="n">
        <x:f>G30*F30</x:f>
        <x:v>28742.0288</x:v>
      </x:c>
      <x:c r="I30" s="22" t="str">
        <x:f>HYPERLINK("https://etp-aktiv.ru/catalog/materialy/instrument-i-specosnastka/2000717992-V116/","Открыть позицию")</x:f>
        <x:v>Открыть позицию</x:v>
      </x:c>
    </x:row>
    <x:row r="31" ht="28" customHeight="1">
      <x:c r="A31" s="16" t="str">
        <x:v>Красноярская ГРЭС-2</x:v>
      </x:c>
      <x:c r="B31" s="16" t="str">
        <x:v>2000544271-V116</x:v>
      </x:c>
      <x:c r="C31" s="16" t="str">
        <x:v>КРУГ ШЛИФОВАЛЬНЫЙ 180*6*22 14А 80 Т2</x:v>
      </x:c>
      <x:c r="D31" s="16" t="str">
        <x:v>Инструмент и спецосн</x:v>
      </x:c>
      <x:c r="E31" s="16" t="str">
        <x:v>ШТ</x:v>
      </x:c>
      <x:c r="F31" s="21" t="n">
        <x:v>35</x:v>
      </x:c>
      <x:c r="G31" s="17" t="n">
        <x:v>43.4808</x:v>
      </x:c>
      <x:c r="H31" s="17" t="n">
        <x:f>G31*F31</x:f>
        <x:v>1521.828</x:v>
      </x:c>
      <x:c r="I31" s="22" t="str">
        <x:f>HYPERLINK("https://etp-aktiv.ru/catalog/materialy/instrument-i-specosnastka/2000544271-V116/","Открыть позицию")</x:f>
        <x:v>Открыть позицию</x:v>
      </x:c>
    </x:row>
    <x:row r="32" ht="28" customHeight="1">
      <x:c r="A32" s="16" t="str">
        <x:v>Красноярская ГРЭС-2</x:v>
      </x:c>
      <x:c r="B32" s="16" t="str">
        <x:v>2000544138-V116</x:v>
      </x:c>
      <x:c r="C32" s="16" t="str">
        <x:v>КРУГ ШЛИФОВАЛЬНЫЙ КЛТ1 125*22 N12 Р120</x:v>
      </x:c>
      <x:c r="D32" s="16" t="str">
        <x:v>Инструмент и спецосн</x:v>
      </x:c>
      <x:c r="E32" s="16" t="str">
        <x:v>ШТ</x:v>
      </x:c>
      <x:c r="F32" s="21" t="n">
        <x:v>2</x:v>
      </x:c>
      <x:c r="G32" s="17" t="n">
        <x:v>33.6232</x:v>
      </x:c>
      <x:c r="H32" s="17" t="n">
        <x:f>G32*F32</x:f>
        <x:v>67.2464</x:v>
      </x:c>
      <x:c r="I32" s="22" t="str">
        <x:f>HYPERLINK("https://etp-aktiv.ru/catalog/materialy/instrument-i-specosnastka/2000544138-V116/","Открыть позицию")</x:f>
        <x:v>Открыть позицию</x:v>
      </x:c>
    </x:row>
    <x:row r="33" ht="28" customHeight="1">
      <x:c r="A33" s="16" t="str">
        <x:v>Красноярская ГРЭС-2</x:v>
      </x:c>
      <x:c r="B33" s="16" t="str">
        <x:v>2000293897-V116</x:v>
      </x:c>
      <x:c r="C33" s="16" t="str">
        <x:v>НАСОС ГИДРАВЛИЧЕСКИЙ РУЧНОЙ НРГ-7010</x:v>
      </x:c>
      <x:c r="D33" s="16" t="str">
        <x:v>Инструмент и спецосн</x:v>
      </x:c>
      <x:c r="E33" s="16" t="str">
        <x:v>ШТ</x:v>
      </x:c>
      <x:c r="F33" s="21" t="n">
        <x:v>1</x:v>
      </x:c>
      <x:c r="G33" s="17" t="n">
        <x:v>10662.2876</x:v>
      </x:c>
      <x:c r="H33" s="17" t="n">
        <x:f>G33*F33</x:f>
        <x:v>10662.2876</x:v>
      </x:c>
      <x:c r="I33" s="22" t="str">
        <x:f>HYPERLINK("https://etp-aktiv.ru/catalog/materialy/instrument-i-specosnastka/2000293897-V116/","Открыть позицию")</x:f>
        <x:v>Открыть позицию</x:v>
      </x:c>
    </x:row>
    <x:row r="34" ht="28" customHeight="1">
      <x:c r="A34" s="16" t="str">
        <x:v>Красноярская ГРЭС-2</x:v>
      </x:c>
      <x:c r="B34" s="16" t="str">
        <x:v>2000136748-V116</x:v>
      </x:c>
      <x:c r="C34" s="16" t="str">
        <x:v>НАСОС НШ32У-3Л</x:v>
      </x:c>
      <x:c r="D34" s="16" t="str">
        <x:v>@ЗЧ насосов</x:v>
      </x:c>
      <x:c r="E34" s="16" t="str">
        <x:v>ШТ</x:v>
      </x:c>
      <x:c r="F34" s="21" t="n">
        <x:v>1</x:v>
      </x:c>
      <x:c r="G34" s="17" t="n">
        <x:v>1460.6938</x:v>
      </x:c>
      <x:c r="H34" s="17" t="n">
        <x:f>G34*F34</x:f>
        <x:v>1460.6938</x:v>
      </x:c>
      <x:c r="I34" s="22" t="str">
        <x:f>HYPERLINK("https://etp-aktiv.ru/catalog/materialy/zapasnye-chasti-promyshlennogo-oborudovaniya/2000136748-V116/","Открыть позицию")</x:f>
        <x:v>Открыть позицию</x:v>
      </x:c>
    </x:row>
    <x:row r="35" ht="28" customHeight="1">
      <x:c r="A35" s="16" t="str">
        <x:v>Красноярская ГРЭС-2</x:v>
      </x:c>
      <x:c r="B35" s="16" t="str">
        <x:v>2000645615-V116</x:v>
      </x:c>
      <x:c r="C35" s="16" t="str">
        <x:v>ПАСТА АЛМАЗНАЯ АСМ 28/20 НОМ</x:v>
      </x:c>
      <x:c r="D35" s="16" t="str">
        <x:v>Инструмент и спецосн</x:v>
      </x:c>
      <x:c r="E35" s="16" t="str">
        <x:v>Г</x:v>
      </x:c>
      <x:c r="F35" s="26" t="n">
        <x:v>3514.8</x:v>
      </x:c>
      <x:c r="G35" s="17" t="n">
        <x:v>2.5864000000000003</x:v>
      </x:c>
      <x:c r="H35" s="17" t="n">
        <x:f>G35*F35</x:f>
        <x:v>9090.678720000002</x:v>
      </x:c>
      <x:c r="I35" s="22" t="str">
        <x:f>HYPERLINK("https://etp-aktiv.ru/catalog/materialy/instrument-i-specosnastka/2000645615-V116/","Открыть позицию")</x:f>
        <x:v>Открыть позицию</x:v>
      </x:c>
    </x:row>
    <x:row r="36" ht="28" customHeight="1">
      <x:c r="A36" s="16" t="str">
        <x:v>Красноярская ГРЭС-2</x:v>
      </x:c>
      <x:c r="B36" s="16" t="str">
        <x:v>2000149927-V116</x:v>
      </x:c>
      <x:c r="C36" s="16" t="str">
        <x:v>ПАСТА АЛМАЗНАЯ АСМ 40/28 НОМ</x:v>
      </x:c>
      <x:c r="D36" s="16" t="str">
        <x:v>Инструмент и спецосн</x:v>
      </x:c>
      <x:c r="E36" s="16" t="str">
        <x:v>Г</x:v>
      </x:c>
      <x:c r="F36" s="21" t="n">
        <x:v>70</x:v>
      </x:c>
      <x:c r="G36" s="17" t="n">
        <x:v>5.2826</x:v>
      </x:c>
      <x:c r="H36" s="17" t="n">
        <x:f>G36*F36</x:f>
        <x:v>369.78200000000004</x:v>
      </x:c>
      <x:c r="I36" s="22" t="str">
        <x:f>HYPERLINK("https://etp-aktiv.ru/catalog/materialy/instrument-i-specosnastka/2000149927-V116/","Открыть позицию")</x:f>
        <x:v>Открыть позицию</x:v>
      </x:c>
    </x:row>
    <x:row r="37" ht="28" customHeight="1">
      <x:c r="A37" s="16" t="str">
        <x:v>Красноярская ГРЭС-2</x:v>
      </x:c>
      <x:c r="B37" s="16" t="str">
        <x:v>2000720174-V116</x:v>
      </x:c>
      <x:c r="C37" s="16" t="str">
        <x:v>ПАСТА Д/ПРИГОТОВ ШЛИФОВ STRUERS 40600017</x:v>
      </x:c>
      <x:c r="D37" s="16" t="str">
        <x:v>Инструмент и спецосн</x:v>
      </x:c>
      <x:c r="E37" s="16" t="str">
        <x:v>ШТ</x:v>
      </x:c>
      <x:c r="F37" s="21" t="n">
        <x:v>3</x:v>
      </x:c>
      <x:c r="G37" s="17" t="n">
        <x:v>1374.696</x:v>
      </x:c>
      <x:c r="H37" s="17" t="n">
        <x:f>G37*F37</x:f>
        <x:v>4124.088</x:v>
      </x:c>
      <x:c r="I37" s="22" t="str">
        <x:f>HYPERLINK("https://etp-aktiv.ru/catalog/materialy/instrument-i-specosnastka/2000720174-V116/","Открыть позицию")</x:f>
        <x:v>Открыть позицию</x:v>
      </x:c>
    </x:row>
    <x:row r="38" ht="28" customHeight="1">
      <x:c r="A38" s="16" t="str">
        <x:v>Красноярская ГРЭС-2</x:v>
      </x:c>
      <x:c r="B38" s="16" t="str">
        <x:v>2000720175-V116</x:v>
      </x:c>
      <x:c r="C38" s="16" t="str">
        <x:v>ПАСТА Д/ПРИГОТОВ ШЛИФОВ STRUERS 40600018</x:v>
      </x:c>
      <x:c r="D38" s="16" t="str">
        <x:v>Инструмент и спецосн</x:v>
      </x:c>
      <x:c r="E38" s="16" t="str">
        <x:v>ШТ</x:v>
      </x:c>
      <x:c r="F38" s="21" t="n">
        <x:v>3</x:v>
      </x:c>
      <x:c r="G38" s="17" t="n">
        <x:v>1374.696</x:v>
      </x:c>
      <x:c r="H38" s="17" t="n">
        <x:f>G38*F38</x:f>
        <x:v>4124.088</x:v>
      </x:c>
      <x:c r="I38" s="22" t="str">
        <x:f>HYPERLINK("https://etp-aktiv.ru/catalog/materialy/instrument-i-specosnastka/2000720175-V116/","Открыть позицию")</x:f>
        <x:v>Открыть позицию</x:v>
      </x:c>
    </x:row>
    <x:row r="39" ht="28" customHeight="1">
      <x:c r="A39" s="16" t="str">
        <x:v>Красноярская ГРЭС-2</x:v>
      </x:c>
      <x:c r="B39" s="16" t="str">
        <x:v>2000720173-V116</x:v>
      </x:c>
      <x:c r="C39" s="16" t="str">
        <x:v>ПАСТА Д/ПРИГОТОВ ШЛИФОВ STRUERS 40600019</x:v>
      </x:c>
      <x:c r="D39" s="16" t="str">
        <x:v>Инструмент и спецосн</x:v>
      </x:c>
      <x:c r="E39" s="16" t="str">
        <x:v>ШТ</x:v>
      </x:c>
      <x:c r="F39" s="21" t="n">
        <x:v>3</x:v>
      </x:c>
      <x:c r="G39" s="17" t="n">
        <x:v>1374.696</x:v>
      </x:c>
      <x:c r="H39" s="17" t="n">
        <x:f>G39*F39</x:f>
        <x:v>4124.088</x:v>
      </x:c>
      <x:c r="I39" s="22" t="str">
        <x:f>HYPERLINK("https://etp-aktiv.ru/catalog/materialy/instrument-i-specosnastka/2000720173-V116/","Открыть позицию")</x:f>
        <x:v>Открыть позицию</x:v>
      </x:c>
    </x:row>
    <x:row r="40" ht="28" customHeight="1">
      <x:c r="A40" s="16" t="str">
        <x:v>Красноярская ГРЭС-2</x:v>
      </x:c>
      <x:c r="B40" s="16" t="str">
        <x:v>2000116487-V116</x:v>
      </x:c>
      <x:c r="C40" s="16" t="str">
        <x:v>ПОДШИПНИК 1313</x:v>
      </x:c>
      <x:c r="D40" s="16" t="str">
        <x:v>Подшипники</x:v>
      </x:c>
      <x:c r="E40" s="16" t="str">
        <x:v>ШТ</x:v>
      </x:c>
      <x:c r="F40" s="21" t="n">
        <x:v>22</x:v>
      </x:c>
      <x:c r="G40" s="17" t="n">
        <x:v>228.323</x:v>
      </x:c>
      <x:c r="H40" s="17" t="n">
        <x:f>G40*F40</x:f>
        <x:v>5023.106</x:v>
      </x:c>
      <x:c r="I40" s="22" t="str">
        <x:f>HYPERLINK("https://etp-aktiv.ru/catalog/materialy/podshipniki/2000116487-V116/","Открыть позицию")</x:f>
        <x:v>Открыть позицию</x:v>
      </x:c>
    </x:row>
    <x:row r="41" ht="28" customHeight="1">
      <x:c r="A41" s="16" t="str">
        <x:v>Красноярская ГРЭС-2</x:v>
      </x:c>
      <x:c r="B41" s="16" t="str">
        <x:v>2000001043-V116</x:v>
      </x:c>
      <x:c r="C41" s="16" t="str">
        <x:v>ПОДШИПНИК 180302</x:v>
      </x:c>
      <x:c r="D41" s="16" t="str">
        <x:v>Подшипники</x:v>
      </x:c>
      <x:c r="E41" s="16" t="str">
        <x:v>ШТ</x:v>
      </x:c>
      <x:c r="F41" s="21" t="n">
        <x:v>1256</x:v>
      </x:c>
      <x:c r="G41" s="17" t="n">
        <x:v>35.843599999999995</x:v>
      </x:c>
      <x:c r="H41" s="17" t="n">
        <x:f>G41*F41</x:f>
        <x:v>45019.56159999999</x:v>
      </x:c>
      <x:c r="I41" s="22" t="str">
        <x:f>HYPERLINK("https://etp-aktiv.ru/catalog/materialy/podshipniki/2000001043-V116/","Открыть позицию")</x:f>
        <x:v>Открыть позицию</x:v>
      </x:c>
    </x:row>
    <x:row r="42" ht="28" customHeight="1">
      <x:c r="A42" s="16" t="str">
        <x:v>Красноярская ГРЭС-2</x:v>
      </x:c>
      <x:c r="B42" s="16" t="str">
        <x:v>2000127008-V116</x:v>
      </x:c>
      <x:c r="C42" s="16" t="str">
        <x:v>ПОДШИПНИК 180504</x:v>
      </x:c>
      <x:c r="D42" s="16" t="str">
        <x:v>Подшипники</x:v>
      </x:c>
      <x:c r="E42" s="16" t="str">
        <x:v>ШТ</x:v>
      </x:c>
      <x:c r="F42" s="21" t="n">
        <x:v>851</x:v>
      </x:c>
      <x:c r="G42" s="17" t="n">
        <x:v>64.05</x:v>
      </x:c>
      <x:c r="H42" s="17" t="n">
        <x:f>G42*F42</x:f>
        <x:v>54506.549999999996</x:v>
      </x:c>
      <x:c r="I42" s="22" t="str">
        <x:f>HYPERLINK("https://etp-aktiv.ru/catalog/materialy/podshipniki/2000127008-V116/","Открыть позицию")</x:f>
        <x:v>Открыть позицию</x:v>
      </x:c>
    </x:row>
    <x:row r="43" ht="28" customHeight="1">
      <x:c r="A43" s="16" t="str">
        <x:v>Красноярская ГРЭС-2</x:v>
      </x:c>
      <x:c r="B43" s="16" t="str">
        <x:v>2000001327-V116</x:v>
      </x:c>
      <x:c r="C43" s="16" t="str">
        <x:v>ПОДШИПНИК 200</x:v>
      </x:c>
      <x:c r="D43" s="16" t="str">
        <x:v>Подшипники</x:v>
      </x:c>
      <x:c r="E43" s="16" t="str">
        <x:v>ШТ</x:v>
      </x:c>
      <x:c r="F43" s="21" t="n">
        <x:v>1175</x:v>
      </x:c>
      <x:c r="G43" s="17" t="n">
        <x:v>14.64</x:v>
      </x:c>
      <x:c r="H43" s="17" t="n">
        <x:f>G43*F43</x:f>
        <x:v>17202</x:v>
      </x:c>
      <x:c r="I43" s="22" t="str">
        <x:f>HYPERLINK("https://etp-aktiv.ru/catalog/materialy/podshipniki/2000001327-V116/","Открыть позицию")</x:f>
        <x:v>Открыть позицию</x:v>
      </x:c>
    </x:row>
    <x:row r="44" ht="28" customHeight="1">
      <x:c r="A44" s="16" t="str">
        <x:v>Красноярская ГРЭС-2</x:v>
      </x:c>
      <x:c r="B44" s="16" t="str">
        <x:v>2000127006-V116</x:v>
      </x:c>
      <x:c r="C44" s="16" t="str">
        <x:v>ПОДШИПНИК 201</x:v>
      </x:c>
      <x:c r="D44" s="16" t="str">
        <x:v>Подшипники</x:v>
      </x:c>
      <x:c r="E44" s="16" t="str">
        <x:v>ШТ</x:v>
      </x:c>
      <x:c r="F44" s="21" t="n">
        <x:v>458</x:v>
      </x:c>
      <x:c r="G44" s="17" t="n">
        <x:v>18.3</x:v>
      </x:c>
      <x:c r="H44" s="17" t="n">
        <x:f>G44*F44</x:f>
        <x:v>8381.4</x:v>
      </x:c>
      <x:c r="I44" s="22" t="str">
        <x:f>HYPERLINK("https://etp-aktiv.ru/catalog/materialy/podshipniki/2000127006-V116/","Открыть позицию")</x:f>
        <x:v>Открыть позицию</x:v>
      </x:c>
    </x:row>
    <x:row r="45" ht="28" customHeight="1">
      <x:c r="A45" s="16" t="str">
        <x:v>Красноярская ГРЭС-2</x:v>
      </x:c>
      <x:c r="B45" s="16" t="str">
        <x:v>2000116610-V116</x:v>
      </x:c>
      <x:c r="C45" s="16" t="str">
        <x:v>ПОДШИПНИК 32318</x:v>
      </x:c>
      <x:c r="D45" s="16" t="str">
        <x:v>Подшипники</x:v>
      </x:c>
      <x:c r="E45" s="16" t="str">
        <x:v>ШТ</x:v>
      </x:c>
      <x:c r="F45" s="21" t="n">
        <x:v>0</x:v>
      </x:c>
      <x:c r="G45" s="17" t="n">
        <x:v>609.2679999999999</x:v>
      </x:c>
      <x:c r="H45" s="17" t="n">
        <x:f>G45*F45</x:f>
        <x:v>0</x:v>
      </x:c>
      <x:c r="I45" s="22" t="str">
        <x:f>HYPERLINK("https://etp-aktiv.ru/catalog/materialy/podshipniki/2000116610-V116/","Открыть позицию")</x:f>
        <x:v>Открыть позицию</x:v>
      </x:c>
    </x:row>
    <x:row r="46" ht="28" customHeight="1">
      <x:c r="A46" s="16" t="str">
        <x:v>Красноярская ГРЭС-2</x:v>
      </x:c>
      <x:c r="B46" s="16" t="str">
        <x:v>2000143815-V116</x:v>
      </x:c>
      <x:c r="C46" s="16" t="str">
        <x:v>ПОДШИПНИК 4074108</x:v>
      </x:c>
      <x:c r="D46" s="16" t="str">
        <x:v>Подшипники</x:v>
      </x:c>
      <x:c r="E46" s="16" t="str">
        <x:v>ШТ</x:v>
      </x:c>
      <x:c r="F46" s="21" t="n">
        <x:v>0</x:v>
      </x:c>
      <x:c r="G46" s="17" t="n">
        <x:v>20.666800000000002</x:v>
      </x:c>
      <x:c r="H46" s="17" t="n">
        <x:f>G46*F46</x:f>
        <x:v>0</x:v>
      </x:c>
      <x:c r="I46" s="22" t="str">
        <x:f>HYPERLINK("https://etp-aktiv.ru/catalog/materialy/podshipniki/2000143815-V116/","Открыть позицию")</x:f>
        <x:v>Открыть позицию</x:v>
      </x:c>
    </x:row>
    <x:row r="47" ht="28" customHeight="1">
      <x:c r="A47" s="16" t="str">
        <x:v>Красноярская ГРЭС-2</x:v>
      </x:c>
      <x:c r="B47" s="16" t="str">
        <x:v>2000001232-V116</x:v>
      </x:c>
      <x:c r="C47" s="16" t="str">
        <x:v>ПОДШИПНИК 6-205</x:v>
      </x:c>
      <x:c r="D47" s="16" t="str">
        <x:v>Подшипники</x:v>
      </x:c>
      <x:c r="E47" s="16" t="str">
        <x:v>ШТ</x:v>
      </x:c>
      <x:c r="F47" s="21" t="n">
        <x:v>8</x:v>
      </x:c>
      <x:c r="G47" s="17" t="n">
        <x:v>60.7438</x:v>
      </x:c>
      <x:c r="H47" s="17" t="n">
        <x:f>G47*F47</x:f>
        <x:v>485.9504</x:v>
      </x:c>
      <x:c r="I47" s="22" t="str">
        <x:f>HYPERLINK("https://etp-aktiv.ru/catalog/materialy/podshipniki/2000001232-V116/","Открыть позицию")</x:f>
        <x:v>Открыть позицию</x:v>
      </x:c>
    </x:row>
    <x:row r="48" ht="28" customHeight="1">
      <x:c r="A48" s="16" t="str">
        <x:v>Красноярская ГРЭС-2</x:v>
      </x:c>
      <x:c r="B48" s="16" t="str">
        <x:v>2000699248-V116</x:v>
      </x:c>
      <x:c r="C48" s="16" t="str">
        <x:v>ПОДШИПНИК 6-80306</x:v>
      </x:c>
      <x:c r="D48" s="16" t="str">
        <x:v>Подшипники</x:v>
      </x:c>
      <x:c r="E48" s="16" t="str">
        <x:v>ШТ</x:v>
      </x:c>
      <x:c r="F48" s="21" t="n">
        <x:v>80</x:v>
      </x:c>
      <x:c r="G48" s="17" t="n">
        <x:v>47.0188</x:v>
      </x:c>
      <x:c r="H48" s="17" t="n">
        <x:f>G48*F48</x:f>
        <x:v>3761.504</x:v>
      </x:c>
      <x:c r="I48" s="22" t="str">
        <x:f>HYPERLINK("https://etp-aktiv.ru/catalog/materialy/podshipniki/2000699248-V116/","Открыть позицию")</x:f>
        <x:v>Открыть позицию</x:v>
      </x:c>
    </x:row>
    <x:row r="49" ht="28" customHeight="1">
      <x:c r="A49" s="16" t="str">
        <x:v>Красноярская ГРЭС-2</x:v>
      </x:c>
      <x:c r="B49" s="16" t="str">
        <x:v>2000116328-V116</x:v>
      </x:c>
      <x:c r="C49" s="16" t="str">
        <x:v>ПОДШИПНИК 60201</x:v>
      </x:c>
      <x:c r="D49" s="16" t="str">
        <x:v>Подшипники</x:v>
      </x:c>
      <x:c r="E49" s="16" t="str">
        <x:v>ШТ</x:v>
      </x:c>
      <x:c r="F49" s="21" t="n">
        <x:v>1293</x:v>
      </x:c>
      <x:c r="G49" s="17" t="n">
        <x:v>23.79</x:v>
      </x:c>
      <x:c r="H49" s="17" t="n">
        <x:f>G49*F49</x:f>
        <x:v>30760.469999999998</x:v>
      </x:c>
      <x:c r="I49" s="22" t="str">
        <x:f>HYPERLINK("https://etp-aktiv.ru/catalog/materialy/podshipniki/2000116328-V116/","Открыть позицию")</x:f>
        <x:v>Открыть позицию</x:v>
      </x:c>
    </x:row>
    <x:row r="50" ht="28" customHeight="1">
      <x:c r="A50" s="16" t="str">
        <x:v>Красноярская ГРЭС-2</x:v>
      </x:c>
      <x:c r="B50" s="16" t="str">
        <x:v>2000645978-V116</x:v>
      </x:c>
      <x:c r="C50" s="16" t="str">
        <x:v>ПОДШИПНИК 70-42314КМ Г 8328-75</x:v>
      </x:c>
      <x:c r="D50" s="16" t="str">
        <x:v>Подшипники</x:v>
      </x:c>
      <x:c r="E50" s="16" t="str">
        <x:v>ШТ</x:v>
      </x:c>
      <x:c r="F50" s="21" t="n">
        <x:v>2</x:v>
      </x:c>
      <x:c r="G50" s="17" t="n">
        <x:v>515.9136</x:v>
      </x:c>
      <x:c r="H50" s="17" t="n">
        <x:f>G50*F50</x:f>
        <x:v>1031.8272</x:v>
      </x:c>
      <x:c r="I50" s="22" t="str">
        <x:f>HYPERLINK("https://etp-aktiv.ru/catalog/materialy/podshipniki/2000645978-V116/","Открыть позицию")</x:f>
        <x:v>Открыть позицию</x:v>
      </x:c>
    </x:row>
    <x:row r="51" ht="28" customHeight="1">
      <x:c r="A51" s="16" t="str">
        <x:v>Красноярская ГРЭС-2</x:v>
      </x:c>
      <x:c r="B51" s="16" t="str">
        <x:v>2000779015-V116</x:v>
      </x:c>
      <x:c r="C51" s="16" t="str">
        <x:v>ПОДШИПНИК 7000109Л</x:v>
      </x:c>
      <x:c r="D51" s="16" t="str">
        <x:v>Подшипники</x:v>
      </x:c>
      <x:c r="E51" s="16" t="str">
        <x:v>ШТ</x:v>
      </x:c>
      <x:c r="F51" s="21" t="n">
        <x:v>6</x:v>
      </x:c>
      <x:c r="G51" s="17" t="n">
        <x:v>52.1062</x:v>
      </x:c>
      <x:c r="H51" s="17" t="n">
        <x:f>G51*F51</x:f>
        <x:v>312.6372</x:v>
      </x:c>
      <x:c r="I51" s="22" t="str">
        <x:f>HYPERLINK("https://etp-aktiv.ru/catalog/materialy/podshipniki/2000779015-V116/","Открыть позицию")</x:f>
        <x:v>Открыть позицию</x:v>
      </x:c>
    </x:row>
    <x:row r="52" ht="28" customHeight="1">
      <x:c r="A52" s="16" t="str">
        <x:v>Красноярская ГРЭС-2</x:v>
      </x:c>
      <x:c r="B52" s="16" t="str">
        <x:v>2000000713-V116</x:v>
      </x:c>
      <x:c r="C52" s="16" t="str">
        <x:v>ПОДШИПНИК 80018</x:v>
      </x:c>
      <x:c r="D52" s="16" t="str">
        <x:v>Подшипники</x:v>
      </x:c>
      <x:c r="E52" s="16" t="str">
        <x:v>ШТ</x:v>
      </x:c>
      <x:c r="F52" s="21" t="n">
        <x:v>2301</x:v>
      </x:c>
      <x:c r="G52" s="17" t="n">
        <x:v>29.743599999999997</x:v>
      </x:c>
      <x:c r="H52" s="17" t="n">
        <x:f>G52*F52</x:f>
        <x:v>68440.0236</x:v>
      </x:c>
      <x:c r="I52" s="22" t="str">
        <x:f>HYPERLINK("https://etp-aktiv.ru/catalog/materialy/podshipniki/2000000713-V116/","Открыть позицию")</x:f>
        <x:v>Открыть позицию</x:v>
      </x:c>
    </x:row>
    <x:row r="53" ht="28" customHeight="1">
      <x:c r="A53" s="16" t="str">
        <x:v>Красноярская ГРЭС-2</x:v>
      </x:c>
      <x:c r="B53" s="16" t="str">
        <x:v>2000116400-V116</x:v>
      </x:c>
      <x:c r="C53" s="16" t="str">
        <x:v>ПОДШИПНИК 8207</x:v>
      </x:c>
      <x:c r="D53" s="16" t="str">
        <x:v>Подшипники</x:v>
      </x:c>
      <x:c r="E53" s="16" t="str">
        <x:v>ШТ</x:v>
      </x:c>
      <x:c r="F53" s="21" t="n">
        <x:v>0</x:v>
      </x:c>
      <x:c r="G53" s="17" t="n">
        <x:v>28.828599999999998</x:v>
      </x:c>
      <x:c r="H53" s="17" t="n">
        <x:f>G53*F53</x:f>
        <x:v>0</x:v>
      </x:c>
      <x:c r="I53" s="22" t="str">
        <x:f>HYPERLINK("https://etp-aktiv.ru/catalog/materialy/podshipniki/2000116400-V116/","Открыть позицию")</x:f>
        <x:v>Открыть позицию</x:v>
      </x:c>
    </x:row>
    <x:row r="54" ht="28" customHeight="1">
      <x:c r="A54" s="16" t="str">
        <x:v>Красноярская ГРЭС-2</x:v>
      </x:c>
      <x:c r="B54" s="16" t="str">
        <x:v>2000116356-V116</x:v>
      </x:c>
      <x:c r="C54" s="16" t="str">
        <x:v>ПОДШИПНИК 8209</x:v>
      </x:c>
      <x:c r="D54" s="16" t="str">
        <x:v>Подшипники</x:v>
      </x:c>
      <x:c r="E54" s="16" t="str">
        <x:v>ШТ</x:v>
      </x:c>
      <x:c r="F54" s="21" t="n">
        <x:v>0</x:v>
      </x:c>
      <x:c r="G54" s="17" t="n">
        <x:v>41.199400000000004</x:v>
      </x:c>
      <x:c r="H54" s="17" t="n">
        <x:f>G54*F54</x:f>
        <x:v>0</x:v>
      </x:c>
      <x:c r="I54" s="22" t="str">
        <x:f>HYPERLINK("https://etp-aktiv.ru/catalog/materialy/podshipniki/2000116356-V116/","Открыть позицию")</x:f>
        <x:v>Открыть позицию</x:v>
      </x:c>
    </x:row>
    <x:row r="55" ht="28" customHeight="1">
      <x:c r="A55" s="16" t="str">
        <x:v>Красноярская ГРЭС-2</x:v>
      </x:c>
      <x:c r="B55" s="16" t="str">
        <x:v>2000645992-V116</x:v>
      </x:c>
      <x:c r="C55" s="16" t="str">
        <x:v>ПОДШИПНИК 90-2132М Г 8328-75</x:v>
      </x:c>
      <x:c r="D55" s="16" t="str">
        <x:v>Подшипники</x:v>
      </x:c>
      <x:c r="E55" s="16" t="str">
        <x:v>ШТ</x:v>
      </x:c>
      <x:c r="F55" s="21" t="n">
        <x:v>9</x:v>
      </x:c>
      <x:c r="G55" s="17" t="n">
        <x:v>1223.5502</x:v>
      </x:c>
      <x:c r="H55" s="17" t="n">
        <x:f>G55*F55</x:f>
        <x:v>11011.951799999999</x:v>
      </x:c>
      <x:c r="I55" s="22" t="str">
        <x:f>HYPERLINK("https://etp-aktiv.ru/catalog/materialy/podshipniki/2000645992-V116/","Открыть позицию")</x:f>
        <x:v>Открыть позицию</x:v>
      </x:c>
    </x:row>
    <x:row r="56" ht="28" customHeight="1">
      <x:c r="A56" s="16" t="str">
        <x:v>Красноярская ГРЭС-2</x:v>
      </x:c>
      <x:c r="B56" s="16" t="str">
        <x:v>2000647989-V116</x:v>
      </x:c>
      <x:c r="C56" s="16" t="str">
        <x:v>УПЛОТНЕНИ ГР-МТ.23112.01.075.1010.1141</x:v>
      </x:c>
      <x:c r="D56" s="16" t="str">
        <x:v>@ЗЧ насосов</x:v>
      </x:c>
      <x:c r="E56" s="16" t="str">
        <x:v>ШТ</x:v>
      </x:c>
      <x:c r="F56" s="21" t="n">
        <x:v>2</x:v>
      </x:c>
      <x:c r="G56" s="17" t="n">
        <x:v>47479.9234</x:v>
      </x:c>
      <x:c r="H56" s="17" t="n">
        <x:f>G56*F56</x:f>
        <x:v>94959.8468</x:v>
      </x:c>
      <x:c r="I56" s="22" t="str">
        <x:f>HYPERLINK("https://etp-aktiv.ru/catalog/materialy/zapasnye-chasti-promyshlennogo-oborudovaniya/2000647989-V116/","Открыть позицию")</x:f>
        <x:v>Открыть позицию</x:v>
      </x:c>
    </x:row>
    <x:row r="57" ht="28" customHeight="1">
      <x:c r="A57" s="16" t="str">
        <x:v>Красноярская ГРЭС-2</x:v>
      </x:c>
      <x:c r="B57" s="16" t="str">
        <x:v>2000442725-V116</x:v>
      </x:c>
      <x:c r="C57" s="16" t="str">
        <x:v>ЦЕНТР ВРАЩАЮЩИЙСЯ КМ-5 D415</x:v>
      </x:c>
      <x:c r="D57" s="16" t="str">
        <x:v>Инструм/спецосн спец</x:v>
      </x:c>
      <x:c r="E57" s="16" t="str">
        <x:v>ШТ</x:v>
      </x:c>
      <x:c r="F57" s="21" t="n">
        <x:v>1</x:v>
      </x:c>
      <x:c r="G57" s="17" t="n">
        <x:v>2131.3887999999997</x:v>
      </x:c>
      <x:c r="H57" s="17" t="n">
        <x:f>G57*F57</x:f>
        <x:v>2131.3887999999997</x:v>
      </x:c>
      <x:c r="I57" s="22" t="str">
        <x:f>HYPERLINK("https://etp-aktiv.ru/catalog/materialy/instrument-i-specosnastka/2000442725-V116/","Открыть позицию")</x:f>
        <x:v>Открыть позицию</x:v>
      </x:c>
    </x:row>
    <x:row r="58" ht="28" customHeight="1">
      <x:c r="A58" s="16" t="str">
        <x:v>Красноярская ГРЭС-2</x:v>
      </x:c>
      <x:c r="B58" s="16" t="str">
        <x:v>2000691081-V116</x:v>
      </x:c>
      <x:c r="C58" s="16" t="str">
        <x:v>ЦЕПЬ 16В-2 106КН 25,4</x:v>
      </x:c>
      <x:c r="D58" s="16" t="str">
        <x:v>ЗЧ грузоподъемн обор</x:v>
      </x:c>
      <x:c r="E58" s="16" t="str">
        <x:v>М</x:v>
      </x:c>
      <x:c r="F58" s="21" t="n">
        <x:v>2</x:v>
      </x:c>
      <x:c r="G58" s="17" t="n">
        <x:v>2637.2618</x:v>
      </x:c>
      <x:c r="H58" s="17" t="n">
        <x:f>G58*F58</x:f>
        <x:v>5274.5236</x:v>
      </x:c>
      <x:c r="I58" s="22" t="str">
        <x:f>HYPERLINK("https://etp-aktiv.ru/catalog/materialy/zapasnye-chasti-k-gruzopodemnoj-tekhnike-oborudovaniyu-i-mekhanizmam/2000691081-V116/","Открыть позицию")</x:f>
        <x:v>Открыть позицию</x:v>
      </x:c>
    </x:row>
    <x:row r="59" ht="28" customHeight="1">
      <x:c r="A59" s="16" t="str">
        <x:v>Красноярская ГРЭС-2</x:v>
      </x:c>
      <x:c r="B59" s="16" t="str">
        <x:v>2000648252-V116</x:v>
      </x:c>
      <x:c r="C59" s="16" t="str">
        <x:v>ШАЙБА Н18.37.30.08</x:v>
      </x:c>
      <x:c r="D59" s="16" t="str">
        <x:v>@ЗЧ насосов</x:v>
      </x:c>
      <x:c r="E59" s="16" t="str">
        <x:v>ШТ</x:v>
      </x:c>
      <x:c r="F59" s="21" t="n">
        <x:v>1</x:v>
      </x:c>
      <x:c r="G59" s="17" t="n">
        <x:v>90.3166</x:v>
      </x:c>
      <x:c r="H59" s="17" t="n">
        <x:f>G59*F59</x:f>
        <x:v>90.3166</x:v>
      </x:c>
      <x:c r="I59" s="22" t="str">
        <x:f>HYPERLINK("https://etp-aktiv.ru/catalog/materialy/zapasnye-chasti-promyshlennogo-oborudovaniya/2000648252-V116/","Открыть позицию")</x:f>
        <x:v>Открыть позицию</x:v>
      </x:c>
    </x:row>
    <x:row r="60" ht="28" customHeight="1">
      <x:c r="A60" s="16" t="str">
        <x:v>Красноярская ГРЭС-2</x:v>
      </x:c>
      <x:c r="B60" s="16" t="str">
        <x:v>2000641528-V116</x:v>
      </x:c>
      <x:c r="C60" s="16" t="str">
        <x:v>ШКУРКА О2 720*20 С1Г14А16Н СФЖ ГОСТ13344</x:v>
      </x:c>
      <x:c r="D60" s="16" t="str">
        <x:v>Инструмент и спецосн</x:v>
      </x:c>
      <x:c r="E60" s="16" t="str">
        <x:v>М2</x:v>
      </x:c>
      <x:c r="F60" s="26" t="n">
        <x:v>82.64</x:v>
      </x:c>
      <x:c r="G60" s="17" t="n">
        <x:v>155.5378</x:v>
      </x:c>
      <x:c r="H60" s="17" t="n">
        <x:f>G60*F60</x:f>
        <x:v>12853.643792</x:v>
      </x:c>
      <x:c r="I60" s="22" t="str">
        <x:f>HYPERLINK("https://etp-aktiv.ru/catalog/materialy/instrument-i-specosnastka/2000641528-V116/","Открыть позицию")</x:f>
        <x:v>Открыть позицию</x:v>
      </x:c>
    </x:row>
    <x:row r="61" ht="28" customHeight="1">
      <x:c r="A61" s="16" t="str">
        <x:v>Красноярская ГРЭС-2</x:v>
      </x:c>
      <x:c r="B61" s="16" t="str">
        <x:v>2000648317-V116</x:v>
      </x:c>
      <x:c r="C61" s="16" t="str">
        <x:v>ШКУРКА О2 720*20 С1Г14А32H СФЖ ГОСТ13344</x:v>
      </x:c>
      <x:c r="D61" s="16" t="str">
        <x:v>Инструмент и спецосн</x:v>
      </x:c>
      <x:c r="E61" s="16" t="str">
        <x:v>ПМ</x:v>
      </x:c>
      <x:c r="F61" s="26" t="n">
        <x:v>100.8</x:v>
      </x:c>
      <x:c r="G61" s="17" t="n">
        <x:v>156.8676</x:v>
      </x:c>
      <x:c r="H61" s="17" t="n">
        <x:f>G61*F61</x:f>
        <x:v>15812.25408</x:v>
      </x:c>
      <x:c r="I61" s="22" t="str">
        <x:f>HYPERLINK("https://etp-aktiv.ru/catalog/materialy/instrument-i-specosnastka/2000648317-V116/","Открыть позицию")</x:f>
        <x:v>Открыть позицию</x:v>
      </x:c>
    </x:row>
    <x:row r="62" ht="28" customHeight="1">
      <x:c r="A62" s="16" t="str">
        <x:v>Красноярская ГРЭС-2</x:v>
      </x:c>
      <x:c r="B62" s="16" t="str">
        <x:v>2000648323-V116</x:v>
      </x:c>
      <x:c r="C62" s="16" t="str">
        <x:v>ШКУРКА О2 900*30 УГ63С40Н СФЖ ГОСТ13344</x:v>
      </x:c>
      <x:c r="D62" s="16" t="str">
        <x:v>Инструмент и спецосн</x:v>
      </x:c>
      <x:c r="E62" s="16" t="str">
        <x:v>М</x:v>
      </x:c>
      <x:c r="F62" s="26" t="n">
        <x:v>45.257</x:v>
      </x:c>
      <x:c r="G62" s="17" t="n">
        <x:v>169.43359999999998</x:v>
      </x:c>
      <x:c r="H62" s="17" t="n">
        <x:f>G62*F62</x:f>
        <x:v>7668.056435199999</x:v>
      </x:c>
      <x:c r="I62" s="22" t="str">
        <x:f>HYPERLINK("https://etp-aktiv.ru/catalog/materialy/instrument-i-specosnastka/2000648323-V116/","Открыть позицию")</x:f>
        <x:v>Открыть позицию</x:v>
      </x:c>
    </x:row>
    <x:row r="63" ht="28" customHeight="1">
      <x:c r="A63" s="16" t="str">
        <x:v>Красноярская ГРЭС-2</x:v>
      </x:c>
      <x:c r="B63" s="16" t="str">
        <x:v>2000544184-V116</x:v>
      </x:c>
      <x:c r="C63" s="16" t="str">
        <x:v>ШКУРКА ШЛ В/С О 1 600 20 ЛОГМ40 СФЖ3038</x:v>
      </x:c>
      <x:c r="D63" s="16" t="str">
        <x:v>Инструмент и спецосн</x:v>
      </x:c>
      <x:c r="E63" s="16" t="str">
        <x:v>М2</x:v>
      </x:c>
      <x:c r="F63" s="21" t="n">
        <x:v>264</x:v>
      </x:c>
      <x:c r="G63" s="17" t="n">
        <x:v>380.6888</x:v>
      </x:c>
      <x:c r="H63" s="17" t="n">
        <x:f>G63*F63</x:f>
        <x:v>100501.8432</x:v>
      </x:c>
      <x:c r="I63" s="22" t="str">
        <x:f>HYPERLINK("https://etp-aktiv.ru/catalog/materialy/instrument-i-specosnastka/2000544184-V116/","Открыть позицию")</x:f>
        <x:v>Открыть позицию</x:v>
      </x:c>
    </x:row>
    <x:row r="64" ht="28" customHeight="1">
      <x:c r="A64" s="16" t="str">
        <x:v>Красноярская ГРЭС-2</x:v>
      </x:c>
      <x:c r="B64" s="16" t="str">
        <x:v>2000544292-V116</x:v>
      </x:c>
      <x:c r="C64" s="16" t="str">
        <x:v>ШКУРКА ШЛИФ 800*30 14А 12Н М</x:v>
      </x:c>
      <x:c r="D64" s="16" t="str">
        <x:v>Инструмент и спецосн</x:v>
      </x:c>
      <x:c r="E64" s="16" t="str">
        <x:v>ПМ</x:v>
      </x:c>
      <x:c r="F64" s="26" t="n">
        <x:v>14.5</x:v>
      </x:c>
      <x:c r="G64" s="17" t="n">
        <x:v>141.8616</x:v>
      </x:c>
      <x:c r="H64" s="17" t="n">
        <x:f>G64*F64</x:f>
        <x:v>2056.9932000000003</x:v>
      </x:c>
      <x:c r="I64" s="22" t="str">
        <x:f>HYPERLINK("https://etp-aktiv.ru/catalog/materialy/instrument-i-specosnastka/2000544292-V116/","Открыть позицию")</x:f>
        <x:v>Открыть позицию</x:v>
      </x:c>
    </x:row>
    <x:row r="65" ht="28" customHeight="1">
      <x:c r="A65" s="16" t="str">
        <x:v>Красноярская ГРЭС-2</x:v>
      </x:c>
      <x:c r="B65" s="16" t="str">
        <x:v>2000648325-V116</x:v>
      </x:c>
      <x:c r="C65" s="16" t="str">
        <x:v>ШКУРКА ШЛИФОВ ТКАНЕВАЯ 14А 4Н 900ММ</x:v>
      </x:c>
      <x:c r="D65" s="16" t="str">
        <x:v>Инструмент и спецосн</x:v>
      </x:c>
      <x:c r="E65" s="16" t="str">
        <x:v>М2</x:v>
      </x:c>
      <x:c r="F65" s="26" t="n">
        <x:v>11.4</x:v>
      </x:c>
      <x:c r="G65" s="17" t="n">
        <x:v>137.0548</x:v>
      </x:c>
      <x:c r="H65" s="17" t="n">
        <x:f>G65*F65</x:f>
        <x:v>1562.42472</x:v>
      </x:c>
      <x:c r="I65" s="22" t="str">
        <x:f>HYPERLINK("https://etp-aktiv.ru/catalog/materialy/instrument-i-specosnastka/2000648325-V116/","Открыть позицию")</x:f>
        <x:v>Открыть позицию</x:v>
      </x:c>
    </x:row>
    <x:row r="66" ht="28" customHeight="1">
      <x:c r="A66" s="16" t="str">
        <x:v>Красноярская ГРЭС-2</x:v>
      </x:c>
      <x:c r="B66" s="16" t="str">
        <x:v>2000045932-V116</x:v>
      </x:c>
      <x:c r="C66" s="16" t="str">
        <x:v>ШЛИФКРУГ 150*20*32 63С40СМ1КБ35</x:v>
      </x:c>
      <x:c r="D66" s="16" t="str">
        <x:v>Инструмент и спецосн</x:v>
      </x:c>
      <x:c r="E66" s="16" t="str">
        <x:v>ШТ</x:v>
      </x:c>
      <x:c r="F66" s="21" t="n">
        <x:v>2</x:v>
      </x:c>
      <x:c r="G66" s="17" t="n">
        <x:v>184.159</x:v>
      </x:c>
      <x:c r="H66" s="17" t="n">
        <x:f>G66*F66</x:f>
        <x:v>368.318</x:v>
      </x:c>
      <x:c r="I66" s="22" t="str">
        <x:f>HYPERLINK("https://etp-aktiv.ru/catalog/materialy/instrument-i-specosnastka/2000045932-V116/","Открыть позицию")</x:f>
        <x:v>Открыть позицию</x:v>
      </x:c>
    </x:row>
    <x:row r="67" ht="28" customHeight="1">
      <x:c r="A67" s="16" t="str">
        <x:v>Красноярская ГРЭС-2</x:v>
      </x:c>
      <x:c r="B67" s="16" t="str">
        <x:v>2000046040-V116</x:v>
      </x:c>
      <x:c r="C67" s="16" t="str">
        <x:v>ШЛИФКРУГ 400*32*127 64С</x:v>
      </x:c>
      <x:c r="D67" s="16" t="str">
        <x:v>Инструмент и спецосн</x:v>
      </x:c>
      <x:c r="E67" s="16" t="str">
        <x:v>ШТ</x:v>
      </x:c>
      <x:c r="F67" s="21" t="n">
        <x:v>4</x:v>
      </x:c>
      <x:c r="G67" s="17" t="n">
        <x:v>2075.83</x:v>
      </x:c>
      <x:c r="H67" s="17" t="n">
        <x:f>G67*F67</x:f>
        <x:v>8303.32</x:v>
      </x:c>
      <x:c r="I67" s="22" t="str">
        <x:f>HYPERLINK("https://etp-aktiv.ru/catalog/materialy/instrument-i-specosnastka/2000046040-V116/","Открыть позицию")</x:f>
        <x:v>Открыть позицию</x:v>
      </x:c>
    </x:row>
    <x:row r="68" ht="28" customHeight="1">
      <x:c r="A68" s="16" t="str">
        <x:v>Красноярская ГРЭС-2</x:v>
      </x:c>
      <x:c r="B68" s="16" t="str">
        <x:v>2000188002-V116</x:v>
      </x:c>
      <x:c r="C68" s="16" t="str">
        <x:v>ШЛИФКРУГ ОТРЕЗНОЙ 150*2*22 14А50Т2ЕУ</x:v>
      </x:c>
      <x:c r="D68" s="16" t="str">
        <x:v>Инструмент и спецосн</x:v>
      </x:c>
      <x:c r="E68" s="16" t="str">
        <x:v>ШТ</x:v>
      </x:c>
      <x:c r="F68" s="21" t="n">
        <x:v>23</x:v>
      </x:c>
      <x:c r="G68" s="17" t="n">
        <x:v>15.8356</x:v>
      </x:c>
      <x:c r="H68" s="17" t="n">
        <x:f>G68*F68</x:f>
        <x:v>364.2188</x:v>
      </x:c>
      <x:c r="I68" s="22" t="str">
        <x:f>HYPERLINK("https://etp-aktiv.ru/catalog/materialy/instrument-i-specosnastka/2000188002-V116/","Открыть позицию")</x:f>
        <x:v>Открыть позицию</x:v>
      </x:c>
    </x:row>
    <x:row r="69" ht="28" customHeight="1">
      <x:c r="A69" s="16" t="str">
        <x:v>Красноярская ГРЭС-2</x:v>
      </x:c>
      <x:c r="B69" s="16" t="str">
        <x:v>2000302745-V116</x:v>
      </x:c>
      <x:c r="C69" s="16" t="str">
        <x:v>ШЛИФШКУРКА 25Н*775ММ</x:v>
      </x:c>
      <x:c r="D69" s="16" t="str">
        <x:v>Инструмент и спецосн</x:v>
      </x:c>
      <x:c r="E69" s="16" t="str">
        <x:v>М</x:v>
      </x:c>
      <x:c r="F69" s="21" t="n">
        <x:v>1</x:v>
      </x:c>
      <x:c r="G69" s="17" t="n">
        <x:v>353.373</x:v>
      </x:c>
      <x:c r="H69" s="17" t="n">
        <x:f>G69*F69</x:f>
        <x:v>353.373</x:v>
      </x:c>
      <x:c r="I69" s="22" t="str">
        <x:f>HYPERLINK("https://etp-aktiv.ru/catalog/materialy/instrument-i-specosnastka/2000302745-V116/","Открыть позицию")</x:f>
        <x:v>Открыть позицию</x:v>
      </x:c>
    </x:row>
    <x:row r="70" ht="28" customHeight="1">
      <x:c r="A70" s="16" t="str">
        <x:v>Красноярская ГРЭС-2</x:v>
      </x:c>
      <x:c r="B70" s="16" t="str">
        <x:v>2000151593-V116</x:v>
      </x:c>
      <x:c r="C70" s="16" t="str">
        <x:v>ШЛИФШКУРКА N6 700*30 14А</x:v>
      </x:c>
      <x:c r="D70" s="16" t="str">
        <x:v>Инструмент и спецосн</x:v>
      </x:c>
      <x:c r="E70" s="16" t="str">
        <x:v>М</x:v>
      </x:c>
      <x:c r="F70" s="30" t="n">
        <x:v>0.2</x:v>
      </x:c>
      <x:c r="G70" s="17" t="n">
        <x:v>130.4668</x:v>
      </x:c>
      <x:c r="H70" s="17" t="n">
        <x:f>G70*F70</x:f>
        <x:v>26.093360000000004</x:v>
      </x:c>
      <x:c r="I70" s="22" t="str">
        <x:f>HYPERLINK("https://etp-aktiv.ru/catalog/materialy/instrument-i-specosnastka/2000151593-V116/","Открыть позицию")</x:f>
        <x:v>Открыть позицию</x:v>
      </x:c>
    </x:row>
    <x:row r="71" ht="28" customHeight="1">
      <x:c r="A71" s="16" t="str">
        <x:v>Красноярская ТЭЦ-1</x:v>
      </x:c>
      <x:c r="B71" s="16" t="str">
        <x:v>5000057660-V119</x:v>
      </x:c>
      <x:c r="C71" s="16" t="str">
        <x:v>АГР НАС НА РАМЕ НД1,0-630/16К14А АИР80A4</x:v>
      </x:c>
      <x:c r="D71" s="16" t="str">
        <x:v>НасосыДозировоХимич</x:v>
      </x:c>
      <x:c r="E71" s="16" t="str">
        <x:v>ШТ</x:v>
      </x:c>
      <x:c r="F71" s="21" t="n">
        <x:v>2</x:v>
      </x:c>
      <x:c r="G71" s="17" t="n">
        <x:v>74197.34999999999</x:v>
      </x:c>
      <x:c r="H71" s="17" t="n">
        <x:f>G71*F71</x:f>
        <x:v>148394.69999999998</x:v>
      </x:c>
      <x:c r="I71" s="22" t="str">
        <x:f>HYPERLINK("https://etp-aktiv.ru/catalog/materialy/nasosno-kompressornoe-oborudovanie/5000057660-V119/","Открыть позицию")</x:f>
        <x:v>Открыть позицию</x:v>
      </x:c>
    </x:row>
    <x:row r="72" ht="28" customHeight="1">
      <x:c r="A72" s="16" t="str">
        <x:v>Красноярская ТЭЦ-1</x:v>
      </x:c>
      <x:c r="B72" s="16" t="str">
        <x:v>2000378307-V119</x:v>
      </x:c>
      <x:c r="C72" s="16" t="str">
        <x:v>БУР SDS-MAX 20*800/920 KEIL 1270200920</x:v>
      </x:c>
      <x:c r="D72" s="16" t="str">
        <x:v>Инструмент и спецосн</x:v>
      </x:c>
      <x:c r="E72" s="16" t="str">
        <x:v>ШТ</x:v>
      </x:c>
      <x:c r="F72" s="21" t="n">
        <x:v>4</x:v>
      </x:c>
      <x:c r="G72" s="17" t="n">
        <x:v>2262.6364</x:v>
      </x:c>
      <x:c r="H72" s="17" t="n">
        <x:f>G72*F72</x:f>
        <x:v>9050.5456</x:v>
      </x:c>
      <x:c r="I72" s="22" t="str">
        <x:f>HYPERLINK("https://etp-aktiv.ru/catalog/materialy/instrument-i-specosnastka/2000378307-V119/","Открыть позицию")</x:f>
        <x:v>Открыть позицию</x:v>
      </x:c>
    </x:row>
    <x:row r="73" ht="28" customHeight="1">
      <x:c r="A73" s="16" t="str">
        <x:v>Красноярская ТЭЦ-1</x:v>
      </x:c>
      <x:c r="B73" s="16" t="str">
        <x:v>2000744085-V119</x:v>
      </x:c>
      <x:c r="C73" s="16" t="str">
        <x:v>ВАЛ 1РМ100-20 СБ РМ-1000</x:v>
      </x:c>
      <x:c r="D73" s="16" t="str">
        <x:v>Детали редукторов</x:v>
      </x:c>
      <x:c r="E73" s="16" t="str">
        <x:v>ШТ</x:v>
      </x:c>
      <x:c r="F73" s="21" t="n">
        <x:v>1</x:v>
      </x:c>
      <x:c r="G73" s="17" t="n">
        <x:v>50654.741599999994</x:v>
      </x:c>
      <x:c r="H73" s="17" t="n">
        <x:f>G73*F73</x:f>
        <x:v>50654.741599999994</x:v>
      </x:c>
      <x:c r="I73" s="22" t="str">
        <x:f>HYPERLINK("https://etp-aktiv.ru/catalog/materialy/reduktory/2000744085-V119/","Открыть позицию")</x:f>
        <x:v>Открыть позицию</x:v>
      </x:c>
    </x:row>
    <x:row r="74" ht="28" customHeight="1">
      <x:c r="A74" s="16" t="str">
        <x:v>Красноярская ТЭЦ-1</x:v>
      </x:c>
      <x:c r="B74" s="16" t="str">
        <x:v>2000741390-V119</x:v>
      </x:c>
      <x:c r="C74" s="16" t="str">
        <x:v>ВАЛ 1РМ65-21 СБ РМ-650</x:v>
      </x:c>
      <x:c r="D74" s="16" t="str">
        <x:v>Детали редукторов</x:v>
      </x:c>
      <x:c r="E74" s="16" t="str">
        <x:v>ШТ</x:v>
      </x:c>
      <x:c r="F74" s="21" t="n">
        <x:v>2</x:v>
      </x:c>
      <x:c r="G74" s="17" t="n">
        <x:v>27719.01</x:v>
      </x:c>
      <x:c r="H74" s="17" t="n">
        <x:f>G74*F74</x:f>
        <x:v>55438.02</x:v>
      </x:c>
      <x:c r="I74" s="22" t="str">
        <x:f>HYPERLINK("https://etp-aktiv.ru/catalog/materialy/reduktory/2000741390-V119/","Открыть позицию")</x:f>
        <x:v>Открыть позицию</x:v>
      </x:c>
    </x:row>
    <x:row r="75" ht="28" customHeight="1">
      <x:c r="A75" s="16" t="str">
        <x:v>Красноярская ТЭЦ-1</x:v>
      </x:c>
      <x:c r="B75" s="16" t="str">
        <x:v>2000740871-V119</x:v>
      </x:c>
      <x:c r="C75" s="16" t="str">
        <x:v>ВТУЛКА КНБУ-6Б 13992-00</x:v>
      </x:c>
      <x:c r="D75" s="16" t="str">
        <x:v>ЗЧ к энергетич насос</x:v>
      </x:c>
      <x:c r="E75" s="16" t="str">
        <x:v>ШТ</x:v>
      </x:c>
      <x:c r="F75" s="21" t="n">
        <x:v>1</x:v>
      </x:c>
      <x:c r="G75" s="17" t="n">
        <x:v>16659.405</x:v>
      </x:c>
      <x:c r="H75" s="17" t="n">
        <x:f>G75*F75</x:f>
        <x:v>16659.405</x:v>
      </x:c>
      <x:c r="I75" s="22" t="str">
        <x:f>HYPERLINK("https://etp-aktiv.ru/catalog/materialy/zapasnye-chasti-promyshlennogo-oborudovaniya/2000740871-V119/","Открыть позицию")</x:f>
        <x:v>Открыть позицию</x:v>
      </x:c>
    </x:row>
    <x:row r="76" ht="28" customHeight="1">
      <x:c r="A76" s="16" t="str">
        <x:v>Красноярская ТЭЦ-1</x:v>
      </x:c>
      <x:c r="B76" s="16" t="str">
        <x:v>2000740872-V119</x:v>
      </x:c>
      <x:c r="C76" s="16" t="str">
        <x:v>ВТУЛКА КНБУ-6Б 13993-00</x:v>
      </x:c>
      <x:c r="D76" s="16" t="str">
        <x:v>ЗЧ к энергетич насос</x:v>
      </x:c>
      <x:c r="E76" s="16" t="str">
        <x:v>ШТ</x:v>
      </x:c>
      <x:c r="F76" s="21" t="n">
        <x:v>1</x:v>
      </x:c>
      <x:c r="G76" s="17" t="n">
        <x:v>19879.29</x:v>
      </x:c>
      <x:c r="H76" s="17" t="n">
        <x:f>G76*F76</x:f>
        <x:v>19879.29</x:v>
      </x:c>
      <x:c r="I76" s="22" t="str">
        <x:f>HYPERLINK("https://etp-aktiv.ru/catalog/materialy/zapasnye-chasti-promyshlennogo-oborudovaniya/2000740872-V119/","Открыть позицию")</x:f>
        <x:v>Открыть позицию</x:v>
      </x:c>
    </x:row>
    <x:row r="77" ht="28" customHeight="1">
      <x:c r="A77" s="16" t="str">
        <x:v>Красноярская ТЭЦ-1</x:v>
      </x:c>
      <x:c r="B77" s="16" t="str">
        <x:v>2000740876-V119</x:v>
      </x:c>
      <x:c r="C77" s="16" t="str">
        <x:v>ГАЙКА КНБУ-6Б 13997-00</x:v>
      </x:c>
      <x:c r="D77" s="16" t="str">
        <x:v>ЗЧ к энергетич насос</x:v>
      </x:c>
      <x:c r="E77" s="16" t="str">
        <x:v>ШТ</x:v>
      </x:c>
      <x:c r="F77" s="21" t="n">
        <x:v>1</x:v>
      </x:c>
      <x:c r="G77" s="17" t="n">
        <x:v>3289.8886</x:v>
      </x:c>
      <x:c r="H77" s="17" t="n">
        <x:f>G77*F77</x:f>
        <x:v>3289.8886</x:v>
      </x:c>
      <x:c r="I77" s="22" t="str">
        <x:f>HYPERLINK("https://etp-aktiv.ru/catalog/materialy/zapasnye-chasti-promyshlennogo-oborudovaniya/2000740876-V119/","Открыть позицию")</x:f>
        <x:v>Открыть позицию</x:v>
      </x:c>
    </x:row>
    <x:row r="78" ht="28" customHeight="1">
      <x:c r="A78" s="16" t="str">
        <x:v>Красноярская ТЭЦ-1</x:v>
      </x:c>
      <x:c r="B78" s="16" t="str">
        <x:v>2000740877-V119</x:v>
      </x:c>
      <x:c r="C78" s="16" t="str">
        <x:v>ГАЙКА КНБУ-6Б 13998-00</x:v>
      </x:c>
      <x:c r="D78" s="16" t="str">
        <x:v>ЗЧ к энергетич насос</x:v>
      </x:c>
      <x:c r="E78" s="16" t="str">
        <x:v>ШТ</x:v>
      </x:c>
      <x:c r="F78" s="21" t="n">
        <x:v>1</x:v>
      </x:c>
      <x:c r="G78" s="17" t="n">
        <x:v>3289.8886</x:v>
      </x:c>
      <x:c r="H78" s="17" t="n">
        <x:f>G78*F78</x:f>
        <x:v>3289.8886</x:v>
      </x:c>
      <x:c r="I78" s="22" t="str">
        <x:f>HYPERLINK("https://etp-aktiv.ru/catalog/materialy/zapasnye-chasti-promyshlennogo-oborudovaniya/2000740877-V119/","Открыть позицию")</x:f>
        <x:v>Открыть позицию</x:v>
      </x:c>
    </x:row>
    <x:row r="79" ht="28" customHeight="1">
      <x:c r="A79" s="16" t="str">
        <x:v>Красноярская ТЭЦ-1</x:v>
      </x:c>
      <x:c r="B79" s="16" t="str">
        <x:v>2000740878-V119</x:v>
      </x:c>
      <x:c r="C79" s="16" t="str">
        <x:v>ГАЙКА КНБУ-6Б 13999-00</x:v>
      </x:c>
      <x:c r="D79" s="16" t="str">
        <x:v>ЗЧ к энергетич насос</x:v>
      </x:c>
      <x:c r="E79" s="16" t="str">
        <x:v>ШТ</x:v>
      </x:c>
      <x:c r="F79" s="21" t="n">
        <x:v>1</x:v>
      </x:c>
      <x:c r="G79" s="17" t="n">
        <x:v>3289.8886</x:v>
      </x:c>
      <x:c r="H79" s="17" t="n">
        <x:f>G79*F79</x:f>
        <x:v>3289.8886</x:v>
      </x:c>
      <x:c r="I79" s="22" t="str">
        <x:f>HYPERLINK("https://etp-aktiv.ru/catalog/materialy/zapasnye-chasti-promyshlennogo-oborudovaniya/2000740878-V119/","Открыть позицию")</x:f>
        <x:v>Открыть позицию</x:v>
      </x:c>
    </x:row>
    <x:row r="80" ht="28" customHeight="1">
      <x:c r="A80" s="16" t="str">
        <x:v>Красноярская ТЭЦ-1</x:v>
      </x:c>
      <x:c r="B80" s="16" t="str">
        <x:v>2000740879-V119</x:v>
      </x:c>
      <x:c r="C80" s="16" t="str">
        <x:v>ГАЙКА КНБУ-6Б 14000-00</x:v>
      </x:c>
      <x:c r="D80" s="16" t="str">
        <x:v>ЗЧ к энергетич насос</x:v>
      </x:c>
      <x:c r="E80" s="16" t="str">
        <x:v>ШТ</x:v>
      </x:c>
      <x:c r="F80" s="21" t="n">
        <x:v>1</x:v>
      </x:c>
      <x:c r="G80" s="17" t="n">
        <x:v>3289.8886</x:v>
      </x:c>
      <x:c r="H80" s="17" t="n">
        <x:f>G80*F80</x:f>
        <x:v>3289.8886</x:v>
      </x:c>
      <x:c r="I80" s="22" t="str">
        <x:f>HYPERLINK("https://etp-aktiv.ru/catalog/materialy/zapasnye-chasti-promyshlennogo-oborudovaniya/2000740879-V119/","Открыть позицию")</x:f>
        <x:v>Открыть позицию</x:v>
      </x:c>
    </x:row>
    <x:row r="81" ht="28" customHeight="1">
      <x:c r="A81" s="16" t="str">
        <x:v>Красноярская ТЭЦ-1</x:v>
      </x:c>
      <x:c r="B81" s="16" t="str">
        <x:v>2000526945-V119</x:v>
      </x:c>
      <x:c r="C81" s="16" t="str">
        <x:v>ГРУЗ РИВП.305651.015</x:v>
      </x:c>
      <x:c r="D81" s="16" t="str">
        <x:v>ЗЧ грузоподъемн обор</x:v>
      </x:c>
      <x:c r="E81" s="16" t="str">
        <x:v>ШТ</x:v>
      </x:c>
      <x:c r="F81" s="21" t="n">
        <x:v>1</x:v>
      </x:c>
      <x:c r="G81" s="17" t="n">
        <x:v>2246.9228</x:v>
      </x:c>
      <x:c r="H81" s="17" t="n">
        <x:f>G81*F81</x:f>
        <x:v>2246.9228</x:v>
      </x:c>
      <x:c r="I81" s="22" t="str">
        <x:f>HYPERLINK("https://etp-aktiv.ru/catalog/materialy/zapasnye-chasti-k-gruzopodemnoj-tekhnike-oborudovaniyu-i-mekhanizmam/2000526945-V119/","Открыть позицию")</x:f>
        <x:v>Открыть позицию</x:v>
      </x:c>
    </x:row>
    <x:row r="82" ht="28" customHeight="1">
      <x:c r="A82" s="16" t="str">
        <x:v>Красноярская ТЭЦ-1</x:v>
      </x:c>
      <x:c r="B82" s="16" t="str">
        <x:v>2000617972-V119</x:v>
      </x:c>
      <x:c r="C82" s="16" t="str">
        <x:v>ЗАЖИМ ВИНТОВОЙ КАНАТНЫЙ D24ММ DIN741</x:v>
      </x:c>
      <x:c r="D82" s="16" t="str">
        <x:v>Такелажные изделия</x:v>
      </x:c>
      <x:c r="E82" s="16" t="str">
        <x:v>ШТ</x:v>
      </x:c>
      <x:c r="F82" s="21" t="n">
        <x:v>6</x:v>
      </x:c>
      <x:c r="G82" s="17" t="n">
        <x:v>54.2534</x:v>
      </x:c>
      <x:c r="H82" s="17" t="n">
        <x:f>G82*F82</x:f>
        <x:v>325.5204</x:v>
      </x:c>
      <x:c r="I82" s="22" t="str">
        <x:f>HYPERLINK("https://etp-aktiv.ru/catalog/materialy/zapasnye-chasti-k-gruzopodemnoj-tekhnike-oborudovaniyu-i-mekhanizmam/2000617972-V119/","Открыть позицию")</x:f>
        <x:v>Открыть позицию</x:v>
      </x:c>
    </x:row>
    <x:row r="83" ht="28" customHeight="1">
      <x:c r="A83" s="16" t="str">
        <x:v>Красноярская ТЭЦ-1</x:v>
      </x:c>
      <x:c r="B83" s="16" t="str">
        <x:v>2000337798-V119</x:v>
      </x:c>
      <x:c r="C83" s="16" t="str">
        <x:v>ЗАЖИМ КАНАТНЫЙ D22ММ EN13411-5</x:v>
      </x:c>
      <x:c r="D83" s="16" t="str">
        <x:v>Такелажные изделия</x:v>
      </x:c>
      <x:c r="E83" s="16" t="str">
        <x:v>ШТ</x:v>
      </x:c>
      <x:c r="F83" s="21" t="n">
        <x:v>6</x:v>
      </x:c>
      <x:c r="G83" s="17" t="n">
        <x:v>104.9932</x:v>
      </x:c>
      <x:c r="H83" s="17" t="n">
        <x:f>G83*F83</x:f>
        <x:v>629.9592</x:v>
      </x:c>
      <x:c r="I83" s="22" t="str">
        <x:f>HYPERLINK("https://etp-aktiv.ru/catalog/materialy/zapasnye-chasti-k-gruzopodemnoj-tekhnike-oborudovaniyu-i-mekhanizmam/2000337798-V119/","Открыть позицию")</x:f>
        <x:v>Открыть позицию</x:v>
      </x:c>
    </x:row>
    <x:row r="84" ht="28" customHeight="1">
      <x:c r="A84" s="16" t="str">
        <x:v>Красноярская ТЭЦ-1</x:v>
      </x:c>
      <x:c r="B84" s="16" t="str">
        <x:v>2000557580-V119</x:v>
      </x:c>
      <x:c r="C84" s="16" t="str">
        <x:v>КАРАБИН КЛАССИЧЕСКИЙ VPRO 0023 МУФТА</x:v>
      </x:c>
      <x:c r="D84" s="16" t="str">
        <x:v>Авар-спас снаряж</x:v>
      </x:c>
      <x:c r="E84" s="16" t="str">
        <x:v>ШТ</x:v>
      </x:c>
      <x:c r="F84" s="21" t="n">
        <x:v>94</x:v>
      </x:c>
      <x:c r="G84" s="17" t="n">
        <x:v>384.0682</x:v>
      </x:c>
      <x:c r="H84" s="17" t="n">
        <x:f>G84*F84</x:f>
        <x:v>36102.4108</x:v>
      </x:c>
      <x:c r="I84" s="22" t="str">
        <x:f>HYPERLINK("https://etp-aktiv.ru/catalog/materialy/specodezhda-i-siz/2000557580-V119/","Открыть позицию")</x:f>
        <x:v>Открыть позицию</x:v>
      </x:c>
    </x:row>
    <x:row r="85" ht="28" customHeight="1">
      <x:c r="A85" s="16" t="str">
        <x:v>Красноярская ТЭЦ-1</x:v>
      </x:c>
      <x:c r="B85" s="16" t="str">
        <x:v>2000314925-V119</x:v>
      </x:c>
      <x:c r="C85" s="16" t="str">
        <x:v>КЛЮЧ РАЗВОДНОЙ ОДНОСТ 450ММ MATRIX 15511</x:v>
      </x:c>
      <x:c r="D85" s="16" t="str">
        <x:v>Инструмент и спецосн</x:v>
      </x:c>
      <x:c r="E85" s="16" t="str">
        <x:v>ШТ</x:v>
      </x:c>
      <x:c r="F85" s="21" t="n">
        <x:v>3</x:v>
      </x:c>
      <x:c r="G85" s="17" t="n">
        <x:v>655.6401999999999</x:v>
      </x:c>
      <x:c r="H85" s="17" t="n">
        <x:f>G85*F85</x:f>
        <x:v>1966.9206</x:v>
      </x:c>
      <x:c r="I85" s="22" t="str">
        <x:f>HYPERLINK("https://etp-aktiv.ru/catalog/materialy/instrument-i-specosnastka/2000314925-V119/","Открыть позицию")</x:f>
        <x:v>Открыть позицию</x:v>
      </x:c>
    </x:row>
    <x:row r="86" ht="28" customHeight="1">
      <x:c r="A86" s="16" t="str">
        <x:v>Красноярская ТЭЦ-1</x:v>
      </x:c>
      <x:c r="B86" s="16" t="str">
        <x:v>2000740874-V119</x:v>
      </x:c>
      <x:c r="C86" s="16" t="str">
        <x:v>КОЛЬЦО КНБУ-6Б 13995-00</x:v>
      </x:c>
      <x:c r="D86" s="16" t="str">
        <x:v>ЗЧ к энергетич насос</x:v>
      </x:c>
      <x:c r="E86" s="16" t="str">
        <x:v>ШТ</x:v>
      </x:c>
      <x:c r="F86" s="21" t="n">
        <x:v>1</x:v>
      </x:c>
      <x:c r="G86" s="17" t="n">
        <x:v>12249.568599999999</x:v>
      </x:c>
      <x:c r="H86" s="17" t="n">
        <x:f>G86*F86</x:f>
        <x:v>12249.568599999999</x:v>
      </x:c>
      <x:c r="I86" s="22" t="str">
        <x:f>HYPERLINK("https://etp-aktiv.ru/catalog/materialy/zapasnye-chasti-promyshlennogo-oborudovaniya/2000740874-V119/","Открыть позицию")</x:f>
        <x:v>Открыть позицию</x:v>
      </x:c>
    </x:row>
    <x:row r="87" ht="28" customHeight="1">
      <x:c r="A87" s="16" t="str">
        <x:v>Красноярская ТЭЦ-1</x:v>
      </x:c>
      <x:c r="B87" s="16" t="str">
        <x:v>2000740875-V119</x:v>
      </x:c>
      <x:c r="C87" s="16" t="str">
        <x:v>КОЛЬЦО КНБУ-6Б 13996-00</x:v>
      </x:c>
      <x:c r="D87" s="16" t="str">
        <x:v>ЗЧ к энергетич насос</x:v>
      </x:c>
      <x:c r="E87" s="16" t="str">
        <x:v>ШТ</x:v>
      </x:c>
      <x:c r="F87" s="21" t="n">
        <x:v>1</x:v>
      </x:c>
      <x:c r="G87" s="17" t="n">
        <x:v>1469.9536</x:v>
      </x:c>
      <x:c r="H87" s="17" t="n">
        <x:f>G87*F87</x:f>
        <x:v>1469.9536</x:v>
      </x:c>
      <x:c r="I87" s="22" t="str">
        <x:f>HYPERLINK("https://etp-aktiv.ru/catalog/materialy/zapasnye-chasti-promyshlennogo-oborudovaniya/2000740875-V119/","Открыть позицию")</x:f>
        <x:v>Открыть позицию</x:v>
      </x:c>
    </x:row>
    <x:row r="88" ht="28" customHeight="1">
      <x:c r="A88" s="16" t="str">
        <x:v>Красноярская ТЭЦ-1</x:v>
      </x:c>
      <x:c r="B88" s="16" t="str">
        <x:v>2000251125-V119</x:v>
      </x:c>
      <x:c r="C88" s="16" t="str">
        <x:v>КОЛЬЦО УПЛОТНИТЕЛЬНОЕ Д-17798</x:v>
      </x:c>
      <x:c r="D88" s="16" t="str">
        <x:v>ЗЧ к гидравлич насос</x:v>
      </x:c>
      <x:c r="E88" s="16" t="str">
        <x:v>ШТ</x:v>
      </x:c>
      <x:c r="F88" s="21" t="n">
        <x:v>2</x:v>
      </x:c>
      <x:c r="G88" s="17" t="n">
        <x:v>11917.082</x:v>
      </x:c>
      <x:c r="H88" s="17" t="n">
        <x:f>G88*F88</x:f>
        <x:v>23834.164</x:v>
      </x:c>
      <x:c r="I88" s="22" t="str">
        <x:f>HYPERLINK("https://etp-aktiv.ru/catalog/materialy/nasosno-kompressornoe-oborudovanie/2000251125-V119/","Открыть позицию")</x:f>
        <x:v>Открыть позицию</x:v>
      </x:c>
    </x:row>
    <x:row r="89" ht="28" customHeight="1">
      <x:c r="A89" s="16" t="str">
        <x:v>Красноярская ТЭЦ-1</x:v>
      </x:c>
      <x:c r="B89" s="16" t="str">
        <x:v>2000829014-V119</x:v>
      </x:c>
      <x:c r="C89" s="16" t="str">
        <x:v>КРУГ ЗАТОЧНОЙ 48*10*7,5ММ ДИОЛД 90162005</x:v>
      </x:c>
      <x:c r="D89" s="16" t="str">
        <x:v>Инструмент и спецосн</x:v>
      </x:c>
      <x:c r="E89" s="16" t="str">
        <x:v>ШТ</x:v>
      </x:c>
      <x:c r="F89" s="21" t="n">
        <x:v>18</x:v>
      </x:c>
      <x:c r="G89" s="17" t="n">
        <x:v>275.03679999999997</x:v>
      </x:c>
      <x:c r="H89" s="17" t="n">
        <x:f>G89*F89</x:f>
        <x:v>4950.662399999999</x:v>
      </x:c>
      <x:c r="I89" s="22" t="str">
        <x:f>HYPERLINK("https://etp-aktiv.ru/catalog/materialy/instrument-i-specosnastka/2000829014-V119/","Открыть позицию")</x:f>
        <x:v>Открыть позицию</x:v>
      </x:c>
    </x:row>
    <x:row r="90" ht="28" customHeight="1">
      <x:c r="A90" s="16" t="str">
        <x:v>Красноярская ТЭЦ-1</x:v>
      </x:c>
      <x:c r="B90" s="16" t="str">
        <x:v>2000261418-V119</x:v>
      </x:c>
      <x:c r="C90" s="16" t="str">
        <x:v>КРУГ ЗАЧИСТНОЙ 180*6*22,23 1А F30 QBF</x:v>
      </x:c>
      <x:c r="D90" s="16" t="str">
        <x:v>Инструмент и спецосн</x:v>
      </x:c>
      <x:c r="E90" s="16" t="str">
        <x:v>ШТ</x:v>
      </x:c>
      <x:c r="F90" s="21" t="n">
        <x:v>176</x:v>
      </x:c>
      <x:c r="G90" s="17" t="n">
        <x:v>41.894800000000004</x:v>
      </x:c>
      <x:c r="H90" s="17" t="n">
        <x:f>G90*F90</x:f>
        <x:v>7373.4848</x:v>
      </x:c>
      <x:c r="I90" s="22" t="str">
        <x:f>HYPERLINK("https://etp-aktiv.ru/catalog/materialy/instrument-i-specosnastka/2000261418-V119/","Открыть позицию")</x:f>
        <x:v>Открыть позицию</x:v>
      </x:c>
    </x:row>
    <x:row r="91" ht="28" customHeight="1">
      <x:c r="A91" s="16" t="str">
        <x:v>Красноярская ТЭЦ-1</x:v>
      </x:c>
      <x:c r="B91" s="16" t="str">
        <x:v>2000544320-V119</x:v>
      </x:c>
      <x:c r="C91" s="16" t="str">
        <x:v>КРУГ ЗАЧИСТНОЙ 230*8*22,0 14A BF</x:v>
      </x:c>
      <x:c r="D91" s="16" t="str">
        <x:v>Инструмент и спецосн</x:v>
      </x:c>
      <x:c r="E91" s="16" t="str">
        <x:v>ШТ</x:v>
      </x:c>
      <x:c r="F91" s="21" t="n">
        <x:v>10</x:v>
      </x:c>
      <x:c r="G91" s="17" t="n">
        <x:v>70.1134</x:v>
      </x:c>
      <x:c r="H91" s="17" t="n">
        <x:f>G91*F91</x:f>
        <x:v>701.134</x:v>
      </x:c>
      <x:c r="I91" s="22" t="str">
        <x:f>HYPERLINK("https://etp-aktiv.ru/catalog/materialy/instrument-i-specosnastka/2000544320-V119/","Открыть позицию")</x:f>
        <x:v>Открыть позицию</x:v>
      </x:c>
    </x:row>
    <x:row r="92" ht="28" customHeight="1">
      <x:c r="A92" s="16" t="str">
        <x:v>Красноярская ТЭЦ-1</x:v>
      </x:c>
      <x:c r="B92" s="16" t="str">
        <x:v>2000299587-V119</x:v>
      </x:c>
      <x:c r="C92" s="16" t="str">
        <x:v>КРУГ ЛЕПЕСТКОВЫЙ 150*30*32 KK19XW25H</x:v>
      </x:c>
      <x:c r="D92" s="16" t="str">
        <x:v>Инструмент и спецосн</x:v>
      </x:c>
      <x:c r="E92" s="16" t="str">
        <x:v>ШТ</x:v>
      </x:c>
      <x:c r="F92" s="21" t="n">
        <x:v>24</x:v>
      </x:c>
      <x:c r="G92" s="17" t="n">
        <x:v>196.48100000000002</x:v>
      </x:c>
      <x:c r="H92" s="17" t="n">
        <x:f>G92*F92</x:f>
        <x:v>4715.544000000001</x:v>
      </x:c>
      <x:c r="I92" s="22" t="str">
        <x:f>HYPERLINK("https://etp-aktiv.ru/catalog/materialy/instrument-i-specosnastka/2000299587-V119/","Открыть позицию")</x:f>
        <x:v>Открыть позицию</x:v>
      </x:c>
    </x:row>
    <x:row r="93" ht="28" customHeight="1">
      <x:c r="A93" s="16" t="str">
        <x:v>Красноярская ТЭЦ-1</x:v>
      </x:c>
      <x:c r="B93" s="16" t="str">
        <x:v>2000149714-V119</x:v>
      </x:c>
      <x:c r="C93" s="16" t="str">
        <x:v>КРУГ ОТРЕЗНОЙ 180*6*22 14А</x:v>
      </x:c>
      <x:c r="D93" s="16" t="str">
        <x:v>Инструмент и спецосн</x:v>
      </x:c>
      <x:c r="E93" s="16" t="str">
        <x:v>ШТ</x:v>
      </x:c>
      <x:c r="F93" s="21" t="n">
        <x:v>59</x:v>
      </x:c>
      <x:c r="G93" s="17" t="n">
        <x:v>51.996399999999994</x:v>
      </x:c>
      <x:c r="H93" s="17" t="n">
        <x:f>G93*F93</x:f>
        <x:v>3067.7875999999997</x:v>
      </x:c>
      <x:c r="I93" s="22" t="str">
        <x:f>HYPERLINK("https://etp-aktiv.ru/catalog/materialy/instrument-i-specosnastka/2000149714-V119/","Открыть позицию")</x:f>
        <x:v>Открыть позицию</x:v>
      </x:c>
    </x:row>
    <x:row r="94" ht="28" customHeight="1">
      <x:c r="A94" s="16" t="str">
        <x:v>Красноярская ТЭЦ-1</x:v>
      </x:c>
      <x:c r="B94" s="16" t="str">
        <x:v>2000570817-V119</x:v>
      </x:c>
      <x:c r="C94" s="16" t="str">
        <x:v>КРЫШКА ВСАСЫВАЮЩАЯ 16.00.003</x:v>
      </x:c>
      <x:c r="D94" s="16" t="str">
        <x:v>ЗЧ к энергетич насос</x:v>
      </x:c>
      <x:c r="E94" s="16" t="str">
        <x:v>ШТ</x:v>
      </x:c>
      <x:c r="F94" s="21" t="n">
        <x:v>2</x:v>
      </x:c>
      <x:c r="G94" s="17" t="n">
        <x:v>7995.245599999999</x:v>
      </x:c>
      <x:c r="H94" s="17" t="n">
        <x:f>G94*F94</x:f>
        <x:v>15990.491199999999</x:v>
      </x:c>
      <x:c r="I94" s="22" t="str">
        <x:f>HYPERLINK("https://etp-aktiv.ru/catalog/materialy/zapasnye-chasti-promyshlennogo-oborudovaniya/2000570817-V119/","Открыть позицию")</x:f>
        <x:v>Открыть позицию</x:v>
      </x:c>
    </x:row>
    <x:row r="95" ht="28" customHeight="1">
      <x:c r="A95" s="16" t="str">
        <x:v>Красноярская ТЭЦ-1</x:v>
      </x:c>
      <x:c r="B95" s="16" t="str">
        <x:v>2000570818-V119</x:v>
      </x:c>
      <x:c r="C95" s="16" t="str">
        <x:v>КРЫШКА ПОДШИПНИКА ЛЕВАЯ 17.00.005</x:v>
      </x:c>
      <x:c r="D95" s="16" t="str">
        <x:v>ЗЧ к гидравлич насос</x:v>
      </x:c>
      <x:c r="E95" s="16" t="str">
        <x:v>ШТ</x:v>
      </x:c>
      <x:c r="F95" s="21" t="n">
        <x:v>4</x:v>
      </x:c>
      <x:c r="G95" s="17" t="n">
        <x:v>991.6281999999999</x:v>
      </x:c>
      <x:c r="H95" s="17" t="n">
        <x:f>G95*F95</x:f>
        <x:v>3966.5127999999995</x:v>
      </x:c>
      <x:c r="I95" s="22" t="str">
        <x:f>HYPERLINK("https://etp-aktiv.ru/catalog/materialy/nasosno-kompressornoe-oborudovanie/2000570818-V119/","Открыть позицию")</x:f>
        <x:v>Открыть позицию</x:v>
      </x:c>
    </x:row>
    <x:row r="96" ht="28" customHeight="1">
      <x:c r="A96" s="16" t="str">
        <x:v>Красноярская ТЭЦ-1</x:v>
      </x:c>
      <x:c r="B96" s="16" t="str">
        <x:v>2000570819-V119</x:v>
      </x:c>
      <x:c r="C96" s="16" t="str">
        <x:v>КРЫШКА ПОДШИПНИКА ПРАВАЯ 17.00.009</x:v>
      </x:c>
      <x:c r="D96" s="16" t="str">
        <x:v>ЗЧ к гидравлич насос</x:v>
      </x:c>
      <x:c r="E96" s="16" t="str">
        <x:v>ШТ</x:v>
      </x:c>
      <x:c r="F96" s="21" t="n">
        <x:v>1</x:v>
      </x:c>
      <x:c r="G96" s="17" t="n">
        <x:v>804.9681999999999</x:v>
      </x:c>
      <x:c r="H96" s="17" t="n">
        <x:f>G96*F96</x:f>
        <x:v>804.9681999999999</x:v>
      </x:c>
      <x:c r="I96" s="22" t="str">
        <x:f>HYPERLINK("https://etp-aktiv.ru/catalog/materialy/nasosno-kompressornoe-oborudovanie/2000570819-V119/","Открыть позицию")</x:f>
        <x:v>Открыть позицию</x:v>
      </x:c>
    </x:row>
    <x:row r="97" ht="28" customHeight="1">
      <x:c r="A97" s="16" t="str">
        <x:v>Красноярская ТЭЦ-1</x:v>
      </x:c>
      <x:c r="B97" s="16" t="str">
        <x:v>2000563810-V119</x:v>
      </x:c>
      <x:c r="C97" s="16" t="str">
        <x:v>ЛОПАТА ШТЫКОВАЯ УНИВЕРС МАТИК СТМ76 М2.2</x:v>
      </x:c>
      <x:c r="D97" s="16" t="str">
        <x:v>Инструмент и спецосн</x:v>
      </x:c>
      <x:c r="E97" s="16" t="str">
        <x:v>ШТ</x:v>
      </x:c>
      <x:c r="F97" s="21" t="n">
        <x:v>12</x:v>
      </x:c>
      <x:c r="G97" s="17" t="n">
        <x:v>136.3106</x:v>
      </x:c>
      <x:c r="H97" s="17" t="n">
        <x:f>G97*F97</x:f>
        <x:v>1635.7271999999998</x:v>
      </x:c>
      <x:c r="I97" s="22" t="str">
        <x:f>HYPERLINK("https://etp-aktiv.ru/catalog/materialy/instrument-i-specosnastka/2000563810-V119/","Открыть позицию")</x:f>
        <x:v>Открыть позицию</x:v>
      </x:c>
    </x:row>
    <x:row r="98" ht="28" customHeight="1">
      <x:c r="A98" s="16" t="str">
        <x:v>Красноярская ТЭЦ-1</x:v>
      </x:c>
      <x:c r="B98" s="16" t="str">
        <x:v>2000377271-V119</x:v>
      </x:c>
      <x:c r="C98" s="16" t="str">
        <x:v>МЕТЛА ПЛАСТИКОВАЯ 440*190ММ ХОЗ8824</x:v>
      </x:c>
      <x:c r="D98" s="16" t="str">
        <x:v>Инструмент и спецосн</x:v>
      </x:c>
      <x:c r="E98" s="16" t="str">
        <x:v>ШТ</x:v>
      </x:c>
      <x:c r="F98" s="21" t="n">
        <x:v>1</x:v>
      </x:c>
      <x:c r="G98" s="17" t="n">
        <x:v>144.0088</x:v>
      </x:c>
      <x:c r="H98" s="17" t="n">
        <x:f>G98*F98</x:f>
        <x:v>144.0088</x:v>
      </x:c>
      <x:c r="I98" s="22" t="str">
        <x:f>HYPERLINK("https://etp-aktiv.ru/catalog/materialy/instrument-i-specosnastka/2000377271-V119/","Открыть позицию")</x:f>
        <x:v>Открыть позицию</x:v>
      </x:c>
    </x:row>
    <x:row r="99" ht="28" customHeight="1">
      <x:c r="A99" s="16" t="str">
        <x:v>Красноярская ТЭЦ-1</x:v>
      </x:c>
      <x:c r="B99" s="16" t="str">
        <x:v>2000536635-V119</x:v>
      </x:c>
      <x:c r="C99" s="16" t="str">
        <x:v>МОНИТОР ДВИГАТЕЛЯ МД-4-5 1-2,5А</x:v>
      </x:c>
      <x:c r="D99" s="16" t="str">
        <x:v>Низковол апп-ра и ЗЧ</x:v>
      </x:c>
      <x:c r="E99" s="16" t="str">
        <x:v>ШТ</x:v>
      </x:c>
      <x:c r="F99" s="21" t="n">
        <x:v>13</x:v>
      </x:c>
      <x:c r="G99" s="17" t="n">
        <x:v>2787.761</x:v>
      </x:c>
      <x:c r="H99" s="17" t="n">
        <x:f>G99*F99</x:f>
        <x:v>36240.893</x:v>
      </x:c>
      <x:c r="I99" s="22" t="str">
        <x:f>HYPERLINK("https://etp-aktiv.ru/catalog/materialy/nizkovoltnaya-apparatura-i-zapasnye-chasti/2000536635-V119/","Открыть позицию")</x:f>
        <x:v>Открыть позицию</x:v>
      </x:c>
    </x:row>
    <x:row r="100" ht="28" customHeight="1">
      <x:c r="A100" s="16" t="str">
        <x:v>Красноярская ТЭЦ-1</x:v>
      </x:c>
      <x:c r="B100" s="16" t="str">
        <x:v>5000068034-V119</x:v>
      </x:c>
      <x:c r="C100" s="16" t="str">
        <x:v>НАСОС НД 2,5-25/40 К14В Б/Э/ДВИГ</x:v>
      </x:c>
      <x:c r="D100" s="16" t="str">
        <x:v>НасосыДозировоХимич</x:v>
      </x:c>
      <x:c r="E100" s="16" t="str">
        <x:v>ШТ</x:v>
      </x:c>
      <x:c r="F100" s="21" t="n">
        <x:v>1</x:v>
      </x:c>
      <x:c r="G100" s="17" t="n">
        <x:v>60212.7218</x:v>
      </x:c>
      <x:c r="H100" s="17" t="n">
        <x:f>G100*F100</x:f>
        <x:v>60212.7218</x:v>
      </x:c>
      <x:c r="I100" s="22" t="str">
        <x:f>HYPERLINK("https://etp-aktiv.ru/catalog/materialy/nasosno-kompressornoe-oborudovanie/5000068034-V119/","Открыть позицию")</x:f>
        <x:v>Открыть позицию</x:v>
      </x:c>
    </x:row>
    <x:row r="101" ht="28" customHeight="1">
      <x:c r="A101" s="16" t="str">
        <x:v>Красноярская ТЭЦ-1</x:v>
      </x:c>
      <x:c r="B101" s="16" t="str">
        <x:v>5000065536-V119</x:v>
      </x:c>
      <x:c r="C101" s="16" t="str">
        <x:v>НАСОС НД2,5-1000/10К Б/Э/ДВИГ</x:v>
      </x:c>
      <x:c r="D101" s="16" t="str">
        <x:v>НасосыДозировоХимич</x:v>
      </x:c>
      <x:c r="E101" s="16" t="str">
        <x:v>ШТ</x:v>
      </x:c>
      <x:c r="F101" s="21" t="n">
        <x:v>2</x:v>
      </x:c>
      <x:c r="G101" s="17" t="n">
        <x:v>90996.75</x:v>
      </x:c>
      <x:c r="H101" s="17" t="n">
        <x:f>G101*F101</x:f>
        <x:v>181993.5</x:v>
      </x:c>
      <x:c r="I101" s="22" t="str">
        <x:f>HYPERLINK("https://etp-aktiv.ru/catalog/materialy/nasosno-kompressornoe-oborudovanie/5000065536-V119/","Открыть позицию")</x:f>
        <x:v>Открыть позицию</x:v>
      </x:c>
    </x:row>
    <x:row r="102" ht="28" customHeight="1">
      <x:c r="A102" s="16" t="str">
        <x:v>Красноярская ТЭЦ-1</x:v>
      </x:c>
      <x:c r="B102" s="16" t="str">
        <x:v>2000143798-V119</x:v>
      </x:c>
      <x:c r="C102" s="16" t="str">
        <x:v>ПОДШИПНИК 1202</x:v>
      </x:c>
      <x:c r="D102" s="16" t="str">
        <x:v>Подшипники</x:v>
      </x:c>
      <x:c r="E102" s="16" t="str">
        <x:v>ШТ</x:v>
      </x:c>
      <x:c r="F102" s="21" t="n">
        <x:v>10</x:v>
      </x:c>
      <x:c r="G102" s="17" t="n">
        <x:v>45.50599999999999</x:v>
      </x:c>
      <x:c r="H102" s="17" t="n">
        <x:f>G102*F102</x:f>
        <x:v>455.05999999999995</x:v>
      </x:c>
      <x:c r="I102" s="22" t="str">
        <x:f>HYPERLINK("https://etp-aktiv.ru/catalog/materialy/podshipniki/2000143798-V119/","Открыть позицию")</x:f>
        <x:v>Открыть позицию</x:v>
      </x:c>
    </x:row>
    <x:row r="103" ht="28" customHeight="1">
      <x:c r="A103" s="16" t="str">
        <x:v>Красноярская ТЭЦ-1</x:v>
      </x:c>
      <x:c r="B103" s="16" t="str">
        <x:v>2000002069-V119</x:v>
      </x:c>
      <x:c r="C103" s="16" t="str">
        <x:v>ПОДШИПНИК 1204</x:v>
      </x:c>
      <x:c r="D103" s="16" t="str">
        <x:v>Подшипники</x:v>
      </x:c>
      <x:c r="E103" s="16" t="str">
        <x:v>ШТ</x:v>
      </x:c>
      <x:c r="F103" s="21" t="n">
        <x:v>2</x:v>
      </x:c>
      <x:c r="G103" s="17" t="n">
        <x:v>69.75959999999999</x:v>
      </x:c>
      <x:c r="H103" s="17" t="n">
        <x:f>G103*F103</x:f>
        <x:v>139.51919999999998</x:v>
      </x:c>
      <x:c r="I103" s="22" t="str">
        <x:f>HYPERLINK("https://etp-aktiv.ru/catalog/materialy/podshipniki/2000002069-V119/","Открыть позицию")</x:f>
        <x:v>Открыть позицию</x:v>
      </x:c>
    </x:row>
    <x:row r="104" ht="28" customHeight="1">
      <x:c r="A104" s="16" t="str">
        <x:v>Красноярская ТЭЦ-1</x:v>
      </x:c>
      <x:c r="B104" s="16" t="str">
        <x:v>2000116859-V119</x:v>
      </x:c>
      <x:c r="C104" s="16" t="str">
        <x:v>ПОДШИПНИК 1210</x:v>
      </x:c>
      <x:c r="D104" s="16" t="str">
        <x:v>Подшипники</x:v>
      </x:c>
      <x:c r="E104" s="16" t="str">
        <x:v>ШТ</x:v>
      </x:c>
      <x:c r="F104" s="21" t="n">
        <x:v>4</x:v>
      </x:c>
      <x:c r="G104" s="17" t="n">
        <x:v>168.8236</x:v>
      </x:c>
      <x:c r="H104" s="17" t="n">
        <x:f>G104*F104</x:f>
        <x:v>675.2944</x:v>
      </x:c>
      <x:c r="I104" s="22" t="str">
        <x:f>HYPERLINK("https://etp-aktiv.ru/catalog/materialy/podshipniki/2000116859-V119/","Открыть позицию")</x:f>
        <x:v>Открыть позицию</x:v>
      </x:c>
    </x:row>
    <x:row r="105" ht="28" customHeight="1">
      <x:c r="A105" s="16" t="str">
        <x:v>Красноярская ТЭЦ-1</x:v>
      </x:c>
      <x:c r="B105" s="16" t="str">
        <x:v>2000034265-V119</x:v>
      </x:c>
      <x:c r="C105" s="16" t="str">
        <x:v>ПОДШИПНИК 1211</x:v>
      </x:c>
      <x:c r="D105" s="16" t="str">
        <x:v>Подшипники</x:v>
      </x:c>
      <x:c r="E105" s="16" t="str">
        <x:v>ШТ</x:v>
      </x:c>
      <x:c r="F105" s="21" t="n">
        <x:v>2</x:v>
      </x:c>
      <x:c r="G105" s="17" t="n">
        <x:v>205.875</x:v>
      </x:c>
      <x:c r="H105" s="17" t="n">
        <x:f>G105*F105</x:f>
        <x:v>411.75</x:v>
      </x:c>
      <x:c r="I105" s="22" t="str">
        <x:f>HYPERLINK("https://etp-aktiv.ru/catalog/materialy/podshipniki/2000034265-V119/","Открыть позицию")</x:f>
        <x:v>Открыть позицию</x:v>
      </x:c>
    </x:row>
    <x:row r="106" ht="28" customHeight="1">
      <x:c r="A106" s="16" t="str">
        <x:v>Красноярская ТЭЦ-1</x:v>
      </x:c>
      <x:c r="B106" s="16" t="str">
        <x:v>2000004985-V119</x:v>
      </x:c>
      <x:c r="C106" s="16" t="str">
        <x:v>ПОДШИПНИК 1306</x:v>
      </x:c>
      <x:c r="D106" s="16" t="str">
        <x:v>Подшипники</x:v>
      </x:c>
      <x:c r="E106" s="16" t="str">
        <x:v>ШТ</x:v>
      </x:c>
      <x:c r="F106" s="21" t="n">
        <x:v>2</x:v>
      </x:c>
      <x:c r="G106" s="17" t="n">
        <x:v>164.2364</x:v>
      </x:c>
      <x:c r="H106" s="17" t="n">
        <x:f>G106*F106</x:f>
        <x:v>328.4728</x:v>
      </x:c>
      <x:c r="I106" s="22" t="str">
        <x:f>HYPERLINK("https://etp-aktiv.ru/catalog/materialy/podshipniki/2000004985-V119/","Открыть позицию")</x:f>
        <x:v>Открыть позицию</x:v>
      </x:c>
    </x:row>
    <x:row r="107" ht="28" customHeight="1">
      <x:c r="A107" s="16" t="str">
        <x:v>Красноярская ТЭЦ-1</x:v>
      </x:c>
      <x:c r="B107" s="16" t="str">
        <x:v>2000116644-V119</x:v>
      </x:c>
      <x:c r="C107" s="16" t="str">
        <x:v>ПОДШИПНИК 1316</x:v>
      </x:c>
      <x:c r="D107" s="16" t="str">
        <x:v>Подшипники</x:v>
      </x:c>
      <x:c r="E107" s="16" t="str">
        <x:v>ШТ</x:v>
      </x:c>
      <x:c r="F107" s="21" t="n">
        <x:v>3</x:v>
      </x:c>
      <x:c r="G107" s="17" t="n">
        <x:v>1441.9546</x:v>
      </x:c>
      <x:c r="H107" s="17" t="n">
        <x:f>G107*F107</x:f>
        <x:v>4325.8638</x:v>
      </x:c>
      <x:c r="I107" s="22" t="str">
        <x:f>HYPERLINK("https://etp-aktiv.ru/catalog/materialy/podshipniki/2000116644-V119/","Открыть позицию")</x:f>
        <x:v>Открыть позицию</x:v>
      </x:c>
    </x:row>
    <x:row r="108" ht="28" customHeight="1">
      <x:c r="A108" s="16" t="str">
        <x:v>Красноярская ТЭЦ-1</x:v>
      </x:c>
      <x:c r="B108" s="16" t="str">
        <x:v>2000127303-V119</x:v>
      </x:c>
      <x:c r="C108" s="16" t="str">
        <x:v>ПОДШИПНИК 13528</x:v>
      </x:c>
      <x:c r="D108" s="16" t="str">
        <x:v>Подшипники</x:v>
      </x:c>
      <x:c r="E108" s="16" t="str">
        <x:v>ШТ</x:v>
      </x:c>
      <x:c r="F108" s="21" t="n">
        <x:v>5</x:v>
      </x:c>
      <x:c r="G108" s="17" t="n">
        <x:v>7853.2375999999995</x:v>
      </x:c>
      <x:c r="H108" s="17" t="n">
        <x:f>G108*F108</x:f>
        <x:v>39266.187999999995</x:v>
      </x:c>
      <x:c r="I108" s="22" t="str">
        <x:f>HYPERLINK("https://etp-aktiv.ru/catalog/materialy/podshipniki/2000127303-V119/","Открыть позицию")</x:f>
        <x:v>Открыть позицию</x:v>
      </x:c>
    </x:row>
    <x:row r="109" ht="28" customHeight="1">
      <x:c r="A109" s="16" t="str">
        <x:v>Красноярская ТЭЦ-1</x:v>
      </x:c>
      <x:c r="B109" s="16" t="str">
        <x:v>2000008822-V119</x:v>
      </x:c>
      <x:c r="C109" s="16" t="str">
        <x:v>ПОДШИПНИК 1616</x:v>
      </x:c>
      <x:c r="D109" s="16" t="str">
        <x:v>Подшипники</x:v>
      </x:c>
      <x:c r="E109" s="16" t="str">
        <x:v>ШТ</x:v>
      </x:c>
      <x:c r="F109" s="21" t="n">
        <x:v>3</x:v>
      </x:c>
      <x:c r="G109" s="17" t="n">
        <x:v>1279.5603999999998</x:v>
      </x:c>
      <x:c r="H109" s="17" t="n">
        <x:f>G109*F109</x:f>
        <x:v>3838.6811999999995</x:v>
      </x:c>
      <x:c r="I109" s="22" t="str">
        <x:f>HYPERLINK("https://etp-aktiv.ru/catalog/materialy/podshipniki/2000008822-V119/","Открыть позицию")</x:f>
        <x:v>Открыть позицию</x:v>
      </x:c>
    </x:row>
    <x:row r="110" ht="28" customHeight="1">
      <x:c r="A110" s="16" t="str">
        <x:v>Красноярская ТЭЦ-1</x:v>
      </x:c>
      <x:c r="B110" s="16" t="str">
        <x:v>2000171895-V119</x:v>
      </x:c>
      <x:c r="C110" s="16" t="str">
        <x:v>ПОДШИПНИК 180405</x:v>
      </x:c>
      <x:c r="D110" s="16" t="str">
        <x:v>Подшипники</x:v>
      </x:c>
      <x:c r="E110" s="16" t="str">
        <x:v>ШТ</x:v>
      </x:c>
      <x:c r="F110" s="21" t="n">
        <x:v>4</x:v>
      </x:c>
      <x:c r="G110" s="17" t="n">
        <x:v>307.6718</x:v>
      </x:c>
      <x:c r="H110" s="17" t="n">
        <x:f>G110*F110</x:f>
        <x:v>1230.6872</x:v>
      </x:c>
      <x:c r="I110" s="22" t="str">
        <x:f>HYPERLINK("https://etp-aktiv.ru/catalog/materialy/podshipniki/2000171895-V119/","Открыть позицию")</x:f>
        <x:v>Открыть позицию</x:v>
      </x:c>
    </x:row>
    <x:row r="111" ht="28" customHeight="1">
      <x:c r="A111" s="16" t="str">
        <x:v>Красноярская ТЭЦ-1</x:v>
      </x:c>
      <x:c r="B111" s="16" t="str">
        <x:v>2000116905-V119</x:v>
      </x:c>
      <x:c r="C111" s="16" t="str">
        <x:v>ПОДШИПНИК 180502</x:v>
      </x:c>
      <x:c r="D111" s="16" t="str">
        <x:v>Подшипники</x:v>
      </x:c>
      <x:c r="E111" s="16" t="str">
        <x:v>ШТ</x:v>
      </x:c>
      <x:c r="F111" s="21" t="n">
        <x:v>2</x:v>
      </x:c>
      <x:c r="G111" s="17" t="n">
        <x:v>40.4918</x:v>
      </x:c>
      <x:c r="H111" s="17" t="n">
        <x:f>G111*F111</x:f>
        <x:v>80.9836</x:v>
      </x:c>
      <x:c r="I111" s="22" t="str">
        <x:f>HYPERLINK("https://etp-aktiv.ru/catalog/materialy/podshipniki/2000116905-V119/","Открыть позицию")</x:f>
        <x:v>Открыть позицию</x:v>
      </x:c>
    </x:row>
    <x:row r="112" ht="28" customHeight="1">
      <x:c r="A112" s="16" t="str">
        <x:v>Красноярская ТЭЦ-1</x:v>
      </x:c>
      <x:c r="B112" s="16" t="str">
        <x:v>2000127212-V119</x:v>
      </x:c>
      <x:c r="C112" s="16" t="str">
        <x:v>ПОДШИПНИК 180604</x:v>
      </x:c>
      <x:c r="D112" s="16" t="str">
        <x:v>Подшипники</x:v>
      </x:c>
      <x:c r="E112" s="16" t="str">
        <x:v>ШТ</x:v>
      </x:c>
      <x:c r="F112" s="21" t="n">
        <x:v>4</x:v>
      </x:c>
      <x:c r="G112" s="17" t="n">
        <x:v>90.57279999999999</x:v>
      </x:c>
      <x:c r="H112" s="17" t="n">
        <x:f>G112*F112</x:f>
        <x:v>362.29119999999995</x:v>
      </x:c>
      <x:c r="I112" s="22" t="str">
        <x:f>HYPERLINK("https://etp-aktiv.ru/catalog/materialy/podshipniki/2000127212-V119/","Открыть позицию")</x:f>
        <x:v>Открыть позицию</x:v>
      </x:c>
    </x:row>
    <x:row r="113" ht="28" customHeight="1">
      <x:c r="A113" s="16" t="str">
        <x:v>Красноярская ТЭЦ-1</x:v>
      </x:c>
      <x:c r="B113" s="16" t="str">
        <x:v>2000034310-V119</x:v>
      </x:c>
      <x:c r="C113" s="16" t="str">
        <x:v>ПОДШИПНИК 18207</x:v>
      </x:c>
      <x:c r="D113" s="16" t="str">
        <x:v>Подшипники</x:v>
      </x:c>
      <x:c r="E113" s="16" t="str">
        <x:v>ШТ</x:v>
      </x:c>
      <x:c r="F113" s="21" t="n">
        <x:v>4</x:v>
      </x:c>
      <x:c r="G113" s="17" t="n">
        <x:v>363.987</x:v>
      </x:c>
      <x:c r="H113" s="17" t="n">
        <x:f>G113*F113</x:f>
        <x:v>1455.948</x:v>
      </x:c>
      <x:c r="I113" s="22" t="str">
        <x:f>HYPERLINK("https://etp-aktiv.ru/catalog/materialy/podshipniki/2000034310-V119/","Открыть позицию")</x:f>
        <x:v>Открыть позицию</x:v>
      </x:c>
    </x:row>
    <x:row r="114" ht="28" customHeight="1">
      <x:c r="A114" s="16" t="str">
        <x:v>Красноярская ТЭЦ-1</x:v>
      </x:c>
      <x:c r="B114" s="16" t="str">
        <x:v>2000116466-V119</x:v>
      </x:c>
      <x:c r="C114" s="16" t="str">
        <x:v>ПОДШИПНИК 217</x:v>
      </x:c>
      <x:c r="D114" s="16" t="str">
        <x:v>Подшипники</x:v>
      </x:c>
      <x:c r="E114" s="16" t="str">
        <x:v>ШТ</x:v>
      </x:c>
      <x:c r="F114" s="21" t="n">
        <x:v>1</x:v>
      </x:c>
      <x:c r="G114" s="17" t="n">
        <x:v>772.0282</x:v>
      </x:c>
      <x:c r="H114" s="17" t="n">
        <x:f>G114*F114</x:f>
        <x:v>772.0282</x:v>
      </x:c>
      <x:c r="I114" s="22" t="str">
        <x:f>HYPERLINK("https://etp-aktiv.ru/catalog/materialy/podshipniki/2000116466-V119/","Открыть позицию")</x:f>
        <x:v>Открыть позицию</x:v>
      </x:c>
    </x:row>
    <x:row r="115" ht="28" customHeight="1">
      <x:c r="A115" s="16" t="str">
        <x:v>Красноярская ТЭЦ-1</x:v>
      </x:c>
      <x:c r="B115" s="16" t="str">
        <x:v>2000034341-V119</x:v>
      </x:c>
      <x:c r="C115" s="16" t="str">
        <x:v>ПОДШИПНИК 22226</x:v>
      </x:c>
      <x:c r="D115" s="16" t="str">
        <x:v>Подшипники</x:v>
      </x:c>
      <x:c r="E115" s="16" t="str">
        <x:v>ШТ</x:v>
      </x:c>
      <x:c r="F115" s="21" t="n">
        <x:v>8</x:v>
      </x:c>
      <x:c r="G115" s="17" t="n">
        <x:v>3455.2961999999998</x:v>
      </x:c>
      <x:c r="H115" s="17" t="n">
        <x:f>G115*F115</x:f>
        <x:v>27642.369599999998</x:v>
      </x:c>
      <x:c r="I115" s="22" t="str">
        <x:f>HYPERLINK("https://etp-aktiv.ru/catalog/materialy/podshipniki/2000034341-V119/","Открыть позицию")</x:f>
        <x:v>Открыть позицию</x:v>
      </x:c>
    </x:row>
    <x:row r="116" ht="28" customHeight="1">
      <x:c r="A116" s="16" t="str">
        <x:v>Красноярская ТЭЦ-1</x:v>
      </x:c>
      <x:c r="B116" s="16" t="str">
        <x:v>2000222453-V119</x:v>
      </x:c>
      <x:c r="C116" s="16" t="str">
        <x:v>ПОДШИПНИК 23036</x:v>
      </x:c>
      <x:c r="D116" s="16" t="str">
        <x:v>Подшипники</x:v>
      </x:c>
      <x:c r="E116" s="16" t="str">
        <x:v>ШТ</x:v>
      </x:c>
      <x:c r="F116" s="21" t="n">
        <x:v>4</x:v>
      </x:c>
      <x:c r="G116" s="17" t="n">
        <x:v>9339.9174</x:v>
      </x:c>
      <x:c r="H116" s="17" t="n">
        <x:f>G116*F116</x:f>
        <x:v>37359.6696</x:v>
      </x:c>
      <x:c r="I116" s="22" t="str">
        <x:f>HYPERLINK("https://etp-aktiv.ru/catalog/materialy/podshipniki/2000222453-V119/","Открыть позицию")</x:f>
        <x:v>Открыть позицию</x:v>
      </x:c>
    </x:row>
    <x:row r="117" ht="28" customHeight="1">
      <x:c r="A117" s="16" t="str">
        <x:v>Красноярская ТЭЦ-1</x:v>
      </x:c>
      <x:c r="B117" s="16" t="str">
        <x:v>2000599124-V119</x:v>
      </x:c>
      <x:c r="C117" s="16" t="str">
        <x:v>ПОДШИПНИК 30-3634А</x:v>
      </x:c>
      <x:c r="D117" s="16" t="str">
        <x:v>Подшипники</x:v>
      </x:c>
      <x:c r="E117" s="16" t="str">
        <x:v>ШТ</x:v>
      </x:c>
      <x:c r="F117" s="21" t="n">
        <x:v>1</x:v>
      </x:c>
      <x:c r="G117" s="17" t="n">
        <x:v>27269.867</x:v>
      </x:c>
      <x:c r="H117" s="17" t="n">
        <x:f>G117*F117</x:f>
        <x:v>27269.867</x:v>
      </x:c>
      <x:c r="I117" s="22" t="str">
        <x:f>HYPERLINK("https://etp-aktiv.ru/catalog/materialy/podshipniki/2000599124-V119/","Открыть позицию")</x:f>
        <x:v>Открыть позицию</x:v>
      </x:c>
    </x:row>
    <x:row r="118" ht="28" customHeight="1">
      <x:c r="A118" s="16" t="str">
        <x:v>Красноярская ТЭЦ-1</x:v>
      </x:c>
      <x:c r="B118" s="16" t="str">
        <x:v>2000116348-V119</x:v>
      </x:c>
      <x:c r="C118" s="16" t="str">
        <x:v>ПОДШИПНИК 306</x:v>
      </x:c>
      <x:c r="D118" s="16" t="str">
        <x:v>Подшипники</x:v>
      </x:c>
      <x:c r="E118" s="16" t="str">
        <x:v>ШТ</x:v>
      </x:c>
      <x:c r="F118" s="21" t="n">
        <x:v>2</x:v>
      </x:c>
      <x:c r="G118" s="17" t="n">
        <x:v>57.6694</x:v>
      </x:c>
      <x:c r="H118" s="17" t="n">
        <x:f>G118*F118</x:f>
        <x:v>115.3388</x:v>
      </x:c>
      <x:c r="I118" s="22" t="str">
        <x:f>HYPERLINK("https://etp-aktiv.ru/catalog/materialy/podshipniki/2000116348-V119/","Открыть позицию")</x:f>
        <x:v>Открыть позицию</x:v>
      </x:c>
    </x:row>
    <x:row r="119" ht="28" customHeight="1">
      <x:c r="A119" s="16" t="str">
        <x:v>Красноярская ТЭЦ-1</x:v>
      </x:c>
      <x:c r="B119" s="16" t="str">
        <x:v>2000116524-V119</x:v>
      </x:c>
      <x:c r="C119" s="16" t="str">
        <x:v>ПОДШИПНИК 315</x:v>
      </x:c>
      <x:c r="D119" s="16" t="str">
        <x:v>Подшипники</x:v>
      </x:c>
      <x:c r="E119" s="16" t="str">
        <x:v>ШТ</x:v>
      </x:c>
      <x:c r="F119" s="21" t="n">
        <x:v>1</x:v>
      </x:c>
      <x:c r="G119" s="17" t="n">
        <x:v>841.5804</x:v>
      </x:c>
      <x:c r="H119" s="17" t="n">
        <x:f>G119*F119</x:f>
        <x:v>841.5804</x:v>
      </x:c>
      <x:c r="I119" s="22" t="str">
        <x:f>HYPERLINK("https://etp-aktiv.ru/catalog/materialy/podshipniki/2000116524-V119/","Открыть позицию")</x:f>
        <x:v>Открыть позицию</x:v>
      </x:c>
    </x:row>
    <x:row r="120" ht="28" customHeight="1">
      <x:c r="A120" s="16" t="str">
        <x:v>Красноярская ТЭЦ-1</x:v>
      </x:c>
      <x:c r="B120" s="16" t="str">
        <x:v>2000116398-V119</x:v>
      </x:c>
      <x:c r="C120" s="16" t="str">
        <x:v>ПОДШИПНИК 36209</x:v>
      </x:c>
      <x:c r="D120" s="16" t="str">
        <x:v>Подшипники</x:v>
      </x:c>
      <x:c r="E120" s="16" t="str">
        <x:v>ШТ</x:v>
      </x:c>
      <x:c r="F120" s="21" t="n">
        <x:v>3</x:v>
      </x:c>
      <x:c r="G120" s="17" t="n">
        <x:v>874.9718</x:v>
      </x:c>
      <x:c r="H120" s="17" t="n">
        <x:f>G120*F120</x:f>
        <x:v>2624.9154</x:v>
      </x:c>
      <x:c r="I120" s="22" t="str">
        <x:f>HYPERLINK("https://etp-aktiv.ru/catalog/materialy/podshipniki/2000116398-V119/","Открыть позицию")</x:f>
        <x:v>Открыть позицию</x:v>
      </x:c>
    </x:row>
    <x:row r="121" ht="28" customHeight="1">
      <x:c r="A121" s="16" t="str">
        <x:v>Красноярская ТЭЦ-1</x:v>
      </x:c>
      <x:c r="B121" s="16" t="str">
        <x:v>2000138687-V119</x:v>
      </x:c>
      <x:c r="C121" s="16" t="str">
        <x:v>ПОДШИПНИК 4024110</x:v>
      </x:c>
      <x:c r="D121" s="16" t="str">
        <x:v>Подшипники</x:v>
      </x:c>
      <x:c r="E121" s="16" t="str">
        <x:v>ШТ</x:v>
      </x:c>
      <x:c r="F121" s="21" t="n">
        <x:v>5</x:v>
      </x:c>
      <x:c r="G121" s="17" t="n">
        <x:v>449.15520000000004</x:v>
      </x:c>
      <x:c r="H121" s="17" t="n">
        <x:f>G121*F121</x:f>
        <x:v>2245.7760000000003</x:v>
      </x:c>
      <x:c r="I121" s="22" t="str">
        <x:f>HYPERLINK("https://etp-aktiv.ru/catalog/materialy/podshipniki/2000138687-V119/","Открыть позицию")</x:f>
        <x:v>Открыть позицию</x:v>
      </x:c>
    </x:row>
    <x:row r="122" ht="28" customHeight="1">
      <x:c r="A122" s="16" t="str">
        <x:v>Красноярская ТЭЦ-1</x:v>
      </x:c>
      <x:c r="B122" s="16" t="str">
        <x:v>2000116507-V119</x:v>
      </x:c>
      <x:c r="C122" s="16" t="str">
        <x:v>ПОДШИПНИК 46120</x:v>
      </x:c>
      <x:c r="D122" s="16" t="str">
        <x:v>Подшипники</x:v>
      </x:c>
      <x:c r="E122" s="16" t="str">
        <x:v>ШТ</x:v>
      </x:c>
      <x:c r="F122" s="21" t="n">
        <x:v>1</x:v>
      </x:c>
      <x:c r="G122" s="17" t="n">
        <x:v>318.054</x:v>
      </x:c>
      <x:c r="H122" s="17" t="n">
        <x:f>G122*F122</x:f>
        <x:v>318.054</x:v>
      </x:c>
      <x:c r="I122" s="22" t="str">
        <x:f>HYPERLINK("https://etp-aktiv.ru/catalog/materialy/podshipniki/2000116507-V119/","Открыть позицию")</x:f>
        <x:v>Открыть позицию</x:v>
      </x:c>
    </x:row>
    <x:row r="123" ht="28" customHeight="1">
      <x:c r="A123" s="16" t="str">
        <x:v>Красноярская ТЭЦ-1</x:v>
      </x:c>
      <x:c r="B123" s="16" t="str">
        <x:v>2000184254-V119</x:v>
      </x:c>
      <x:c r="C123" s="16" t="str">
        <x:v>ПОДШИПНИК 51317</x:v>
      </x:c>
      <x:c r="D123" s="16" t="str">
        <x:v>Подшипники</x:v>
      </x:c>
      <x:c r="E123" s="16" t="str">
        <x:v>ШТ</x:v>
      </x:c>
      <x:c r="F123" s="21" t="n">
        <x:v>1</x:v>
      </x:c>
      <x:c r="G123" s="17" t="n">
        <x:v>8719.096</x:v>
      </x:c>
      <x:c r="H123" s="17" t="n">
        <x:f>G123*F123</x:f>
        <x:v>8719.096</x:v>
      </x:c>
      <x:c r="I123" s="22" t="str">
        <x:f>HYPERLINK("https://etp-aktiv.ru/catalog/materialy/podshipniki/2000184254-V119/","Открыть позицию")</x:f>
        <x:v>Открыть позицию</x:v>
      </x:c>
    </x:row>
    <x:row r="124" ht="28" customHeight="1">
      <x:c r="A124" s="16" t="str">
        <x:v>Красноярская ТЭЦ-1</x:v>
      </x:c>
      <x:c r="B124" s="16" t="str">
        <x:v>2000604612-V119</x:v>
      </x:c>
      <x:c r="C124" s="16" t="str">
        <x:v>ПОДШИПНИК 53318 NSK</x:v>
      </x:c>
      <x:c r="D124" s="16" t="str">
        <x:v>Подшипники</x:v>
      </x:c>
      <x:c r="E124" s="16" t="str">
        <x:v>ШТ</x:v>
      </x:c>
      <x:c r="F124" s="21" t="n">
        <x:v>10</x:v>
      </x:c>
      <x:c r="G124" s="17" t="n">
        <x:v>4832.3468</x:v>
      </x:c>
      <x:c r="H124" s="17" t="n">
        <x:f>G124*F124</x:f>
        <x:v>48323.468</x:v>
      </x:c>
      <x:c r="I124" s="22" t="str">
        <x:f>HYPERLINK("https://etp-aktiv.ru/catalog/materialy/podshipniki/2000604612-V119/","Открыть позицию")</x:f>
        <x:v>Открыть позицию</x:v>
      </x:c>
    </x:row>
    <x:row r="125" ht="28" customHeight="1">
      <x:c r="A125" s="16" t="str">
        <x:v>Красноярская ТЭЦ-1</x:v>
      </x:c>
      <x:c r="B125" s="16" t="str">
        <x:v>2000011182-V119</x:v>
      </x:c>
      <x:c r="C125" s="16" t="str">
        <x:v>ПОДШИПНИК 53530</x:v>
      </x:c>
      <x:c r="D125" s="16" t="str">
        <x:v>Подшипники</x:v>
      </x:c>
      <x:c r="E125" s="16" t="str">
        <x:v>ШТ</x:v>
      </x:c>
      <x:c r="F125" s="21" t="n">
        <x:v>1</x:v>
      </x:c>
      <x:c r="G125" s="17" t="n">
        <x:v>5599.8</x:v>
      </x:c>
      <x:c r="H125" s="17" t="n">
        <x:f>G125*F125</x:f>
        <x:v>5599.8</x:v>
      </x:c>
      <x:c r="I125" s="22" t="str">
        <x:f>HYPERLINK("https://etp-aktiv.ru/catalog/materialy/podshipniki/2000011182-V119/","Открыть позицию")</x:f>
        <x:v>Открыть позицию</x:v>
      </x:c>
    </x:row>
    <x:row r="126" ht="28" customHeight="1">
      <x:c r="A126" s="16" t="str">
        <x:v>Красноярская ТЭЦ-1</x:v>
      </x:c>
      <x:c r="B126" s="16" t="str">
        <x:v>2000138694-V119</x:v>
      </x:c>
      <x:c r="C126" s="16" t="str">
        <x:v>ПОДШИПНИК 54708</x:v>
      </x:c>
      <x:c r="D126" s="16" t="str">
        <x:v>Подшипники</x:v>
      </x:c>
      <x:c r="E126" s="16" t="str">
        <x:v>ШТ</x:v>
      </x:c>
      <x:c r="F126" s="21" t="n">
        <x:v>8</x:v>
      </x:c>
      <x:c r="G126" s="17" t="n">
        <x:v>540.8138</x:v>
      </x:c>
      <x:c r="H126" s="17" t="n">
        <x:f>G126*F126</x:f>
        <x:v>4326.5104</x:v>
      </x:c>
      <x:c r="I126" s="22" t="str">
        <x:f>HYPERLINK("https://etp-aktiv.ru/catalog/materialy/podshipniki/2000138694-V119/","Открыть позицию")</x:f>
        <x:v>Открыть позицию</x:v>
      </x:c>
    </x:row>
    <x:row r="127" ht="28" customHeight="1">
      <x:c r="A127" s="16" t="str">
        <x:v>Красноярская ТЭЦ-1</x:v>
      </x:c>
      <x:c r="B127" s="16" t="str">
        <x:v>2000116320-V119</x:v>
      </x:c>
      <x:c r="C127" s="16" t="str">
        <x:v>ПОДШИПНИК 60205</x:v>
      </x:c>
      <x:c r="D127" s="16" t="str">
        <x:v>Подшипники</x:v>
      </x:c>
      <x:c r="E127" s="16" t="str">
        <x:v>ШТ</x:v>
      </x:c>
      <x:c r="F127" s="21" t="n">
        <x:v>4</x:v>
      </x:c>
      <x:c r="G127" s="17" t="n">
        <x:v>29.4508</x:v>
      </x:c>
      <x:c r="H127" s="17" t="n">
        <x:f>G127*F127</x:f>
        <x:v>117.8032</x:v>
      </x:c>
      <x:c r="I127" s="22" t="str">
        <x:f>HYPERLINK("https://etp-aktiv.ru/catalog/materialy/podshipniki/2000116320-V119/","Открыть позицию")</x:f>
        <x:v>Открыть позицию</x:v>
      </x:c>
    </x:row>
    <x:row r="128" ht="28" customHeight="1">
      <x:c r="A128" s="16" t="str">
        <x:v>Красноярская ТЭЦ-1</x:v>
      </x:c>
      <x:c r="B128" s="16" t="str">
        <x:v>2000115324-V119</x:v>
      </x:c>
      <x:c r="C128" s="16" t="str">
        <x:v>ПОДШИПНИК 60304</x:v>
      </x:c>
      <x:c r="D128" s="16" t="str">
        <x:v>Подшипники</x:v>
      </x:c>
      <x:c r="E128" s="16" t="str">
        <x:v>ШТ</x:v>
      </x:c>
      <x:c r="F128" s="21" t="n">
        <x:v>2</x:v>
      </x:c>
      <x:c r="G128" s="17" t="n">
        <x:v>57.1326</x:v>
      </x:c>
      <x:c r="H128" s="17" t="n">
        <x:f>G128*F128</x:f>
        <x:v>114.2652</x:v>
      </x:c>
      <x:c r="I128" s="22" t="str">
        <x:f>HYPERLINK("https://etp-aktiv.ru/catalog/materialy/podshipniki/2000115324-V119/","Открыть позицию")</x:f>
        <x:v>Открыть позицию</x:v>
      </x:c>
    </x:row>
    <x:row r="129" ht="28" customHeight="1">
      <x:c r="A129" s="16" t="str">
        <x:v>Красноярская ТЭЦ-1</x:v>
      </x:c>
      <x:c r="B129" s="16" t="str">
        <x:v>2000135015-V119</x:v>
      </x:c>
      <x:c r="C129" s="16" t="str">
        <x:v>ПОДШИПНИК 60315</x:v>
      </x:c>
      <x:c r="D129" s="16" t="str">
        <x:v>Подшипники</x:v>
      </x:c>
      <x:c r="E129" s="16" t="str">
        <x:v>ШТ</x:v>
      </x:c>
      <x:c r="F129" s="21" t="n">
        <x:v>2</x:v>
      </x:c>
      <x:c r="G129" s="17" t="n">
        <x:v>978.6718000000001</x:v>
      </x:c>
      <x:c r="H129" s="17" t="n">
        <x:f>G129*F129</x:f>
        <x:v>1957.3436000000002</x:v>
      </x:c>
      <x:c r="I129" s="22" t="str">
        <x:f>HYPERLINK("https://etp-aktiv.ru/catalog/materialy/podshipniki/2000135015-V119/","Открыть позицию")</x:f>
        <x:v>Открыть позицию</x:v>
      </x:c>
    </x:row>
    <x:row r="130" ht="28" customHeight="1">
      <x:c r="A130" s="16" t="str">
        <x:v>Красноярская ТЭЦ-1</x:v>
      </x:c>
      <x:c r="B130" s="16" t="str">
        <x:v>2000127175-V119</x:v>
      </x:c>
      <x:c r="C130" s="16" t="str">
        <x:v>ПОДШИПНИК 6214</x:v>
      </x:c>
      <x:c r="D130" s="16" t="str">
        <x:v>Подшипники</x:v>
      </x:c>
      <x:c r="E130" s="16" t="str">
        <x:v>ШТ</x:v>
      </x:c>
      <x:c r="F130" s="21" t="n">
        <x:v>1</x:v>
      </x:c>
      <x:c r="G130" s="17" t="n">
        <x:v>514.6936</x:v>
      </x:c>
      <x:c r="H130" s="17" t="n">
        <x:f>G130*F130</x:f>
        <x:v>514.6936</x:v>
      </x:c>
      <x:c r="I130" s="22" t="str">
        <x:f>HYPERLINK("https://etp-aktiv.ru/catalog/materialy/podshipniki/2000127175-V119/","Открыть позицию")</x:f>
        <x:v>Открыть позицию</x:v>
      </x:c>
    </x:row>
    <x:row r="131" ht="28" customHeight="1">
      <x:c r="A131" s="16" t="str">
        <x:v>Красноярская ТЭЦ-1</x:v>
      </x:c>
      <x:c r="B131" s="16" t="str">
        <x:v>2000116397-V119</x:v>
      </x:c>
      <x:c r="C131" s="16" t="str">
        <x:v>ПОДШИПНИК 7510</x:v>
      </x:c>
      <x:c r="D131" s="16" t="str">
        <x:v>Подшипники</x:v>
      </x:c>
      <x:c r="E131" s="16" t="str">
        <x:v>ШТ</x:v>
      </x:c>
      <x:c r="F131" s="21" t="n">
        <x:v>2</x:v>
      </x:c>
      <x:c r="G131" s="17" t="n">
        <x:v>171.9712</x:v>
      </x:c>
      <x:c r="H131" s="17" t="n">
        <x:f>G131*F131</x:f>
        <x:v>343.9424</x:v>
      </x:c>
      <x:c r="I131" s="22" t="str">
        <x:f>HYPERLINK("https://etp-aktiv.ru/catalog/materialy/podshipniki/2000116397-V119/","Открыть позицию")</x:f>
        <x:v>Открыть позицию</x:v>
      </x:c>
    </x:row>
    <x:row r="132" ht="28" customHeight="1">
      <x:c r="A132" s="16" t="str">
        <x:v>Красноярская ТЭЦ-1</x:v>
      </x:c>
      <x:c r="B132" s="16" t="str">
        <x:v>2000116659-V119</x:v>
      </x:c>
      <x:c r="C132" s="16" t="str">
        <x:v>ПОДШИПНИК 7526</x:v>
      </x:c>
      <x:c r="D132" s="16" t="str">
        <x:v>Подшипники</x:v>
      </x:c>
      <x:c r="E132" s="16" t="str">
        <x:v>ШТ</x:v>
      </x:c>
      <x:c r="F132" s="21" t="n">
        <x:v>1</x:v>
      </x:c>
      <x:c r="G132" s="17" t="n">
        <x:v>2269.078</x:v>
      </x:c>
      <x:c r="H132" s="17" t="n">
        <x:f>G132*F132</x:f>
        <x:v>2269.078</x:v>
      </x:c>
      <x:c r="I132" s="22" t="str">
        <x:f>HYPERLINK("https://etp-aktiv.ru/catalog/materialy/podshipniki/2000116659-V119/","Открыть позицию")</x:f>
        <x:v>Открыть позицию</x:v>
      </x:c>
    </x:row>
    <x:row r="133" ht="28" customHeight="1">
      <x:c r="A133" s="16" t="str">
        <x:v>Красноярская ТЭЦ-1</x:v>
      </x:c>
      <x:c r="B133" s="16" t="str">
        <x:v>2000390769-V119</x:v>
      </x:c>
      <x:c r="C133" s="16" t="str">
        <x:v>ПОДШИПНИК 7622A</x:v>
      </x:c>
      <x:c r="D133" s="16" t="str">
        <x:v>ЗЧ КарьерТехнБЕЛАЗ</x:v>
      </x:c>
      <x:c r="E133" s="16" t="str">
        <x:v>ШТ</x:v>
      </x:c>
      <x:c r="F133" s="21" t="n">
        <x:v>4</x:v>
      </x:c>
      <x:c r="G133" s="17" t="n">
        <x:v>4080.8512</x:v>
      </x:c>
      <x:c r="H133" s="17" t="n">
        <x:f>G133*F133</x:f>
        <x:v>16323.4048</x:v>
      </x:c>
      <x:c r="I133" s="22" t="str">
        <x:f>HYPERLINK("https://etp-aktiv.ru/catalog/materialy/zapasnye-chasti-k-gorno-shahtnomu-oborudovaniyu/2000390769-V119/","Открыть позицию")</x:f>
        <x:v>Открыть позицию</x:v>
      </x:c>
    </x:row>
    <x:row r="134" ht="28" customHeight="1">
      <x:c r="A134" s="16" t="str">
        <x:v>Красноярская ТЭЦ-1</x:v>
      </x:c>
      <x:c r="B134" s="16" t="str">
        <x:v>2000005194-V119</x:v>
      </x:c>
      <x:c r="C134" s="16" t="str">
        <x:v>ПОДШИПНИК 8114</x:v>
      </x:c>
      <x:c r="D134" s="16" t="str">
        <x:v>Подшипники</x:v>
      </x:c>
      <x:c r="E134" s="16" t="str">
        <x:v>ШТ</x:v>
      </x:c>
      <x:c r="F134" s="21" t="n">
        <x:v>24</x:v>
      </x:c>
      <x:c r="G134" s="17" t="n">
        <x:v>79.1536</x:v>
      </x:c>
      <x:c r="H134" s="17" t="n">
        <x:f>G134*F134</x:f>
        <x:v>1899.6864</x:v>
      </x:c>
      <x:c r="I134" s="22" t="str">
        <x:f>HYPERLINK("https://etp-aktiv.ru/catalog/materialy/podshipniki/2000005194-V119/","Открыть позицию")</x:f>
        <x:v>Открыть позицию</x:v>
      </x:c>
    </x:row>
    <x:row r="135" ht="28" customHeight="1">
      <x:c r="A135" s="16" t="str">
        <x:v>Красноярская ТЭЦ-1</x:v>
      </x:c>
      <x:c r="B135" s="16" t="str">
        <x:v>2000556525-V119</x:v>
      </x:c>
      <x:c r="C135" s="16" t="str">
        <x:v>ПОДШИПНИК 8211</x:v>
      </x:c>
      <x:c r="D135" s="16" t="str">
        <x:v>Подшипники</x:v>
      </x:c>
      <x:c r="E135" s="16" t="str">
        <x:v>ШТ</x:v>
      </x:c>
      <x:c r="F135" s="21" t="n">
        <x:v>1</x:v>
      </x:c>
      <x:c r="G135" s="17" t="n">
        <x:v>171.5686</x:v>
      </x:c>
      <x:c r="H135" s="17" t="n">
        <x:f>G135*F135</x:f>
        <x:v>171.5686</x:v>
      </x:c>
      <x:c r="I135" s="22" t="str">
        <x:f>HYPERLINK("https://etp-aktiv.ru/catalog/materialy/podshipniki/2000556525-V119/","Открыть позицию")</x:f>
        <x:v>Открыть позицию</x:v>
      </x:c>
    </x:row>
    <x:row r="136" ht="28" customHeight="1">
      <x:c r="A136" s="16" t="str">
        <x:v>Красноярская ТЭЦ-1</x:v>
      </x:c>
      <x:c r="B136" s="16" t="str">
        <x:v>2000127085-V119</x:v>
      </x:c>
      <x:c r="C136" s="16" t="str">
        <x:v>ПОДШИПНИК 8212</x:v>
      </x:c>
      <x:c r="D136" s="16" t="str">
        <x:v>Подшипники</x:v>
      </x:c>
      <x:c r="E136" s="16" t="str">
        <x:v>ШТ</x:v>
      </x:c>
      <x:c r="F136" s="21" t="n">
        <x:v>1</x:v>
      </x:c>
      <x:c r="G136" s="17" t="n">
        <x:v>157.84359999999998</x:v>
      </x:c>
      <x:c r="H136" s="17" t="n">
        <x:f>G136*F136</x:f>
        <x:v>157.84359999999998</x:v>
      </x:c>
      <x:c r="I136" s="22" t="str">
        <x:f>HYPERLINK("https://etp-aktiv.ru/catalog/materialy/podshipniki/2000127085-V119/","Открыть позицию")</x:f>
        <x:v>Открыть позицию</x:v>
      </x:c>
    </x:row>
    <x:row r="137" ht="28" customHeight="1">
      <x:c r="A137" s="16" t="str">
        <x:v>Красноярская ТЭЦ-1</x:v>
      </x:c>
      <x:c r="B137" s="16" t="str">
        <x:v>2000006837-V119</x:v>
      </x:c>
      <x:c r="C137" s="16" t="str">
        <x:v>ПОДШИПНИК 8215</x:v>
      </x:c>
      <x:c r="D137" s="16" t="str">
        <x:v>Подшипники</x:v>
      </x:c>
      <x:c r="E137" s="16" t="str">
        <x:v>ШТ</x:v>
      </x:c>
      <x:c r="F137" s="21" t="n">
        <x:v>7</x:v>
      </x:c>
      <x:c r="G137" s="17" t="n">
        <x:v>196.4566</x:v>
      </x:c>
      <x:c r="H137" s="17" t="n">
        <x:f>G137*F137</x:f>
        <x:v>1375.1962</x:v>
      </x:c>
      <x:c r="I137" s="22" t="str">
        <x:f>HYPERLINK("https://etp-aktiv.ru/catalog/materialy/podshipniki/2000006837-V119/","Открыть позицию")</x:f>
        <x:v>Открыть позицию</x:v>
      </x:c>
    </x:row>
    <x:row r="138" ht="28" customHeight="1">
      <x:c r="A138" s="16" t="str">
        <x:v>Красноярская ТЭЦ-1</x:v>
      </x:c>
      <x:c r="B138" s="16" t="str">
        <x:v>2000034686-V119</x:v>
      </x:c>
      <x:c r="C138" s="16" t="str">
        <x:v>ПОДШИПНИК 8218</x:v>
      </x:c>
      <x:c r="D138" s="16" t="str">
        <x:v>Подшипники</x:v>
      </x:c>
      <x:c r="E138" s="16" t="str">
        <x:v>ШТ</x:v>
      </x:c>
      <x:c r="F138" s="21" t="n">
        <x:v>17</x:v>
      </x:c>
      <x:c r="G138" s="17" t="n">
        <x:v>443.0064</x:v>
      </x:c>
      <x:c r="H138" s="17" t="n">
        <x:f>G138*F138</x:f>
        <x:v>7531.1088</x:v>
      </x:c>
      <x:c r="I138" s="22" t="str">
        <x:f>HYPERLINK("https://etp-aktiv.ru/catalog/materialy/podshipniki/2000034686-V119/","Открыть позицию")</x:f>
        <x:v>Открыть позицию</x:v>
      </x:c>
    </x:row>
    <x:row r="139" ht="28" customHeight="1">
      <x:c r="A139" s="16" t="str">
        <x:v>Красноярская ТЭЦ-1</x:v>
      </x:c>
      <x:c r="B139" s="16" t="str">
        <x:v>2000034690-V119</x:v>
      </x:c>
      <x:c r="C139" s="16" t="str">
        <x:v>ПОДШИПНИК 8309</x:v>
      </x:c>
      <x:c r="D139" s="16" t="str">
        <x:v>Подшипники</x:v>
      </x:c>
      <x:c r="E139" s="16" t="str">
        <x:v>ШТ</x:v>
      </x:c>
      <x:c r="F139" s="21" t="n">
        <x:v>1</x:v>
      </x:c>
      <x:c r="G139" s="17" t="n">
        <x:v>320.82340000000005</x:v>
      </x:c>
      <x:c r="H139" s="17" t="n">
        <x:f>G139*F139</x:f>
        <x:v>320.82340000000005</x:v>
      </x:c>
      <x:c r="I139" s="22" t="str">
        <x:f>HYPERLINK("https://etp-aktiv.ru/catalog/materialy/podshipniki/2000034690-V119/","Открыть позицию")</x:f>
        <x:v>Открыть позицию</x:v>
      </x:c>
    </x:row>
    <x:row r="140" ht="28" customHeight="1">
      <x:c r="A140" s="16" t="str">
        <x:v>Красноярская ТЭЦ-1</x:v>
      </x:c>
      <x:c r="B140" s="16" t="str">
        <x:v>2000034692-V119</x:v>
      </x:c>
      <x:c r="C140" s="16" t="str">
        <x:v>ПОДШИПНИК 8315</x:v>
      </x:c>
      <x:c r="D140" s="16" t="str">
        <x:v>Подшипники</x:v>
      </x:c>
      <x:c r="E140" s="16" t="str">
        <x:v>ШТ</x:v>
      </x:c>
      <x:c r="F140" s="21" t="n">
        <x:v>1</x:v>
      </x:c>
      <x:c r="G140" s="17" t="n">
        <x:v>645.7581999999999</x:v>
      </x:c>
      <x:c r="H140" s="17" t="n">
        <x:f>G140*F140</x:f>
        <x:v>645.7581999999999</x:v>
      </x:c>
      <x:c r="I140" s="22" t="str">
        <x:f>HYPERLINK("https://etp-aktiv.ru/catalog/materialy/podshipniki/2000034692-V119/","Открыть позицию")</x:f>
        <x:v>Открыть позицию</x:v>
      </x:c>
    </x:row>
    <x:row r="141" ht="28" customHeight="1">
      <x:c r="A141" s="16" t="str">
        <x:v>Красноярская ТЭЦ-1</x:v>
      </x:c>
      <x:c r="B141" s="16" t="str">
        <x:v>2000005519-V119</x:v>
      </x:c>
      <x:c r="C141" s="16" t="str">
        <x:v>ПОДШИПНИК 943/50</x:v>
      </x:c>
      <x:c r="D141" s="16" t="str">
        <x:v>Подшипники</x:v>
      </x:c>
      <x:c r="E141" s="16" t="str">
        <x:v>ШТ</x:v>
      </x:c>
      <x:c r="F141" s="21" t="n">
        <x:v>40</x:v>
      </x:c>
      <x:c r="G141" s="17" t="n">
        <x:v>130.174</x:v>
      </x:c>
      <x:c r="H141" s="17" t="n">
        <x:f>G141*F141</x:f>
        <x:v>5206.96</x:v>
      </x:c>
      <x:c r="I141" s="22" t="str">
        <x:f>HYPERLINK("https://etp-aktiv.ru/catalog/materialy/podshipniki/2000005519-V119/","Открыть позицию")</x:f>
        <x:v>Открыть позицию</x:v>
      </x:c>
    </x:row>
    <x:row r="142" ht="28" customHeight="1">
      <x:c r="A142" s="16" t="str">
        <x:v>Красноярская ТЭЦ-1</x:v>
      </x:c>
      <x:c r="B142" s="16" t="str">
        <x:v>2000143868-V119</x:v>
      </x:c>
      <x:c r="C142" s="16" t="str">
        <x:v>ПОДШИПНИК ШС 15</x:v>
      </x:c>
      <x:c r="D142" s="16" t="str">
        <x:v>Подшипники</x:v>
      </x:c>
      <x:c r="E142" s="16" t="str">
        <x:v>ШТ</x:v>
      </x:c>
      <x:c r="F142" s="21" t="n">
        <x:v>4</x:v>
      </x:c>
      <x:c r="G142" s="17" t="n">
        <x:v>60.0728</x:v>
      </x:c>
      <x:c r="H142" s="17" t="n">
        <x:f>G142*F142</x:f>
        <x:v>240.2912</x:v>
      </x:c>
      <x:c r="I142" s="22" t="str">
        <x:f>HYPERLINK("https://etp-aktiv.ru/catalog/materialy/podshipniki/2000143868-V119/","Открыть позицию")</x:f>
        <x:v>Открыть позицию</x:v>
      </x:c>
    </x:row>
    <x:row r="143" ht="28" customHeight="1">
      <x:c r="A143" s="16" t="str">
        <x:v>Красноярская ТЭЦ-1</x:v>
      </x:c>
      <x:c r="B143" s="16" t="str">
        <x:v>2000127131-V119</x:v>
      </x:c>
      <x:c r="C143" s="16" t="str">
        <x:v>ПОДШИПНИК ШС-40</x:v>
      </x:c>
      <x:c r="D143" s="16" t="str">
        <x:v>Подшипники</x:v>
      </x:c>
      <x:c r="E143" s="16" t="str">
        <x:v>ШТ</x:v>
      </x:c>
      <x:c r="F143" s="21" t="n">
        <x:v>8</x:v>
      </x:c>
      <x:c r="G143" s="17" t="n">
        <x:v>179.1204</x:v>
      </x:c>
      <x:c r="H143" s="17" t="n">
        <x:f>G143*F143</x:f>
        <x:v>1432.9632</x:v>
      </x:c>
      <x:c r="I143" s="22" t="str">
        <x:f>HYPERLINK("https://etp-aktiv.ru/catalog/materialy/podshipniki/2000127131-V119/","Открыть позицию")</x:f>
        <x:v>Открыть позицию</x:v>
      </x:c>
    </x:row>
    <x:row r="144" ht="28" customHeight="1">
      <x:c r="A144" s="16" t="str">
        <x:v>Красноярская ТЭЦ-1</x:v>
      </x:c>
      <x:c r="B144" s="16" t="str">
        <x:v>2000243416-V119</x:v>
      </x:c>
      <x:c r="C144" s="16" t="str">
        <x:v>ПОДШИПНИК ШСП-50</x:v>
      </x:c>
      <x:c r="D144" s="16" t="str">
        <x:v>Подшипники</x:v>
      </x:c>
      <x:c r="E144" s="16" t="str">
        <x:v>ШТ</x:v>
      </x:c>
      <x:c r="F144" s="21" t="n">
        <x:v>6</x:v>
      </x:c>
      <x:c r="G144" s="17" t="n">
        <x:v>154.4032</x:v>
      </x:c>
      <x:c r="H144" s="17" t="n">
        <x:f>G144*F144</x:f>
        <x:v>926.4192</x:v>
      </x:c>
      <x:c r="I144" s="22" t="str">
        <x:f>HYPERLINK("https://etp-aktiv.ru/catalog/materialy/podshipniki/2000243416-V119/","Открыть позицию")</x:f>
        <x:v>Открыть позицию</x:v>
      </x:c>
    </x:row>
    <x:row r="145" ht="28" customHeight="1">
      <x:c r="A145" s="16" t="str">
        <x:v>Красноярская ТЭЦ-1</x:v>
      </x:c>
      <x:c r="B145" s="16" t="str">
        <x:v>2000556728-V119</x:v>
      </x:c>
      <x:c r="C145" s="16" t="str">
        <x:v>ПОДШИПНИК ШСП40</x:v>
      </x:c>
      <x:c r="D145" s="16" t="str">
        <x:v>Подшипники</x:v>
      </x:c>
      <x:c r="E145" s="16" t="str">
        <x:v>ШТ</x:v>
      </x:c>
      <x:c r="F145" s="21" t="n">
        <x:v>8</x:v>
      </x:c>
      <x:c r="G145" s="17" t="n">
        <x:v>123.3664</x:v>
      </x:c>
      <x:c r="H145" s="17" t="n">
        <x:f>G145*F145</x:f>
        <x:v>986.9312</x:v>
      </x:c>
      <x:c r="I145" s="22" t="str">
        <x:f>HYPERLINK("https://etp-aktiv.ru/catalog/materialy/podshipniki/2000556728-V119/","Открыть позицию")</x:f>
        <x:v>Открыть позицию</x:v>
      </x:c>
    </x:row>
    <x:row r="146" ht="28" customHeight="1">
      <x:c r="A146" s="16" t="str">
        <x:v>Красноярская ТЭЦ-1</x:v>
      </x:c>
      <x:c r="B146" s="16" t="str">
        <x:v>2000740873-V119</x:v>
      </x:c>
      <x:c r="C146" s="16" t="str">
        <x:v>ПОЛУКОЛЬЦО КНБУ-6Б 13994-00</x:v>
      </x:c>
      <x:c r="D146" s="16" t="str">
        <x:v>ЗЧ к энергетич насос</x:v>
      </x:c>
      <x:c r="E146" s="16" t="str">
        <x:v>ШТ</x:v>
      </x:c>
      <x:c r="F146" s="21" t="n">
        <x:v>1</x:v>
      </x:c>
      <x:c r="G146" s="17" t="n">
        <x:v>13859.505</x:v>
      </x:c>
      <x:c r="H146" s="17" t="n">
        <x:f>G146*F146</x:f>
        <x:v>13859.505</x:v>
      </x:c>
      <x:c r="I146" s="22" t="str">
        <x:f>HYPERLINK("https://etp-aktiv.ru/catalog/materialy/zapasnye-chasti-promyshlennogo-oborudovaniya/2000740873-V119/","Открыть позицию")</x:f>
        <x:v>Открыть позицию</x:v>
      </x:c>
    </x:row>
    <x:row r="147" ht="28" customHeight="1">
      <x:c r="A147" s="16" t="str">
        <x:v>Красноярская ТЭЦ-1</x:v>
      </x:c>
      <x:c r="B147" s="16" t="str">
        <x:v>2000635740-V119</x:v>
      </x:c>
      <x:c r="C147" s="16" t="str">
        <x:v>ПРОБКА РЕЗЬБОВАЯ М80*6 6Н ПР 8222-0227</x:v>
      </x:c>
      <x:c r="D147" s="16" t="str">
        <x:v>Инструмент и спецосн</x:v>
      </x:c>
      <x:c r="E147" s="16" t="str">
        <x:v>ШТ</x:v>
      </x:c>
      <x:c r="F147" s="21" t="n">
        <x:v>36</x:v>
      </x:c>
      <x:c r="G147" s="17" t="n">
        <x:v>1701.29</x:v>
      </x:c>
      <x:c r="H147" s="17" t="n">
        <x:f>G147*F147</x:f>
        <x:v>61246.44</x:v>
      </x:c>
      <x:c r="I147" s="22" t="str">
        <x:f>HYPERLINK("https://etp-aktiv.ru/catalog/materialy/instrument-i-specosnastka/2000635740-V119/","Открыть позицию")</x:f>
        <x:v>Открыть позицию</x:v>
      </x:c>
    </x:row>
    <x:row r="148" ht="28" customHeight="1">
      <x:c r="A148" s="16" t="str">
        <x:v>Красноярская ТЭЦ-1</x:v>
      </x:c>
      <x:c r="B148" s="16" t="str">
        <x:v>2000713814-V119</x:v>
      </x:c>
      <x:c r="C148" s="16" t="str">
        <x:v>ПРУЖИНА СЖАТИЯ 1086-0834</x:v>
      </x:c>
      <x:c r="D148" s="16" t="str">
        <x:v>Инструмент и спецосн</x:v>
      </x:c>
      <x:c r="E148" s="16" t="str">
        <x:v>ШТ</x:v>
      </x:c>
      <x:c r="F148" s="21" t="n">
        <x:v>4</x:v>
      </x:c>
      <x:c r="G148" s="17" t="n">
        <x:v>1039.4644</x:v>
      </x:c>
      <x:c r="H148" s="17" t="n">
        <x:f>G148*F148</x:f>
        <x:v>4157.8576</x:v>
      </x:c>
      <x:c r="I148" s="22" t="str">
        <x:f>HYPERLINK("https://etp-aktiv.ru/catalog/materialy/instrument-i-specosnastka/2000713814-V119/","Открыть позицию")</x:f>
        <x:v>Открыть позицию</x:v>
      </x:c>
    </x:row>
    <x:row r="149" ht="28" customHeight="1">
      <x:c r="A149" s="16" t="str">
        <x:v>Красноярская ТЭЦ-1</x:v>
      </x:c>
      <x:c r="B149" s="16" t="str">
        <x:v>2000946008-V119</x:v>
      </x:c>
      <x:c r="C149" s="16" t="str">
        <x:v>УПЛОТНЕНИЕ TSN 532 G SKF</x:v>
      </x:c>
      <x:c r="D149" s="16" t="str">
        <x:v>Подшипники</x:v>
      </x:c>
      <x:c r="E149" s="16" t="str">
        <x:v>ШТ</x:v>
      </x:c>
      <x:c r="F149" s="21" t="n">
        <x:v>7</x:v>
      </x:c>
      <x:c r="G149" s="17" t="n">
        <x:v>952.1002</x:v>
      </x:c>
      <x:c r="H149" s="17" t="n">
        <x:f>G149*F149</x:f>
        <x:v>6664.7014</x:v>
      </x:c>
      <x:c r="I149" s="22" t="str">
        <x:f>HYPERLINK("https://etp-aktiv.ru/catalog/materialy/podshipniki/2000946008-V119/","Открыть позицию")</x:f>
        <x:v>Открыть позицию</x:v>
      </x:c>
    </x:row>
    <x:row r="150" ht="28" customHeight="1">
      <x:c r="A150" s="16" t="str">
        <x:v>Красноярская ТЭЦ-1</x:v>
      </x:c>
      <x:c r="B150" s="16" t="str">
        <x:v>2000563775-V119</x:v>
      </x:c>
      <x:c r="C150" s="16" t="str">
        <x:v>ЦЕПЬ ПР 15,875 23 ГОСТ13568-97</x:v>
      </x:c>
      <x:c r="D150" s="16" t="str">
        <x:v>Приводные цепи/комп</x:v>
      </x:c>
      <x:c r="E150" s="16" t="str">
        <x:v>М</x:v>
      </x:c>
      <x:c r="F150" s="26" t="n">
        <x:v>50.187</x:v>
      </x:c>
      <x:c r="G150" s="17" t="n">
        <x:v>205.875</x:v>
      </x:c>
      <x:c r="H150" s="17" t="n">
        <x:f>G150*F150</x:f>
        <x:v>10332.248625</x:v>
      </x:c>
      <x:c r="I150" s="22" t="str">
        <x:f>HYPERLINK("https://etp-aktiv.ru/catalog/materialy/zapasnye-chasti-promyshlennogo-oborudovaniya/2000563775-V119/","Открыть позицию")</x:f>
        <x:v>Открыть позицию</x:v>
      </x:c>
    </x:row>
    <x:row r="151" ht="28" customHeight="1">
      <x:c r="A151" s="16" t="str">
        <x:v>Красноярская ТЭЦ-1</x:v>
      </x:c>
      <x:c r="B151" s="16" t="str">
        <x:v>2000815310-V119</x:v>
      </x:c>
      <x:c r="C151" s="16" t="str">
        <x:v>ШЕСТЕРНЯ ДВИГАТЕЛЯ ПЕРЕДВИЖЕНИЯ 192553</x:v>
      </x:c>
      <x:c r="D151" s="16" t="str">
        <x:v>ЗЧ грузоподъемн обор</x:v>
      </x:c>
      <x:c r="E151" s="16" t="str">
        <x:v>ШТ</x:v>
      </x:c>
      <x:c r="F151" s="21" t="n">
        <x:v>2</x:v>
      </x:c>
      <x:c r="G151" s="17" t="n">
        <x:v>2027.0178</x:v>
      </x:c>
      <x:c r="H151" s="17" t="n">
        <x:f>G151*F151</x:f>
        <x:v>4054.0356</x:v>
      </x:c>
      <x:c r="I151" s="22" t="str">
        <x:f>HYPERLINK("https://etp-aktiv.ru/catalog/materialy/zapasnye-chasti-k-gruzopodemnoj-tekhnike-oborudovaniyu-i-mekhanizmam/2000815310-V119/","Открыть позицию")</x:f>
        <x:v>Открыть позицию</x:v>
      </x:c>
    </x:row>
    <x:row r="152" ht="28" customHeight="1">
      <x:c r="A152" s="16" t="str">
        <x:v>Красноярская ТЭЦ-1</x:v>
      </x:c>
      <x:c r="B152" s="16" t="str">
        <x:v>2000177655-V119</x:v>
      </x:c>
      <x:c r="C152" s="16" t="str">
        <x:v>ШЛИФКРУГ 125*30*32</x:v>
      </x:c>
      <x:c r="D152" s="16" t="str">
        <x:v>Инструмент и спецосн</x:v>
      </x:c>
      <x:c r="E152" s="16" t="str">
        <x:v>ШТ</x:v>
      </x:c>
      <x:c r="F152" s="21" t="n">
        <x:v>66</x:v>
      </x:c>
      <x:c r="G152" s="17" t="n">
        <x:v>105.7862</x:v>
      </x:c>
      <x:c r="H152" s="17" t="n">
        <x:f>G152*F152</x:f>
        <x:v>6981.8892</x:v>
      </x:c>
      <x:c r="I152" s="22" t="str">
        <x:f>HYPERLINK("https://etp-aktiv.ru/catalog/materialy/instrument-i-specosnastka/2000177655-V119/","Открыть позицию")</x:f>
        <x:v>Открыть позицию</x:v>
      </x:c>
    </x:row>
    <x:row r="153" ht="28" customHeight="1">
      <x:c r="A153" s="16" t="str">
        <x:v>Красноярская ТЭЦ-1</x:v>
      </x:c>
      <x:c r="B153" s="16" t="str">
        <x:v>2000045972-V119</x:v>
      </x:c>
      <x:c r="C153" s="16" t="str">
        <x:v>ШЛИФКРУГ 150*20*32 14А</x:v>
      </x:c>
      <x:c r="D153" s="16" t="str">
        <x:v>Инструмент и спецосн</x:v>
      </x:c>
      <x:c r="E153" s="16" t="str">
        <x:v>ШТ</x:v>
      </x:c>
      <x:c r="F153" s="21" t="n">
        <x:v>27</x:v>
      </x:c>
      <x:c r="G153" s="17" t="n">
        <x:v>138.47</x:v>
      </x:c>
      <x:c r="H153" s="17" t="n">
        <x:f>G153*F153</x:f>
        <x:v>3738.69</x:v>
      </x:c>
      <x:c r="I153" s="22" t="str">
        <x:f>HYPERLINK("https://etp-aktiv.ru/catalog/materialy/instrument-i-specosnastka/2000045972-V119/","Открыть позицию")</x:f>
        <x:v>Открыть позицию</x:v>
      </x:c>
    </x:row>
    <x:row r="154" ht="28" customHeight="1">
      <x:c r="A154" s="16" t="str">
        <x:v>Красноярская ТЭЦ-1</x:v>
      </x:c>
      <x:c r="B154" s="16" t="str">
        <x:v>2000028645-V119</x:v>
      </x:c>
      <x:c r="C154" s="16" t="str">
        <x:v>ШЛИФКРУГ 150*20*32 25А</x:v>
      </x:c>
      <x:c r="D154" s="16" t="str">
        <x:v>Инструмент и спецосн</x:v>
      </x:c>
      <x:c r="E154" s="16" t="str">
        <x:v>ШТ</x:v>
      </x:c>
      <x:c r="F154" s="21" t="n">
        <x:v>1</x:v>
      </x:c>
      <x:c r="G154" s="17" t="n">
        <x:v>73.91980000000001</x:v>
      </x:c>
      <x:c r="H154" s="17" t="n">
        <x:f>G154*F154</x:f>
        <x:v>73.91980000000001</x:v>
      </x:c>
      <x:c r="I154" s="22" t="str">
        <x:f>HYPERLINK("https://etp-aktiv.ru/catalog/materialy/instrument-i-specosnastka/2000028645-V119/","Открыть позицию")</x:f>
        <x:v>Открыть позицию</x:v>
      </x:c>
    </x:row>
    <x:row r="155" ht="28" customHeight="1">
      <x:c r="A155" s="16" t="str">
        <x:v>Красноярская ТЭЦ-1</x:v>
      </x:c>
      <x:c r="B155" s="16" t="str">
        <x:v>2000045985-V119</x:v>
      </x:c>
      <x:c r="C155" s="16" t="str">
        <x:v>ШЛИФКРУГ 180*6*22 14А</x:v>
      </x:c>
      <x:c r="D155" s="16" t="str">
        <x:v>Инструмент и спецосн</x:v>
      </x:c>
      <x:c r="E155" s="16" t="str">
        <x:v>ШТ</x:v>
      </x:c>
      <x:c r="F155" s="21" t="n">
        <x:v>16</x:v>
      </x:c>
      <x:c r="G155" s="17" t="n">
        <x:v>48.861</x:v>
      </x:c>
      <x:c r="H155" s="17" t="n">
        <x:f>G155*F155</x:f>
        <x:v>781.776</x:v>
      </x:c>
      <x:c r="I155" s="22" t="str">
        <x:f>HYPERLINK("https://etp-aktiv.ru/catalog/materialy/instrument-i-specosnastka/2000045985-V119/","Открыть позицию")</x:f>
        <x:v>Открыть позицию</x:v>
      </x:c>
    </x:row>
    <x:row r="156" ht="28" customHeight="1">
      <x:c r="A156" s="16" t="str">
        <x:v>Красноярская ТЭЦ-2</x:v>
      </x:c>
      <x:c r="B156" s="16" t="str">
        <x:v>2001059893-V113</x:v>
      </x:c>
      <x:c r="C156" s="16" t="str">
        <x:v>ВКЛАДЫШ 5ВК.263.178 ИД 4АЗМ-4000-6300</x:v>
      </x:c>
      <x:c r="D156" s="16" t="str">
        <x:v>ЗЧ э/двигателей</x:v>
      </x:c>
      <x:c r="E156" s="16" t="str">
        <x:v>ШТ</x:v>
      </x:c>
      <x:c r="F156" s="21" t="n">
        <x:v>1</x:v>
      </x:c>
      <x:c r="G156" s="17" t="n">
        <x:v>127928.4436</x:v>
      </x:c>
      <x:c r="H156" s="17" t="n">
        <x:f>G156*F156</x:f>
        <x:v>127928.4436</x:v>
      </x:c>
      <x:c r="I156" s="22" t="str">
        <x:f>HYPERLINK("https://etp-aktiv.ru/catalog/materialy/ehlektrotekhnicheskie-materialy/2001059893-V113/","Открыть позицию")</x:f>
        <x:v>Открыть позицию</x:v>
      </x:c>
    </x:row>
    <x:row r="157" ht="28" customHeight="1">
      <x:c r="A157" s="16" t="str">
        <x:v>Красноярская ТЭЦ-2</x:v>
      </x:c>
      <x:c r="B157" s="16" t="str">
        <x:v>2000361366-V113</x:v>
      </x:c>
      <x:c r="C157" s="16" t="str">
        <x:v>КАНАТ 20 Г1Н 1770 ГОСТ7667-80</x:v>
      </x:c>
      <x:c r="D157" s="16" t="str">
        <x:v>Канаты стальные</x:v>
      </x:c>
      <x:c r="E157" s="16" t="str">
        <x:v>М</x:v>
      </x:c>
      <x:c r="F157" s="21" t="n">
        <x:v>50</x:v>
      </x:c>
      <x:c r="G157" s="17" t="n">
        <x:v>271.0718</x:v>
      </x:c>
      <x:c r="H157" s="17" t="n">
        <x:f>G157*F157</x:f>
        <x:v>13553.59</x:v>
      </x:c>
      <x:c r="I157" s="22" t="str">
        <x:f>HYPERLINK("https://etp-aktiv.ru/catalog/materialy/metizy/2000361366-V113/","Открыть позицию")</x:f>
        <x:v>Открыть позицию</x:v>
      </x:c>
    </x:row>
    <x:row r="158" ht="28" customHeight="1">
      <x:c r="A158" s="16" t="str">
        <x:v>Красноярская ТЭЦ-2</x:v>
      </x:c>
      <x:c r="B158" s="16" t="str">
        <x:v>2000795843-V113</x:v>
      </x:c>
      <x:c r="C158" s="16" t="str">
        <x:v>КОЛЕСО РАБОЧЕЕ 350Д90 257.0100.03</x:v>
      </x:c>
      <x:c r="D158" s="16" t="str">
        <x:v>ЗЧ к энергетич насос</x:v>
      </x:c>
      <x:c r="E158" s="16" t="str">
        <x:v>ШТ</x:v>
      </x:c>
      <x:c r="F158" s="21" t="n">
        <x:v>2</x:v>
      </x:c>
      <x:c r="G158" s="17" t="n">
        <x:v>123525</x:v>
      </x:c>
      <x:c r="H158" s="17" t="n">
        <x:f>G158*F158</x:f>
        <x:v>247050</x:v>
      </x:c>
      <x:c r="I158" s="22" t="str">
        <x:f>HYPERLINK("https://etp-aktiv.ru/catalog/materialy/zapasnye-chasti-promyshlennogo-oborudovaniya/2000795843-V113/","Открыть позицию")</x:f>
        <x:v>Открыть позицию</x:v>
      </x:c>
    </x:row>
    <x:row r="159" ht="28" customHeight="1">
      <x:c r="A159" s="16" t="str">
        <x:v>Красноярская ТЭЦ-2</x:v>
      </x:c>
      <x:c r="B159" s="16" t="str">
        <x:v>2000712116-V113</x:v>
      </x:c>
      <x:c r="C159" s="16" t="str">
        <x:v>КОЛЕСО РАБОЧЕЕ В-26164 НАСОСА Д 3200-75</x:v>
      </x:c>
      <x:c r="D159" s="16" t="str">
        <x:v>ЗЧ к энергетич насос</x:v>
      </x:c>
      <x:c r="E159" s="16" t="str">
        <x:v>ШТ</x:v>
      </x:c>
      <x:c r="F159" s="21" t="n">
        <x:v>1</x:v>
      </x:c>
      <x:c r="G159" s="17" t="n">
        <x:v>233462.25</x:v>
      </x:c>
      <x:c r="H159" s="17" t="n">
        <x:f>G159*F159</x:f>
        <x:v>233462.25</x:v>
      </x:c>
      <x:c r="I159" s="22" t="str">
        <x:f>HYPERLINK("https://etp-aktiv.ru/catalog/materialy/zapasnye-chasti-promyshlennogo-oborudovaniya/2000712116-V113/","Открыть позицию")</x:f>
        <x:v>Открыть позицию</x:v>
      </x:c>
    </x:row>
    <x:row r="160" ht="28" customHeight="1">
      <x:c r="A160" s="16" t="str">
        <x:v>Красноярская ТЭЦ-2</x:v>
      </x:c>
      <x:c r="B160" s="16" t="str">
        <x:v>2000265337-V113</x:v>
      </x:c>
      <x:c r="C160" s="16" t="str">
        <x:v>КОМПРЕССОР 1N2981</x:v>
      </x:c>
      <x:c r="D160" s="16" t="str">
        <x:v>ЗЧ КарьерТехCaterpil</x:v>
      </x:c>
      <x:c r="E160" s="16" t="str">
        <x:v>ШТ</x:v>
      </x:c>
      <x:c r="F160" s="21" t="n">
        <x:v>1</x:v>
      </x:c>
      <x:c r="G160" s="17" t="n">
        <x:v>126441.5686</x:v>
      </x:c>
      <x:c r="H160" s="17" t="n">
        <x:f>G160*F160</x:f>
        <x:v>126441.5686</x:v>
      </x:c>
      <x:c r="I160" s="22" t="str">
        <x:f>HYPERLINK("https://etp-aktiv.ru/catalog/materialy/zapasnye-chasti-k-dorozhno-stroitelnoj-tekhnike/2000265337-V113/","Открыть позицию")</x:f>
        <x:v>Открыть позицию</x:v>
      </x:c>
    </x:row>
    <x:row r="161" ht="28" customHeight="1">
      <x:c r="A161" s="16" t="str">
        <x:v>Красноярская ТЭЦ-2</x:v>
      </x:c>
      <x:c r="B161" s="16" t="str">
        <x:v>2000261418-V113</x:v>
      </x:c>
      <x:c r="C161" s="16" t="str">
        <x:v>КРУГ ЗАЧИСТНОЙ 180*6*22,23 1А F30 QBF</x:v>
      </x:c>
      <x:c r="D161" s="16" t="str">
        <x:v>Инструмент и спецосн</x:v>
      </x:c>
      <x:c r="E161" s="16" t="str">
        <x:v>ШТ</x:v>
      </x:c>
      <x:c r="F161" s="21" t="n">
        <x:v>10</x:v>
      </x:c>
      <x:c r="G161" s="17" t="n">
        <x:v>41.894800000000004</x:v>
      </x:c>
      <x:c r="H161" s="17" t="n">
        <x:f>G161*F161</x:f>
        <x:v>418.94800000000004</x:v>
      </x:c>
      <x:c r="I161" s="22" t="str">
        <x:f>HYPERLINK("https://etp-aktiv.ru/catalog/materialy/instrument-i-specosnastka/2000261418-V113/","Открыть позицию")</x:f>
        <x:v>Открыть позицию</x:v>
      </x:c>
    </x:row>
    <x:row r="162" ht="28" customHeight="1">
      <x:c r="A162" s="16" t="str">
        <x:v>Красноярская ТЭЦ-2</x:v>
      </x:c>
      <x:c r="B162" s="16" t="str">
        <x:v>2000138127-V113</x:v>
      </x:c>
      <x:c r="C162" s="16" t="str">
        <x:v>КРУГ ОТРЕЗНОЙ 230*6*22</x:v>
      </x:c>
      <x:c r="D162" s="16" t="str">
        <x:v>Инструмент и спецосн</x:v>
      </x:c>
      <x:c r="E162" s="16" t="str">
        <x:v>ШТ</x:v>
      </x:c>
      <x:c r="F162" s="21" t="n">
        <x:v>7</x:v>
      </x:c>
      <x:c r="G162" s="17" t="n">
        <x:v>50.6544</x:v>
      </x:c>
      <x:c r="H162" s="17" t="n">
        <x:f>G162*F162</x:f>
        <x:v>354.5808</x:v>
      </x:c>
      <x:c r="I162" s="22" t="str">
        <x:f>HYPERLINK("https://etp-aktiv.ru/catalog/materialy/instrument-i-specosnastka/2000138127-V113/","Открыть позицию")</x:f>
        <x:v>Открыть позицию</x:v>
      </x:c>
    </x:row>
    <x:row r="163" ht="28" customHeight="1">
      <x:c r="A163" s="16" t="str">
        <x:v>Красноярская ТЭЦ-2</x:v>
      </x:c>
      <x:c r="B163" s="16" t="str">
        <x:v>2000544271-V113</x:v>
      </x:c>
      <x:c r="C163" s="16" t="str">
        <x:v>КРУГ ШЛИФОВАЛЬНЫЙ 180*6*22 14А 80 Т2</x:v>
      </x:c>
      <x:c r="D163" s="16" t="str">
        <x:v>Инструмент и спецосн</x:v>
      </x:c>
      <x:c r="E163" s="16" t="str">
        <x:v>ШТ</x:v>
      </x:c>
      <x:c r="F163" s="21" t="n">
        <x:v>8</x:v>
      </x:c>
      <x:c r="G163" s="17" t="n">
        <x:v>50.019999999999996</x:v>
      </x:c>
      <x:c r="H163" s="17" t="n">
        <x:f>G163*F163</x:f>
        <x:v>400.15999999999997</x:v>
      </x:c>
      <x:c r="I163" s="22" t="str">
        <x:f>HYPERLINK("https://etp-aktiv.ru/catalog/materialy/instrument-i-specosnastka/2000544271-V113/","Открыть позицию")</x:f>
        <x:v>Открыть позицию</x:v>
      </x:c>
    </x:row>
    <x:row r="164" ht="28" customHeight="1">
      <x:c r="A164" s="16" t="str">
        <x:v>Красноярская ТЭЦ-2</x:v>
      </x:c>
      <x:c r="B164" s="16" t="str">
        <x:v>2000544240-V113</x:v>
      </x:c>
      <x:c r="C164" s="16" t="str">
        <x:v>КРУГ ШЛИФОВАЛЬНЫЙ 300*40*127 63С F60 KLV</x:v>
      </x:c>
      <x:c r="D164" s="16" t="str">
        <x:v>Инструмент и спецосн</x:v>
      </x:c>
      <x:c r="E164" s="16" t="str">
        <x:v>ШТ</x:v>
      </x:c>
      <x:c r="F164" s="21" t="n">
        <x:v>20</x:v>
      </x:c>
      <x:c r="G164" s="17" t="n">
        <x:v>702.4394</x:v>
      </x:c>
      <x:c r="H164" s="17" t="n">
        <x:f>G164*F164</x:f>
        <x:v>14048.788</x:v>
      </x:c>
      <x:c r="I164" s="22" t="str">
        <x:f>HYPERLINK("https://etp-aktiv.ru/catalog/materialy/instrument-i-specosnastka/2000544240-V113/","Открыть позицию")</x:f>
        <x:v>Открыть позицию</x:v>
      </x:c>
    </x:row>
    <x:row r="165" ht="28" customHeight="1">
      <x:c r="A165" s="16" t="str">
        <x:v>Красноярская ТЭЦ-2</x:v>
      </x:c>
      <x:c r="B165" s="16" t="str">
        <x:v>2000534404-V113</x:v>
      </x:c>
      <x:c r="C165" s="16" t="str">
        <x:v>ПЛУНЖЕР НАСОСА Ц20/60 1-002-01</x:v>
      </x:c>
      <x:c r="D165" s="16" t="str">
        <x:v>ЗЧ к гидравлич насос</x:v>
      </x:c>
      <x:c r="E165" s="16" t="str">
        <x:v>ШТ</x:v>
      </x:c>
      <x:c r="F165" s="21" t="n">
        <x:v>1</x:v>
      </x:c>
      <x:c r="G165" s="17" t="n">
        <x:v>3149.2836</x:v>
      </x:c>
      <x:c r="H165" s="17" t="n">
        <x:f>G165*F165</x:f>
        <x:v>3149.2836</x:v>
      </x:c>
      <x:c r="I165" s="22" t="str">
        <x:f>HYPERLINK("https://etp-aktiv.ru/catalog/materialy/nasosno-kompressornoe-oborudovanie/2000534404-V113/","Открыть позицию")</x:f>
        <x:v>Открыть позицию</x:v>
      </x:c>
    </x:row>
    <x:row r="166" ht="28" customHeight="1">
      <x:c r="A166" s="16" t="str">
        <x:v>Красноярская ТЭЦ-2</x:v>
      </x:c>
      <x:c r="B166" s="16" t="str">
        <x:v>2000003383-V113</x:v>
      </x:c>
      <x:c r="C166" s="16" t="str">
        <x:v>ПОДШИПНИК 1000906</x:v>
      </x:c>
      <x:c r="D166" s="16" t="str">
        <x:v>Подшипники</x:v>
      </x:c>
      <x:c r="E166" s="16" t="str">
        <x:v>ШТ</x:v>
      </x:c>
      <x:c r="F166" s="21" t="n">
        <x:v>2</x:v>
      </x:c>
      <x:c r="G166" s="17" t="n">
        <x:v>49.3734</x:v>
      </x:c>
      <x:c r="H166" s="17" t="n">
        <x:f>G166*F166</x:f>
        <x:v>98.7468</x:v>
      </x:c>
      <x:c r="I166" s="22" t="str">
        <x:f>HYPERLINK("https://etp-aktiv.ru/catalog/materialy/podshipniki/2000003383-V113/","Открыть позицию")</x:f>
        <x:v>Открыть позицию</x:v>
      </x:c>
    </x:row>
    <x:row r="167" ht="28" customHeight="1">
      <x:c r="A167" s="16" t="str">
        <x:v>Красноярская ТЭЦ-2</x:v>
      </x:c>
      <x:c r="B167" s="16" t="str">
        <x:v>2000034252-V113</x:v>
      </x:c>
      <x:c r="C167" s="16" t="str">
        <x:v>ПОДШИПНИК 11209</x:v>
      </x:c>
      <x:c r="D167" s="16" t="str">
        <x:v>Подшипники</x:v>
      </x:c>
      <x:c r="E167" s="16" t="str">
        <x:v>ШТ</x:v>
      </x:c>
      <x:c r="F167" s="21" t="n">
        <x:v>20</x:v>
      </x:c>
      <x:c r="G167" s="17" t="n">
        <x:v>301.462</x:v>
      </x:c>
      <x:c r="H167" s="17" t="n">
        <x:f>G167*F167</x:f>
        <x:v>6029.24</x:v>
      </x:c>
      <x:c r="I167" s="22" t="str">
        <x:f>HYPERLINK("https://etp-aktiv.ru/catalog/materialy/podshipniki/2000034252-V113/","Открыть позицию")</x:f>
        <x:v>Открыть позицию</x:v>
      </x:c>
    </x:row>
    <x:row r="168" ht="28" customHeight="1">
      <x:c r="A168" s="16" t="str">
        <x:v>Красноярская ТЭЦ-2</x:v>
      </x:c>
      <x:c r="B168" s="16" t="str">
        <x:v>2000034269-V113</x:v>
      </x:c>
      <x:c r="C168" s="16" t="str">
        <x:v>ПОДШИПНИК 12204</x:v>
      </x:c>
      <x:c r="D168" s="16" t="str">
        <x:v>Подшипники</x:v>
      </x:c>
      <x:c r="E168" s="16" t="str">
        <x:v>ШТ</x:v>
      </x:c>
      <x:c r="F168" s="21" t="n">
        <x:v>7</x:v>
      </x:c>
      <x:c r="G168" s="17" t="n">
        <x:v>161.7598</x:v>
      </x:c>
      <x:c r="H168" s="17" t="n">
        <x:f>G168*F168</x:f>
        <x:v>1132.3186</x:v>
      </x:c>
      <x:c r="I168" s="22" t="str">
        <x:f>HYPERLINK("https://etp-aktiv.ru/catalog/materialy/podshipniki/2000034269-V113/","Открыть позицию")</x:f>
        <x:v>Открыть позицию</x:v>
      </x:c>
    </x:row>
    <x:row r="169" ht="28" customHeight="1">
      <x:c r="A169" s="16" t="str">
        <x:v>Красноярская ТЭЦ-2</x:v>
      </x:c>
      <x:c r="B169" s="16" t="str">
        <x:v>2000115321-V113</x:v>
      </x:c>
      <x:c r="C169" s="16" t="str">
        <x:v>ПОДШИПНИК 180305</x:v>
      </x:c>
      <x:c r="D169" s="16" t="str">
        <x:v>Подшипники</x:v>
      </x:c>
      <x:c r="E169" s="16" t="str">
        <x:v>ШТ</x:v>
      </x:c>
      <x:c r="F169" s="21" t="n">
        <x:v>10</x:v>
      </x:c>
      <x:c r="G169" s="17" t="n">
        <x:v>63.196</x:v>
      </x:c>
      <x:c r="H169" s="17" t="n">
        <x:f>G169*F169</x:f>
        <x:v>631.96</x:v>
      </x:c>
      <x:c r="I169" s="22" t="str">
        <x:f>HYPERLINK("https://etp-aktiv.ru/catalog/materialy/podshipniki/2000115321-V113/","Открыть позицию")</x:f>
        <x:v>Открыть позицию</x:v>
      </x:c>
    </x:row>
    <x:row r="170" ht="28" customHeight="1">
      <x:c r="A170" s="16" t="str">
        <x:v>Красноярская ТЭЦ-2</x:v>
      </x:c>
      <x:c r="B170" s="16" t="str">
        <x:v>2000005095-V113</x:v>
      </x:c>
      <x:c r="C170" s="16" t="str">
        <x:v>ПОДШИПНИК 180508</x:v>
      </x:c>
      <x:c r="D170" s="16" t="str">
        <x:v>Подшипники</x:v>
      </x:c>
      <x:c r="E170" s="16" t="str">
        <x:v>ШТ</x:v>
      </x:c>
      <x:c r="F170" s="21" t="n">
        <x:v>1</x:v>
      </x:c>
      <x:c r="G170" s="17" t="n">
        <x:v>285.114</x:v>
      </x:c>
      <x:c r="H170" s="17" t="n">
        <x:f>G170*F170</x:f>
        <x:v>285.114</x:v>
      </x:c>
      <x:c r="I170" s="22" t="str">
        <x:f>HYPERLINK("https://etp-aktiv.ru/catalog/materialy/podshipniki/2000005095-V113/","Открыть позицию")</x:f>
        <x:v>Открыть позицию</x:v>
      </x:c>
    </x:row>
    <x:row r="171" ht="28" customHeight="1">
      <x:c r="A171" s="16" t="str">
        <x:v>Красноярская ТЭЦ-2</x:v>
      </x:c>
      <x:c r="B171" s="16" t="str">
        <x:v>2000127212-V113</x:v>
      </x:c>
      <x:c r="C171" s="16" t="str">
        <x:v>ПОДШИПНИК 180604</x:v>
      </x:c>
      <x:c r="D171" s="16" t="str">
        <x:v>Подшипники</x:v>
      </x:c>
      <x:c r="E171" s="16" t="str">
        <x:v>ШТ</x:v>
      </x:c>
      <x:c r="F171" s="21" t="n">
        <x:v>4</x:v>
      </x:c>
      <x:c r="G171" s="17" t="n">
        <x:v>90.57279999999999</x:v>
      </x:c>
      <x:c r="H171" s="17" t="n">
        <x:f>G171*F171</x:f>
        <x:v>362.29119999999995</x:v>
      </x:c>
      <x:c r="I171" s="22" t="str">
        <x:f>HYPERLINK("https://etp-aktiv.ru/catalog/materialy/podshipniki/2000127212-V113/","Открыть позицию")</x:f>
        <x:v>Открыть позицию</x:v>
      </x:c>
    </x:row>
    <x:row r="172" ht="28" customHeight="1">
      <x:c r="A172" s="16" t="str">
        <x:v>Красноярская ТЭЦ-2</x:v>
      </x:c>
      <x:c r="B172" s="16" t="str">
        <x:v>2000006819-V113</x:v>
      </x:c>
      <x:c r="C172" s="16" t="str">
        <x:v>ПОДШИПНИК 2308</x:v>
      </x:c>
      <x:c r="D172" s="16" t="str">
        <x:v>Подшипники</x:v>
      </x:c>
      <x:c r="E172" s="16" t="str">
        <x:v>ШТ</x:v>
      </x:c>
      <x:c r="F172" s="21" t="n">
        <x:v>9</x:v>
      </x:c>
      <x:c r="G172" s="17" t="n">
        <x:v>221.19819999999999</x:v>
      </x:c>
      <x:c r="H172" s="17" t="n">
        <x:f>G172*F172</x:f>
        <x:v>1990.7838</x:v>
      </x:c>
      <x:c r="I172" s="22" t="str">
        <x:f>HYPERLINK("https://etp-aktiv.ru/catalog/materialy/podshipniki/2000006819-V113/","Открыть позицию")</x:f>
        <x:v>Открыть позицию</x:v>
      </x:c>
    </x:row>
    <x:row r="173" ht="28" customHeight="1">
      <x:c r="A173" s="16" t="str">
        <x:v>Красноярская ТЭЦ-2</x:v>
      </x:c>
      <x:c r="B173" s="16" t="str">
        <x:v>2000116609-V113</x:v>
      </x:c>
      <x:c r="C173" s="16" t="str">
        <x:v>ПОДШИПНИК 2313</x:v>
      </x:c>
      <x:c r="D173" s="16" t="str">
        <x:v>Подшипники</x:v>
      </x:c>
      <x:c r="E173" s="16" t="str">
        <x:v>ШТ</x:v>
      </x:c>
      <x:c r="F173" s="21" t="n">
        <x:v>1</x:v>
      </x:c>
      <x:c r="G173" s="17" t="n">
        <x:v>1217.743</x:v>
      </x:c>
      <x:c r="H173" s="17" t="n">
        <x:f>G173*F173</x:f>
        <x:v>1217.743</x:v>
      </x:c>
      <x:c r="I173" s="22" t="str">
        <x:f>HYPERLINK("https://etp-aktiv.ru/catalog/materialy/podshipniki/2000116609-V113/","Открыть позицию")</x:f>
        <x:v>Открыть позицию</x:v>
      </x:c>
    </x:row>
    <x:row r="174" ht="28" customHeight="1">
      <x:c r="A174" s="16" t="str">
        <x:v>Красноярская ТЭЦ-2</x:v>
      </x:c>
      <x:c r="B174" s="16" t="str">
        <x:v>2000138683-V113</x:v>
      </x:c>
      <x:c r="C174" s="16" t="str">
        <x:v>ПОДШИПНИК 3003744</x:v>
      </x:c>
      <x:c r="D174" s="16" t="str">
        <x:v>Подшипники</x:v>
      </x:c>
      <x:c r="E174" s="16" t="str">
        <x:v>ШТ</x:v>
      </x:c>
      <x:c r="F174" s="21" t="n">
        <x:v>3</x:v>
      </x:c>
      <x:c r="G174" s="17" t="n">
        <x:v>16393.14</x:v>
      </x:c>
      <x:c r="H174" s="17" t="n">
        <x:f>G174*F174</x:f>
        <x:v>49179.42</x:v>
      </x:c>
      <x:c r="I174" s="22" t="str">
        <x:f>HYPERLINK("https://etp-aktiv.ru/catalog/materialy/podshipniki/2000138683-V113/","Открыть позицию")</x:f>
        <x:v>Открыть позицию</x:v>
      </x:c>
    </x:row>
    <x:row r="175" ht="28" customHeight="1">
      <x:c r="A175" s="16" t="str">
        <x:v>Красноярская ТЭЦ-2</x:v>
      </x:c>
      <x:c r="B175" s="16" t="str">
        <x:v>2000116607-V113</x:v>
      </x:c>
      <x:c r="C175" s="16" t="str">
        <x:v>ПОДШИПНИК 319</x:v>
      </x:c>
      <x:c r="D175" s="16" t="str">
        <x:v>Подшипники</x:v>
      </x:c>
      <x:c r="E175" s="16" t="str">
        <x:v>ШТ</x:v>
      </x:c>
      <x:c r="F175" s="21" t="n">
        <x:v>3</x:v>
      </x:c>
      <x:c r="G175" s="17" t="n">
        <x:v>1115.5314</x:v>
      </x:c>
      <x:c r="H175" s="17" t="n">
        <x:f>G175*F175</x:f>
        <x:v>3346.5942000000005</x:v>
      </x:c>
      <x:c r="I175" s="22" t="str">
        <x:f>HYPERLINK("https://etp-aktiv.ru/catalog/materialy/podshipniki/2000116607-V113/","Открыть позицию")</x:f>
        <x:v>Открыть позицию</x:v>
      </x:c>
    </x:row>
    <x:row r="176" ht="28" customHeight="1">
      <x:c r="A176" s="16" t="str">
        <x:v>Красноярская ТЭЦ-2</x:v>
      </x:c>
      <x:c r="B176" s="16" t="str">
        <x:v>2000115355-V113</x:v>
      </x:c>
      <x:c r="C176" s="16" t="str">
        <x:v>ПОДШИПНИК 326</x:v>
      </x:c>
      <x:c r="D176" s="16" t="str">
        <x:v>Подшипники</x:v>
      </x:c>
      <x:c r="E176" s="16" t="str">
        <x:v>ШТ</x:v>
      </x:c>
      <x:c r="F176" s="21" t="n">
        <x:v>2</x:v>
      </x:c>
      <x:c r="G176" s="17" t="n">
        <x:v>3377.3138</x:v>
      </x:c>
      <x:c r="H176" s="17" t="n">
        <x:f>G176*F176</x:f>
        <x:v>6754.6276</x:v>
      </x:c>
      <x:c r="I176" s="22" t="str">
        <x:f>HYPERLINK("https://etp-aktiv.ru/catalog/materialy/podshipniki/2000115355-V113/","Открыть позицию")</x:f>
        <x:v>Открыть позицию</x:v>
      </x:c>
    </x:row>
    <x:row r="177" ht="28" customHeight="1">
      <x:c r="A177" s="16" t="str">
        <x:v>Красноярская ТЭЦ-2</x:v>
      </x:c>
      <x:c r="B177" s="16" t="str">
        <x:v>2000011478-V113</x:v>
      </x:c>
      <x:c r="C177" s="16" t="str">
        <x:v>ПОДШИПНИК 3510</x:v>
      </x:c>
      <x:c r="D177" s="16" t="str">
        <x:v>Подшипники</x:v>
      </x:c>
      <x:c r="E177" s="16" t="str">
        <x:v>ШТ</x:v>
      </x:c>
      <x:c r="F177" s="21" t="n">
        <x:v>1</x:v>
      </x:c>
      <x:c r="G177" s="17" t="n">
        <x:v>420.93659999999994</x:v>
      </x:c>
      <x:c r="H177" s="17" t="n">
        <x:f>G177*F177</x:f>
        <x:v>420.93659999999994</x:v>
      </x:c>
      <x:c r="I177" s="22" t="str">
        <x:f>HYPERLINK("https://etp-aktiv.ru/catalog/materialy/podshipniki/2000011478-V113/","Открыть позицию")</x:f>
        <x:v>Открыть позицию</x:v>
      </x:c>
    </x:row>
    <x:row r="178" ht="28" customHeight="1">
      <x:c r="A178" s="16" t="str">
        <x:v>Красноярская ТЭЦ-2</x:v>
      </x:c>
      <x:c r="B178" s="16" t="str">
        <x:v>2000116833-V113</x:v>
      </x:c>
      <x:c r="C178" s="16" t="str">
        <x:v>ПОДШИПНИК 3652</x:v>
      </x:c>
      <x:c r="D178" s="16" t="str">
        <x:v>Подшипники</x:v>
      </x:c>
      <x:c r="E178" s="16" t="str">
        <x:v>ШТ</x:v>
      </x:c>
      <x:c r="F178" s="21" t="n">
        <x:v>1</x:v>
      </x:c>
      <x:c r="G178" s="17" t="n">
        <x:v>49894.4986</x:v>
      </x:c>
      <x:c r="H178" s="17" t="n">
        <x:f>G178*F178</x:f>
        <x:v>49894.4986</x:v>
      </x:c>
      <x:c r="I178" s="22" t="str">
        <x:f>HYPERLINK("https://etp-aktiv.ru/catalog/materialy/podshipniki/2000116833-V113/","Открыть позицию")</x:f>
        <x:v>Открыть позицию</x:v>
      </x:c>
    </x:row>
    <x:row r="179" ht="28" customHeight="1">
      <x:c r="A179" s="16" t="str">
        <x:v>Красноярская ТЭЦ-2</x:v>
      </x:c>
      <x:c r="B179" s="16" t="str">
        <x:v>2000116516-V113</x:v>
      </x:c>
      <x:c r="C179" s="16" t="str">
        <x:v>ПОДШИПНИК 407</x:v>
      </x:c>
      <x:c r="D179" s="16" t="str">
        <x:v>Подшипники</x:v>
      </x:c>
      <x:c r="E179" s="16" t="str">
        <x:v>ШТ</x:v>
      </x:c>
      <x:c r="F179" s="21" t="n">
        <x:v>4</x:v>
      </x:c>
      <x:c r="G179" s="17" t="n">
        <x:v>186.538</x:v>
      </x:c>
      <x:c r="H179" s="17" t="n">
        <x:f>G179*F179</x:f>
        <x:v>746.152</x:v>
      </x:c>
      <x:c r="I179" s="22" t="str">
        <x:f>HYPERLINK("https://etp-aktiv.ru/catalog/materialy/podshipniki/2000116516-V113/","Открыть позицию")</x:f>
        <x:v>Открыть позицию</x:v>
      </x:c>
    </x:row>
    <x:row r="180" ht="28" customHeight="1">
      <x:c r="A180" s="16" t="str">
        <x:v>Красноярская ТЭЦ-2</x:v>
      </x:c>
      <x:c r="B180" s="16" t="str">
        <x:v>2000170569-V113</x:v>
      </x:c>
      <x:c r="C180" s="16" t="str">
        <x:v>ПОДШИПНИК 4074922</x:v>
      </x:c>
      <x:c r="D180" s="16" t="str">
        <x:v>Подшипники</x:v>
      </x:c>
      <x:c r="E180" s="16" t="str">
        <x:v>ШТ</x:v>
      </x:c>
      <x:c r="F180" s="21" t="n">
        <x:v>3</x:v>
      </x:c>
      <x:c r="G180" s="17" t="n">
        <x:v>611.9398</x:v>
      </x:c>
      <x:c r="H180" s="17" t="n">
        <x:f>G180*F180</x:f>
        <x:v>1835.8193999999999</x:v>
      </x:c>
      <x:c r="I180" s="22" t="str">
        <x:f>HYPERLINK("https://etp-aktiv.ru/catalog/materialy/podshipniki/2000170569-V113/","Открыть позицию")</x:f>
        <x:v>Открыть позицию</x:v>
      </x:c>
    </x:row>
    <x:row r="181" ht="28" customHeight="1">
      <x:c r="A181" s="16" t="str">
        <x:v>Красноярская ТЭЦ-2</x:v>
      </x:c>
      <x:c r="B181" s="16" t="str">
        <x:v>2000116542-V113</x:v>
      </x:c>
      <x:c r="C181" s="16" t="str">
        <x:v>ПОДШИПНИК 409</x:v>
      </x:c>
      <x:c r="D181" s="16" t="str">
        <x:v>Подшипники</x:v>
      </x:c>
      <x:c r="E181" s="16" t="str">
        <x:v>ШТ</x:v>
      </x:c>
      <x:c r="F181" s="21" t="n">
        <x:v>2</x:v>
      </x:c>
      <x:c r="G181" s="17" t="n">
        <x:v>225.09</x:v>
      </x:c>
      <x:c r="H181" s="17" t="n">
        <x:f>G181*F181</x:f>
        <x:v>450.18</x:v>
      </x:c>
      <x:c r="I181" s="22" t="str">
        <x:f>HYPERLINK("https://etp-aktiv.ru/catalog/materialy/podshipniki/2000116542-V113/","Открыть позицию")</x:f>
        <x:v>Открыть позицию</x:v>
      </x:c>
    </x:row>
    <x:row r="182" ht="28" customHeight="1">
      <x:c r="A182" s="16" t="str">
        <x:v>Красноярская ТЭЦ-2</x:v>
      </x:c>
      <x:c r="B182" s="16" t="str">
        <x:v>2000556514-V113</x:v>
      </x:c>
      <x:c r="C182" s="16" t="str">
        <x:v>ПОДШИПНИК 409</x:v>
      </x:c>
      <x:c r="D182" s="16" t="str">
        <x:v>Подшипники</x:v>
      </x:c>
      <x:c r="E182" s="16" t="str">
        <x:v>ШТ</x:v>
      </x:c>
      <x:c r="F182" s="21" t="n">
        <x:v>3</x:v>
      </x:c>
      <x:c r="G182" s="17" t="n">
        <x:v>330.65659999999997</x:v>
      </x:c>
      <x:c r="H182" s="17" t="n">
        <x:f>G182*F182</x:f>
        <x:v>991.9697999999999</x:v>
      </x:c>
      <x:c r="I182" s="22" t="str">
        <x:f>HYPERLINK("https://etp-aktiv.ru/catalog/materialy/podshipniki/2000556514-V113/","Открыть позицию")</x:f>
        <x:v>Открыть позицию</x:v>
      </x:c>
    </x:row>
    <x:row r="183" ht="28" customHeight="1">
      <x:c r="A183" s="16" t="str">
        <x:v>Красноярская ТЭЦ-2</x:v>
      </x:c>
      <x:c r="B183" s="16" t="str">
        <x:v>2000116489-V113</x:v>
      </x:c>
      <x:c r="C183" s="16" t="str">
        <x:v>ПОДШИПНИК 410</x:v>
      </x:c>
      <x:c r="D183" s="16" t="str">
        <x:v>Подшипники</x:v>
      </x:c>
      <x:c r="E183" s="16" t="str">
        <x:v>ШТ</x:v>
      </x:c>
      <x:c r="F183" s="21" t="n">
        <x:v>4</x:v>
      </x:c>
      <x:c r="G183" s="17" t="n">
        <x:v>338.0986</x:v>
      </x:c>
      <x:c r="H183" s="17" t="n">
        <x:f>G183*F183</x:f>
        <x:v>1352.3944</x:v>
      </x:c>
      <x:c r="I183" s="22" t="str">
        <x:f>HYPERLINK("https://etp-aktiv.ru/catalog/materialy/podshipniki/2000116489-V113/","Открыть позицию")</x:f>
        <x:v>Открыть позицию</x:v>
      </x:c>
    </x:row>
    <x:row r="184" ht="28" customHeight="1">
      <x:c r="A184" s="16" t="str">
        <x:v>Красноярская ТЭЦ-2</x:v>
      </x:c>
      <x:c r="B184" s="16" t="str">
        <x:v>2000589687-V113</x:v>
      </x:c>
      <x:c r="C184" s="16" t="str">
        <x:v>ПОДШИПНИК 46118 Л</x:v>
      </x:c>
      <x:c r="D184" s="16" t="str">
        <x:v>Подшипники</x:v>
      </x:c>
      <x:c r="E184" s="16" t="str">
        <x:v>ШТ</x:v>
      </x:c>
      <x:c r="F184" s="21" t="n">
        <x:v>1</x:v>
      </x:c>
      <x:c r="G184" s="17" t="n">
        <x:v>772.0282</x:v>
      </x:c>
      <x:c r="H184" s="17" t="n">
        <x:f>G184*F184</x:f>
        <x:v>772.0282</x:v>
      </x:c>
      <x:c r="I184" s="22" t="str">
        <x:f>HYPERLINK("https://etp-aktiv.ru/catalog/materialy/podshipniki/2000589687-V113/","Открыть позицию")</x:f>
        <x:v>Открыть позицию</x:v>
      </x:c>
    </x:row>
    <x:row r="185" ht="28" customHeight="1">
      <x:c r="A185" s="16" t="str">
        <x:v>Красноярская ТЭЦ-2</x:v>
      </x:c>
      <x:c r="B185" s="16" t="str">
        <x:v>2000163879-V113</x:v>
      </x:c>
      <x:c r="C185" s="16" t="str">
        <x:v>ПОДШИПНИК 46412Л</x:v>
      </x:c>
      <x:c r="D185" s="16" t="str">
        <x:v>Подшипники</x:v>
      </x:c>
      <x:c r="E185" s="16" t="str">
        <x:v>ШТ</x:v>
      </x:c>
      <x:c r="F185" s="21" t="n">
        <x:v>2</x:v>
      </x:c>
      <x:c r="G185" s="17" t="n">
        <x:v>933.3731999999999</x:v>
      </x:c>
      <x:c r="H185" s="17" t="n">
        <x:f>G185*F185</x:f>
        <x:v>1866.7463999999998</x:v>
      </x:c>
      <x:c r="I185" s="22" t="str">
        <x:f>HYPERLINK("https://etp-aktiv.ru/catalog/materialy/podshipniki/2000163879-V113/","Открыть позицию")</x:f>
        <x:v>Открыть позицию</x:v>
      </x:c>
    </x:row>
    <x:row r="186" ht="28" customHeight="1">
      <x:c r="A186" s="16" t="str">
        <x:v>Красноярская ТЭЦ-2</x:v>
      </x:c>
      <x:c r="B186" s="16" t="str">
        <x:v>2000116354-V113</x:v>
      </x:c>
      <x:c r="C186" s="16" t="str">
        <x:v>ПОДШИПНИК 50209</x:v>
      </x:c>
      <x:c r="D186" s="16" t="str">
        <x:v>Подшипники</x:v>
      </x:c>
      <x:c r="E186" s="16" t="str">
        <x:v>ШТ</x:v>
      </x:c>
      <x:c r="F186" s="21" t="n">
        <x:v>2</x:v>
      </x:c>
      <x:c r="G186" s="17" t="n">
        <x:v>120.78</x:v>
      </x:c>
      <x:c r="H186" s="17" t="n">
        <x:f>G186*F186</x:f>
        <x:v>241.56</x:v>
      </x:c>
      <x:c r="I186" s="22" t="str">
        <x:f>HYPERLINK("https://etp-aktiv.ru/catalog/materialy/podshipniki/2000116354-V113/","Открыть позицию")</x:f>
        <x:v>Открыть позицию</x:v>
      </x:c>
    </x:row>
    <x:row r="187" ht="28" customHeight="1">
      <x:c r="A187" s="16" t="str">
        <x:v>Красноярская ТЭЦ-2</x:v>
      </x:c>
      <x:c r="B187" s="16" t="str">
        <x:v>2000116384-V113</x:v>
      </x:c>
      <x:c r="C187" s="16" t="str">
        <x:v>ПОДШИПНИК 60210</x:v>
      </x:c>
      <x:c r="D187" s="16" t="str">
        <x:v>Подшипники</x:v>
      </x:c>
      <x:c r="E187" s="16" t="str">
        <x:v>ШТ</x:v>
      </x:c>
      <x:c r="F187" s="21" t="n">
        <x:v>6</x:v>
      </x:c>
      <x:c r="G187" s="17" t="n">
        <x:v>164.7</x:v>
      </x:c>
      <x:c r="H187" s="17" t="n">
        <x:f>G187*F187</x:f>
        <x:v>988.1999999999999</x:v>
      </x:c>
      <x:c r="I187" s="22" t="str">
        <x:f>HYPERLINK("https://etp-aktiv.ru/catalog/materialy/podshipniki/2000116384-V113/","Открыть позицию")</x:f>
        <x:v>Открыть позицию</x:v>
      </x:c>
    </x:row>
    <x:row r="188" ht="28" customHeight="1">
      <x:c r="A188" s="16" t="str">
        <x:v>Красноярская ТЭЦ-2</x:v>
      </x:c>
      <x:c r="B188" s="16" t="str">
        <x:v>2000575150-V113</x:v>
      </x:c>
      <x:c r="C188" s="16" t="str">
        <x:v>ПОДШИПНИК 6024-2RS1 SKF</x:v>
      </x:c>
      <x:c r="D188" s="16" t="str">
        <x:v>Подшипники</x:v>
      </x:c>
      <x:c r="E188" s="16" t="str">
        <x:v>ШТ</x:v>
      </x:c>
      <x:c r="F188" s="21" t="n">
        <x:v>3</x:v>
      </x:c>
      <x:c r="G188" s="17" t="n">
        <x:v>2058.75</x:v>
      </x:c>
      <x:c r="H188" s="17" t="n">
        <x:f>G188*F188</x:f>
        <x:v>6176.25</x:v>
      </x:c>
      <x:c r="I188" s="22" t="str">
        <x:f>HYPERLINK("https://etp-aktiv.ru/catalog/materialy/podshipniki/2000575150-V113/","Открыть позицию")</x:f>
        <x:v>Открыть позицию</x:v>
      </x:c>
    </x:row>
    <x:row r="189" ht="28" customHeight="1">
      <x:c r="A189" s="16" t="str">
        <x:v>Красноярская ТЭЦ-2</x:v>
      </x:c>
      <x:c r="B189" s="16" t="str">
        <x:v>2000116346-V113</x:v>
      </x:c>
      <x:c r="C189" s="16" t="str">
        <x:v>ПОДШИПНИК 60306</x:v>
      </x:c>
      <x:c r="D189" s="16" t="str">
        <x:v>Подшипники</x:v>
      </x:c>
      <x:c r="E189" s="16" t="str">
        <x:v>ШТ</x:v>
      </x:c>
      <x:c r="F189" s="21" t="n">
        <x:v>2</x:v>
      </x:c>
      <x:c r="G189" s="17" t="n">
        <x:v>59.4994</x:v>
      </x:c>
      <x:c r="H189" s="17" t="n">
        <x:f>G189*F189</x:f>
        <x:v>118.9988</x:v>
      </x:c>
      <x:c r="I189" s="22" t="str">
        <x:f>HYPERLINK("https://etp-aktiv.ru/catalog/materialy/podshipniki/2000116346-V113/","Открыть позицию")</x:f>
        <x:v>Открыть позицию</x:v>
      </x:c>
    </x:row>
    <x:row r="190" ht="28" customHeight="1">
      <x:c r="A190" s="16" t="str">
        <x:v>Красноярская ТЭЦ-2</x:v>
      </x:c>
      <x:c r="B190" s="16" t="str">
        <x:v>2000590183-V113</x:v>
      </x:c>
      <x:c r="C190" s="16" t="str">
        <x:v>ПОДШИПНИК 6204 2RS(ИМП)</x:v>
      </x:c>
      <x:c r="D190" s="16" t="str">
        <x:v>Подшипники</x:v>
      </x:c>
      <x:c r="E190" s="16" t="str">
        <x:v>ШТ</x:v>
      </x:c>
      <x:c r="F190" s="21" t="n">
        <x:v>25</x:v>
      </x:c>
      <x:c r="G190" s="17" t="n">
        <x:v>64.965</x:v>
      </x:c>
      <x:c r="H190" s="17" t="n">
        <x:f>G190*F190</x:f>
        <x:v>1624.125</x:v>
      </x:c>
      <x:c r="I190" s="22" t="str">
        <x:f>HYPERLINK("https://etp-aktiv.ru/catalog/materialy/podshipniki/2000590183-V113/","Открыть позицию")</x:f>
        <x:v>Открыть позицию</x:v>
      </x:c>
    </x:row>
    <x:row r="191" ht="28" customHeight="1">
      <x:c r="A191" s="16" t="str">
        <x:v>Красноярская ТЭЦ-2</x:v>
      </x:c>
      <x:c r="B191" s="16" t="str">
        <x:v>2000034570-V113</x:v>
      </x:c>
      <x:c r="C191" s="16" t="str">
        <x:v>ПОДШИПНИК 6208</x:v>
      </x:c>
      <x:c r="D191" s="16" t="str">
        <x:v>Подшипники</x:v>
      </x:c>
      <x:c r="E191" s="16" t="str">
        <x:v>ШТ</x:v>
      </x:c>
      <x:c r="F191" s="21" t="n">
        <x:v>4</x:v>
      </x:c>
      <x:c r="G191" s="17" t="n">
        <x:v>85.7782</x:v>
      </x:c>
      <x:c r="H191" s="17" t="n">
        <x:f>G191*F191</x:f>
        <x:v>343.1128</x:v>
      </x:c>
      <x:c r="I191" s="22" t="str">
        <x:f>HYPERLINK("https://etp-aktiv.ru/catalog/materialy/podshipniki/2000034570-V113/","Открыть позицию")</x:f>
        <x:v>Открыть позицию</x:v>
      </x:c>
    </x:row>
    <x:row r="192" ht="28" customHeight="1">
      <x:c r="A192" s="16" t="str">
        <x:v>Красноярская ТЭЦ-2</x:v>
      </x:c>
      <x:c r="B192" s="16" t="str">
        <x:v>2000127116-V113</x:v>
      </x:c>
      <x:c r="C192" s="16" t="str">
        <x:v>ПОДШИПНИК 6315</x:v>
      </x:c>
      <x:c r="D192" s="16" t="str">
        <x:v>Подшипники</x:v>
      </x:c>
      <x:c r="E192" s="16" t="str">
        <x:v>ШТ</x:v>
      </x:c>
      <x:c r="F192" s="21" t="n">
        <x:v>1</x:v>
      </x:c>
      <x:c r="G192" s="17" t="n">
        <x:v>423.1692</x:v>
      </x:c>
      <x:c r="H192" s="17" t="n">
        <x:f>G192*F192</x:f>
        <x:v>423.1692</x:v>
      </x:c>
      <x:c r="I192" s="22" t="str">
        <x:f>HYPERLINK("https://etp-aktiv.ru/catalog/materialy/podshipniki/2000127116-V113/","Открыть позицию")</x:f>
        <x:v>Открыть позицию</x:v>
      </x:c>
    </x:row>
    <x:row r="193" ht="28" customHeight="1">
      <x:c r="A193" s="16" t="str">
        <x:v>Красноярская ТЭЦ-2</x:v>
      </x:c>
      <x:c r="B193" s="16" t="str">
        <x:v>2000128887-V113</x:v>
      </x:c>
      <x:c r="C193" s="16" t="str">
        <x:v>ПОДШИПНИК 6319</x:v>
      </x:c>
      <x:c r="D193" s="16" t="str">
        <x:v>Подшипники</x:v>
      </x:c>
      <x:c r="E193" s="16" t="str">
        <x:v>ШТ</x:v>
      </x:c>
      <x:c r="F193" s="21" t="n">
        <x:v>1</x:v>
      </x:c>
      <x:c r="G193" s="17" t="n">
        <x:v>3661.1834</x:v>
      </x:c>
      <x:c r="H193" s="17" t="n">
        <x:f>G193*F193</x:f>
        <x:v>3661.1834</x:v>
      </x:c>
      <x:c r="I193" s="22" t="str">
        <x:f>HYPERLINK("https://etp-aktiv.ru/catalog/materialy/podshipniki/2000128887-V113/","Открыть позицию")</x:f>
        <x:v>Открыть позицию</x:v>
      </x:c>
    </x:row>
    <x:row r="194" ht="28" customHeight="1">
      <x:c r="A194" s="16" t="str">
        <x:v>Красноярская ТЭЦ-2</x:v>
      </x:c>
      <x:c r="B194" s="16" t="str">
        <x:v>2000116418-V113</x:v>
      </x:c>
      <x:c r="C194" s="16" t="str">
        <x:v>ПОДШИПНИК 7309</x:v>
      </x:c>
      <x:c r="D194" s="16" t="str">
        <x:v>Подшипники</x:v>
      </x:c>
      <x:c r="E194" s="16" t="str">
        <x:v>ШТ</x:v>
      </x:c>
      <x:c r="F194" s="21" t="n">
        <x:v>1</x:v>
      </x:c>
      <x:c r="G194" s="17" t="n">
        <x:v>271.1084</x:v>
      </x:c>
      <x:c r="H194" s="17" t="n">
        <x:f>G194*F194</x:f>
        <x:v>271.1084</x:v>
      </x:c>
      <x:c r="I194" s="22" t="str">
        <x:f>HYPERLINK("https://etp-aktiv.ru/catalog/materialy/podshipniki/2000116418-V113/","Открыть позицию")</x:f>
        <x:v>Открыть позицию</x:v>
      </x:c>
    </x:row>
    <x:row r="195" ht="28" customHeight="1">
      <x:c r="A195" s="16" t="str">
        <x:v>Красноярская ТЭЦ-2</x:v>
      </x:c>
      <x:c r="B195" s="16" t="str">
        <x:v>2000116397-V113</x:v>
      </x:c>
      <x:c r="C195" s="16" t="str">
        <x:v>ПОДШИПНИК 7510</x:v>
      </x:c>
      <x:c r="D195" s="16" t="str">
        <x:v>Подшипники</x:v>
      </x:c>
      <x:c r="E195" s="16" t="str">
        <x:v>ШТ</x:v>
      </x:c>
      <x:c r="F195" s="21" t="n">
        <x:v>4</x:v>
      </x:c>
      <x:c r="G195" s="17" t="n">
        <x:v>171.9712</x:v>
      </x:c>
      <x:c r="H195" s="17" t="n">
        <x:f>G195*F195</x:f>
        <x:v>687.8848</x:v>
      </x:c>
      <x:c r="I195" s="22" t="str">
        <x:f>HYPERLINK("https://etp-aktiv.ru/catalog/materialy/podshipniki/2000116397-V113/","Открыть позицию")</x:f>
        <x:v>Открыть позицию</x:v>
      </x:c>
    </x:row>
    <x:row r="196" ht="28" customHeight="1">
      <x:c r="A196" s="16" t="str">
        <x:v>Красноярская ТЭЦ-2</x:v>
      </x:c>
      <x:c r="B196" s="16" t="str">
        <x:v>2000116325-V113</x:v>
      </x:c>
      <x:c r="C196" s="16" t="str">
        <x:v>ПОДШИПНИК 8106</x:v>
      </x:c>
      <x:c r="D196" s="16" t="str">
        <x:v>Подшипники</x:v>
      </x:c>
      <x:c r="E196" s="16" t="str">
        <x:v>ШТ</x:v>
      </x:c>
      <x:c r="F196" s="21" t="n">
        <x:v>3</x:v>
      </x:c>
      <x:c r="G196" s="17" t="n">
        <x:v>25.168599999999998</x:v>
      </x:c>
      <x:c r="H196" s="17" t="n">
        <x:f>G196*F196</x:f>
        <x:v>75.5058</x:v>
      </x:c>
      <x:c r="I196" s="22" t="str">
        <x:f>HYPERLINK("https://etp-aktiv.ru/catalog/materialy/podshipniki/2000116325-V113/","Открыть позицию")</x:f>
        <x:v>Открыть позицию</x:v>
      </x:c>
    </x:row>
    <x:row r="197" ht="28" customHeight="1">
      <x:c r="A197" s="16" t="str">
        <x:v>Красноярская ТЭЦ-2</x:v>
      </x:c>
      <x:c r="B197" s="16" t="str">
        <x:v>2000127340-V113</x:v>
      </x:c>
      <x:c r="C197" s="16" t="str">
        <x:v>ПОДШИПНИК 8115</x:v>
      </x:c>
      <x:c r="D197" s="16" t="str">
        <x:v>Подшипники</x:v>
      </x:c>
      <x:c r="E197" s="16" t="str">
        <x:v>ШТ</x:v>
      </x:c>
      <x:c r="F197" s="21" t="n">
        <x:v>2</x:v>
      </x:c>
      <x:c r="G197" s="17" t="n">
        <x:v>145.2532</x:v>
      </x:c>
      <x:c r="H197" s="17" t="n">
        <x:f>G197*F197</x:f>
        <x:v>290.5064</x:v>
      </x:c>
      <x:c r="I197" s="22" t="str">
        <x:f>HYPERLINK("https://etp-aktiv.ru/catalog/materialy/podshipniki/2000127340-V113/","Открыть позицию")</x:f>
        <x:v>Открыть позицию</x:v>
      </x:c>
    </x:row>
    <x:row r="198" ht="28" customHeight="1">
      <x:c r="A198" s="16" t="str">
        <x:v>Красноярская ТЭЦ-2</x:v>
      </x:c>
      <x:c r="B198" s="16" t="str">
        <x:v>2000116476-V113</x:v>
      </x:c>
      <x:c r="C198" s="16" t="str">
        <x:v>ПОДШИПНИК 8122</x:v>
      </x:c>
      <x:c r="D198" s="16" t="str">
        <x:v>Подшипники</x:v>
      </x:c>
      <x:c r="E198" s="16" t="str">
        <x:v>ШТ</x:v>
      </x:c>
      <x:c r="F198" s="21" t="n">
        <x:v>4</x:v>
      </x:c>
      <x:c r="G198" s="17" t="n">
        <x:v>334.2068</x:v>
      </x:c>
      <x:c r="H198" s="17" t="n">
        <x:f>G198*F198</x:f>
        <x:v>1336.8272</x:v>
      </x:c>
      <x:c r="I198" s="22" t="str">
        <x:f>HYPERLINK("https://etp-aktiv.ru/catalog/materialy/podshipniki/2000116476-V113/","Открыть позицию")</x:f>
        <x:v>Открыть позицию</x:v>
      </x:c>
    </x:row>
    <x:row r="199" ht="28" customHeight="1">
      <x:c r="A199" s="16" t="str">
        <x:v>Красноярская ТЭЦ-2</x:v>
      </x:c>
      <x:c r="B199" s="16" t="str">
        <x:v>2000127085-V113</x:v>
      </x:c>
      <x:c r="C199" s="16" t="str">
        <x:v>ПОДШИПНИК 8212</x:v>
      </x:c>
      <x:c r="D199" s="16" t="str">
        <x:v>Подшипники</x:v>
      </x:c>
      <x:c r="E199" s="16" t="str">
        <x:v>ШТ</x:v>
      </x:c>
      <x:c r="F199" s="21" t="n">
        <x:v>2</x:v>
      </x:c>
      <x:c r="G199" s="17" t="n">
        <x:v>184.7202</x:v>
      </x:c>
      <x:c r="H199" s="17" t="n">
        <x:f>G199*F199</x:f>
        <x:v>369.4404</x:v>
      </x:c>
      <x:c r="I199" s="22" t="str">
        <x:f>HYPERLINK("https://etp-aktiv.ru/catalog/materialy/podshipniki/2000127085-V113/","Открыть позицию")</x:f>
        <x:v>Открыть позицию</x:v>
      </x:c>
    </x:row>
    <x:row r="200" ht="28" customHeight="1">
      <x:c r="A200" s="16" t="str">
        <x:v>Красноярская ТЭЦ-2</x:v>
      </x:c>
      <x:c r="B200" s="16" t="str">
        <x:v>2000441149-V113</x:v>
      </x:c>
      <x:c r="C200" s="16" t="str">
        <x:v>ПОДШИПНИК РАДИАЛЬНЫЙ 6209</x:v>
      </x:c>
      <x:c r="D200" s="16" t="str">
        <x:v>Подшипники</x:v>
      </x:c>
      <x:c r="E200" s="16" t="str">
        <x:v>ШТ</x:v>
      </x:c>
      <x:c r="F200" s="21" t="n">
        <x:v>2</x:v>
      </x:c>
      <x:c r="G200" s="17" t="n">
        <x:v>282.735</x:v>
      </x:c>
      <x:c r="H200" s="17" t="n">
        <x:f>G200*F200</x:f>
        <x:v>565.47</x:v>
      </x:c>
      <x:c r="I200" s="22" t="str">
        <x:f>HYPERLINK("https://etp-aktiv.ru/catalog/materialy/podshipniki/2000441149-V113/","Открыть позицию")</x:f>
        <x:v>Открыть позицию</x:v>
      </x:c>
    </x:row>
    <x:row r="201" ht="28" customHeight="1">
      <x:c r="A201" s="16" t="str">
        <x:v>Красноярская ТЭЦ-2</x:v>
      </x:c>
      <x:c r="B201" s="16" t="str">
        <x:v>2000138159-V113</x:v>
      </x:c>
      <x:c r="C201" s="16" t="str">
        <x:v>ШЛИФКРУГ 230*6*22 13АМ</x:v>
      </x:c>
      <x:c r="D201" s="16" t="str">
        <x:v>Инструмент и спецосн</x:v>
      </x:c>
      <x:c r="E201" s="16" t="str">
        <x:v>ШТ</x:v>
      </x:c>
      <x:c r="F201" s="21" t="n">
        <x:v>24</x:v>
      </x:c>
      <x:c r="G201" s="17" t="n">
        <x:v>87.8034</x:v>
      </x:c>
      <x:c r="H201" s="17" t="n">
        <x:f>G201*F201</x:f>
        <x:v>2107.2816</x:v>
      </x:c>
      <x:c r="I201" s="22" t="str">
        <x:f>HYPERLINK("https://etp-aktiv.ru/catalog/materialy/instrument-i-specosnastka/2000138159-V113/","Открыть позицию")</x:f>
        <x:v>Открыть позицию</x:v>
      </x:c>
    </x:row>
    <x:row r="202" ht="28" customHeight="1">
      <x:c r="A202" s="16" t="str">
        <x:v>Красноярская ТЭЦ-2</x:v>
      </x:c>
      <x:c r="B202" s="16" t="str">
        <x:v>2000122457-V113</x:v>
      </x:c>
      <x:c r="C202" s="16" t="str">
        <x:v>ШЛИФКРУГ 250*20*32 25А</x:v>
      </x:c>
      <x:c r="D202" s="16" t="str">
        <x:v>Инструмент и спецосн</x:v>
      </x:c>
      <x:c r="E202" s="16" t="str">
        <x:v>ШТ</x:v>
      </x:c>
      <x:c r="F202" s="21" t="n">
        <x:v>18</x:v>
      </x:c>
      <x:c r="G202" s="17" t="n">
        <x:v>384.5196</x:v>
      </x:c>
      <x:c r="H202" s="17" t="n">
        <x:f>G202*F202</x:f>
        <x:v>6921.352800000001</x:v>
      </x:c>
      <x:c r="I202" s="22" t="str">
        <x:f>HYPERLINK("https://etp-aktiv.ru/catalog/materialy/instrument-i-specosnastka/2000122457-V113/","Открыть позицию")</x:f>
        <x:v>Открыть позицию</x:v>
      </x:c>
    </x:row>
    <x:row r="203" ht="28" customHeight="1">
      <x:c r="A203" s="16" t="str">
        <x:v>Красноярская ТЭЦ-2</x:v>
      </x:c>
      <x:c r="B203" s="16" t="str">
        <x:v>2000524668-V113</x:v>
      </x:c>
      <x:c r="C203" s="16" t="str">
        <x:v>ЩИТ БВИЕ 712.252.035</x:v>
      </x:c>
      <x:c r="D203" s="16" t="str">
        <x:v>ЗЧ э/двигателей</x:v>
      </x:c>
      <x:c r="E203" s="16" t="str">
        <x:v>ШТ</x:v>
      </x:c>
      <x:c r="F203" s="21" t="n">
        <x:v>1</x:v>
      </x:c>
      <x:c r="G203" s="17" t="n">
        <x:v>1944.5213999999999</x:v>
      </x:c>
      <x:c r="H203" s="17" t="n">
        <x:f>G203*F203</x:f>
        <x:v>1944.5213999999999</x:v>
      </x:c>
      <x:c r="I203" s="22" t="str">
        <x:f>HYPERLINK("https://etp-aktiv.ru/catalog/materialy/ehlektrotekhnicheskie-materialy/2000524668-V113/","Открыть позицию")</x:f>
        <x:v>Открыть позицию</x:v>
      </x:c>
    </x:row>
    <x:row r="204" ht="28" customHeight="1">
      <x:c r="A204" s="16" t="str">
        <x:v>Красноярская ТЭЦ-3</x:v>
      </x:c>
      <x:c r="B204" s="16" t="str">
        <x:v>5000111146-V114</x:v>
      </x:c>
      <x:c r="C204" s="16" t="str">
        <x:v>АГР НАС НД 2,5 25/250 К14А 1,1/380/1500</x:v>
      </x:c>
      <x:c r="D204" s="16" t="str">
        <x:v>НасосыДозировоХимич</x:v>
      </x:c>
      <x:c r="E204" s="16" t="str">
        <x:v>ШТ</x:v>
      </x:c>
      <x:c r="F204" s="21" t="n">
        <x:v>1</x:v>
      </x:c>
      <x:c r="G204" s="17" t="n">
        <x:v>110538.283</x:v>
      </x:c>
      <x:c r="H204" s="17" t="n">
        <x:f>G204*F204</x:f>
        <x:v>110538.283</x:v>
      </x:c>
      <x:c r="I204" s="22" t="str">
        <x:f>HYPERLINK("https://etp-aktiv.ru/catalog/materialy/nasosno-kompressornoe-oborudovanie/5000111146-V114/","Открыть позицию")</x:f>
        <x:v>Открыть позицию</x:v>
      </x:c>
    </x:row>
    <x:row r="205" ht="28" customHeight="1">
      <x:c r="A205" s="16" t="str">
        <x:v>Красноярская ТЭЦ-3</x:v>
      </x:c>
      <x:c r="B205" s="16" t="str">
        <x:v>2000533344-V114</x:v>
      </x:c>
      <x:c r="C205" s="16" t="str">
        <x:v>АМОРТИЗАТОР МУФТ У132.01.01-01 НАС КСВ</x:v>
      </x:c>
      <x:c r="D205" s="16" t="str">
        <x:v>ЗЧ к энергетич насос</x:v>
      </x:c>
      <x:c r="E205" s="16" t="str">
        <x:v>ШТ</x:v>
      </x:c>
      <x:c r="F205" s="21" t="n">
        <x:v>4</x:v>
      </x:c>
      <x:c r="G205" s="17" t="n">
        <x:v>85.7782</x:v>
      </x:c>
      <x:c r="H205" s="17" t="n">
        <x:f>G205*F205</x:f>
        <x:v>343.1128</x:v>
      </x:c>
      <x:c r="I205" s="22" t="str">
        <x:f>HYPERLINK("https://etp-aktiv.ru/catalog/materialy/zapasnye-chasti-promyshlennogo-oborudovaniya/2000533344-V114/","Открыть позицию")</x:f>
        <x:v>Открыть позицию</x:v>
      </x:c>
    </x:row>
    <x:row r="206" ht="28" customHeight="1">
      <x:c r="A206" s="16" t="str">
        <x:v>Красноярская ТЭЦ-3</x:v>
      </x:c>
      <x:c r="B206" s="16" t="str">
        <x:v>2000533343-V114</x:v>
      </x:c>
      <x:c r="C206" s="16" t="str">
        <x:v>АМОРТИЗАТОР МУФТОВ У132.01.01 КСВ-125-55</x:v>
      </x:c>
      <x:c r="D206" s="16" t="str">
        <x:v>ЗЧ к энергетич насос</x:v>
      </x:c>
      <x:c r="E206" s="16" t="str">
        <x:v>ШТ</x:v>
      </x:c>
      <x:c r="F206" s="21" t="n">
        <x:v>16</x:v>
      </x:c>
      <x:c r="G206" s="17" t="n">
        <x:v>129.1126</x:v>
      </x:c>
      <x:c r="H206" s="17" t="n">
        <x:f>G206*F206</x:f>
        <x:v>2065.8016</x:v>
      </x:c>
      <x:c r="I206" s="22" t="str">
        <x:f>HYPERLINK("https://etp-aktiv.ru/catalog/materialy/zapasnye-chasti-promyshlennogo-oborudovaniya/2000533343-V114/","Открыть позицию")</x:f>
        <x:v>Открыть позицию</x:v>
      </x:c>
    </x:row>
    <x:row r="207" ht="28" customHeight="1">
      <x:c r="A207" s="16" t="str">
        <x:v>Красноярская ТЭЦ-3</x:v>
      </x:c>
      <x:c r="B207" s="16" t="str">
        <x:v>2000533346-V114</x:v>
      </x:c>
      <x:c r="C207" s="16" t="str">
        <x:v>АППАРАТ НАПР Н18.38.40.04 КСВ 320-160-2</x:v>
      </x:c>
      <x:c r="D207" s="16" t="str">
        <x:v>ЗЧ к энергетич насос</x:v>
      </x:c>
      <x:c r="E207" s="16" t="str">
        <x:v>ШТ</x:v>
      </x:c>
      <x:c r="F207" s="21" t="n">
        <x:v>2</x:v>
      </x:c>
      <x:c r="G207" s="17" t="n">
        <x:v>59366.6274</x:v>
      </x:c>
      <x:c r="H207" s="17" t="n">
        <x:f>G207*F207</x:f>
        <x:v>118733.2548</x:v>
      </x:c>
      <x:c r="I207" s="22" t="str">
        <x:f>HYPERLINK("https://etp-aktiv.ru/catalog/materialy/zapasnye-chasti-promyshlennogo-oborudovaniya/2000533346-V114/","Открыть позицию")</x:f>
        <x:v>Открыть позицию</x:v>
      </x:c>
    </x:row>
    <x:row r="208" ht="28" customHeight="1">
      <x:c r="A208" s="16" t="str">
        <x:v>Красноярская ТЭЦ-3</x:v>
      </x:c>
      <x:c r="B208" s="16" t="str">
        <x:v>2000533461-V114</x:v>
      </x:c>
      <x:c r="C208" s="16" t="str">
        <x:v>ВКЛАДЫШ В-30208 НАСОСА 1200В-6,3/63</x:v>
      </x:c>
      <x:c r="D208" s="16" t="str">
        <x:v>ЗЧ к энергетич насос</x:v>
      </x:c>
      <x:c r="E208" s="16" t="str">
        <x:v>КМП</x:v>
      </x:c>
      <x:c r="F208" s="21" t="n">
        <x:v>4</x:v>
      </x:c>
      <x:c r="G208" s="17" t="n">
        <x:v>25900.0022</x:v>
      </x:c>
      <x:c r="H208" s="17" t="n">
        <x:f>G208*F208</x:f>
        <x:v>103600.0088</x:v>
      </x:c>
      <x:c r="I208" s="22" t="str">
        <x:f>HYPERLINK("https://etp-aktiv.ru/catalog/materialy/zapasnye-chasti-promyshlennogo-oborudovaniya/2000533461-V114/","Открыть позицию")</x:f>
        <x:v>Открыть позицию</x:v>
      </x:c>
    </x:row>
    <x:row r="209" ht="28" customHeight="1">
      <x:c r="A209" s="16" t="str">
        <x:v>Красноярская ТЭЦ-3</x:v>
      </x:c>
      <x:c r="B209" s="16" t="str">
        <x:v>2000088275-V114</x:v>
      </x:c>
      <x:c r="C209" s="16" t="str">
        <x:v>ВКЛАДЫШ ЗАДНИЙ ПОЛОВИНЧАТ Н14.739.01.000</x:v>
      </x:c>
      <x:c r="D209" s="16" t="str">
        <x:v>ЗЧ к шламов насосам</x:v>
      </x:c>
      <x:c r="E209" s="16" t="str">
        <x:v>ШТ</x:v>
      </x:c>
      <x:c r="F209" s="21" t="n">
        <x:v>1</x:v>
      </x:c>
      <x:c r="G209" s="17" t="n">
        <x:v>14563.676800000001</x:v>
      </x:c>
      <x:c r="H209" s="17" t="n">
        <x:f>G209*F209</x:f>
        <x:v>14563.676800000001</x:v>
      </x:c>
      <x:c r="I209" s="22" t="str">
        <x:f>HYPERLINK("https://etp-aktiv.ru/catalog/materialy/zapasnye-chasti-promyshlennogo-oborudovaniya/2000088275-V114/","Открыть позицию")</x:f>
        <x:v>Открыть позицию</x:v>
      </x:c>
    </x:row>
    <x:row r="210" ht="28" customHeight="1">
      <x:c r="A210" s="16" t="str">
        <x:v>Красноярская ТЭЦ-3</x:v>
      </x:c>
      <x:c r="B210" s="16" t="str">
        <x:v>2000088276-V114</x:v>
      </x:c>
      <x:c r="C210" s="16" t="str">
        <x:v>ВКЛАДЫШ ПЕРЕДНИЙ ПОЛОВ. Н14.739.02.000</x:v>
      </x:c>
      <x:c r="D210" s="16" t="str">
        <x:v>ЗЧ к шламов насосам</x:v>
      </x:c>
      <x:c r="E210" s="16" t="str">
        <x:v>ШТ</x:v>
      </x:c>
      <x:c r="F210" s="21" t="n">
        <x:v>1</x:v>
      </x:c>
      <x:c r="G210" s="17" t="n">
        <x:v>15482.7516</x:v>
      </x:c>
      <x:c r="H210" s="17" t="n">
        <x:f>G210*F210</x:f>
        <x:v>15482.7516</x:v>
      </x:c>
      <x:c r="I210" s="22" t="str">
        <x:f>HYPERLINK("https://etp-aktiv.ru/catalog/materialy/zapasnye-chasti-promyshlennogo-oborudovaniya/2000088276-V114/","Открыть позицию")</x:f>
        <x:v>Открыть позицию</x:v>
      </x:c>
    </x:row>
    <x:row r="211" ht="28" customHeight="1">
      <x:c r="A211" s="16" t="str">
        <x:v>Красноярская ТЭЦ-3</x:v>
      </x:c>
      <x:c r="B211" s="16" t="str">
        <x:v>2000524757-V114</x:v>
      </x:c>
      <x:c r="C211" s="16" t="str">
        <x:v>ВТУЛКА 0517067</x:v>
      </x:c>
      <x:c r="D211" s="16" t="str">
        <x:v>ЗЧ к гидравлич насос</x:v>
      </x:c>
      <x:c r="E211" s="16" t="str">
        <x:v>ШТ</x:v>
      </x:c>
      <x:c r="F211" s="21" t="n">
        <x:v>4</x:v>
      </x:c>
      <x:c r="G211" s="17" t="n">
        <x:v>11199.6</x:v>
      </x:c>
      <x:c r="H211" s="17" t="n">
        <x:f>G211*F211</x:f>
        <x:v>44798.4</x:v>
      </x:c>
      <x:c r="I211" s="22" t="str">
        <x:f>HYPERLINK("https://etp-aktiv.ru/catalog/materialy/nasosno-kompressornoe-oborudovanie/2000524757-V114/","Открыть позицию")</x:f>
        <x:v>Открыть позицию</x:v>
      </x:c>
    </x:row>
    <x:row r="212" ht="28" customHeight="1">
      <x:c r="A212" s="16" t="str">
        <x:v>Красноярская ТЭЦ-3</x:v>
      </x:c>
      <x:c r="B212" s="16" t="str">
        <x:v>2000527140-V114</x:v>
      </x:c>
      <x:c r="C212" s="16" t="str">
        <x:v>ВТУЛКА 2131637СБ</x:v>
      </x:c>
      <x:c r="D212" s="16" t="str">
        <x:v>ЗЧ к гидравлич насос</x:v>
      </x:c>
      <x:c r="E212" s="16" t="str">
        <x:v>ШТ</x:v>
      </x:c>
      <x:c r="F212" s="21" t="n">
        <x:v>2</x:v>
      </x:c>
      <x:c r="G212" s="17" t="n">
        <x:v>86796.9</x:v>
      </x:c>
      <x:c r="H212" s="17" t="n">
        <x:f>G212*F212</x:f>
        <x:v>173593.8</x:v>
      </x:c>
      <x:c r="I212" s="22" t="str">
        <x:f>HYPERLINK("https://etp-aktiv.ru/catalog/materialy/nasosno-kompressornoe-oborudovanie/2000527140-V114/","Открыть позицию")</x:f>
        <x:v>Открыть позицию</x:v>
      </x:c>
    </x:row>
    <x:row r="213" ht="28" customHeight="1">
      <x:c r="A213" s="16" t="str">
        <x:v>Красноярская ТЭЦ-3</x:v>
      </x:c>
      <x:c r="B213" s="16" t="str">
        <x:v>2000170784-V114</x:v>
      </x:c>
      <x:c r="C213" s="16" t="str">
        <x:v>ВТУЛКА Н03.3.323.01.01.004А-01</x:v>
      </x:c>
      <x:c r="D213" s="16" t="str">
        <x:v>ЗЧ к энергетич насос</x:v>
      </x:c>
      <x:c r="E213" s="16" t="str">
        <x:v>ШТ</x:v>
      </x:c>
      <x:c r="F213" s="21" t="n">
        <x:v>10</x:v>
      </x:c>
      <x:c r="G213" s="17" t="n">
        <x:v>24533.8706</x:v>
      </x:c>
      <x:c r="H213" s="17" t="n">
        <x:f>G213*F213</x:f>
        <x:v>245338.70599999998</x:v>
      </x:c>
      <x:c r="I213" s="22" t="str">
        <x:f>HYPERLINK("https://etp-aktiv.ru/catalog/materialy/zapasnye-chasti-promyshlennogo-oborudovaniya/2000170784-V114/","Открыть позицию")</x:f>
        <x:v>Открыть позицию</x:v>
      </x:c>
    </x:row>
    <x:row r="214" ht="28" customHeight="1">
      <x:c r="A214" s="16" t="str">
        <x:v>Красноярская ТЭЦ-3</x:v>
      </x:c>
      <x:c r="B214" s="16" t="str">
        <x:v>2000609620-V114</x:v>
      </x:c>
      <x:c r="C214" s="16" t="str">
        <x:v>ВТУЛКА УПРУГАЯ МУВП1-40/5 СТП1449-2007</x:v>
      </x:c>
      <x:c r="D214" s="16" t="str">
        <x:v>ЗЧ дроб-сорт оборуд</x:v>
      </x:c>
      <x:c r="E214" s="16" t="str">
        <x:v>ШТ</x:v>
      </x:c>
      <x:c r="F214" s="21" t="n">
        <x:v>8</x:v>
      </x:c>
      <x:c r="G214" s="17" t="n">
        <x:v>42.699999999999996</x:v>
      </x:c>
      <x:c r="H214" s="17" t="n">
        <x:f>G214*F214</x:f>
        <x:v>341.59999999999997</x:v>
      </x:c>
      <x:c r="I214" s="22" t="str">
        <x:f>HYPERLINK("https://etp-aktiv.ru/catalog/materialy/zapasnye-chasti-k-drobilno-sortirovochnomu-oborudovaniyu/2000609620-V114/","Открыть позицию")</x:f>
        <x:v>Открыть позицию</x:v>
      </x:c>
    </x:row>
    <x:row r="215" ht="28" customHeight="1">
      <x:c r="A215" s="16" t="str">
        <x:v>Красноярская ТЭЦ-3</x:v>
      </x:c>
      <x:c r="B215" s="16" t="str">
        <x:v>2000533655-V114</x:v>
      </x:c>
      <x:c r="C215" s="16" t="str">
        <x:v>ВТУЛКА УПРУГАЯ Н20.1.962.00.504 МКВ 500</x:v>
      </x:c>
      <x:c r="D215" s="16" t="str">
        <x:v>ЗЧ к гидравлич насос</x:v>
      </x:c>
      <x:c r="E215" s="16" t="str">
        <x:v>ШТ</x:v>
      </x:c>
      <x:c r="F215" s="21" t="n">
        <x:v>64</x:v>
      </x:c>
      <x:c r="G215" s="17" t="n">
        <x:v>614.9288</x:v>
      </x:c>
      <x:c r="H215" s="17" t="n">
        <x:f>G215*F215</x:f>
        <x:v>39355.4432</x:v>
      </x:c>
      <x:c r="I215" s="22" t="str">
        <x:f>HYPERLINK("https://etp-aktiv.ru/catalog/materialy/nasosno-kompressornoe-oborudovanie/2000533655-V114/","Открыть позицию")</x:f>
        <x:v>Открыть позицию</x:v>
      </x:c>
    </x:row>
    <x:row r="216" ht="28" customHeight="1">
      <x:c r="A216" s="16" t="str">
        <x:v>Красноярская ТЭЦ-3</x:v>
      </x:c>
      <x:c r="B216" s="16" t="str">
        <x:v>2000264635-V114</x:v>
      </x:c>
      <x:c r="C216" s="16" t="str">
        <x:v>ГРУНДБУКСА АР18-01-014-07</x:v>
      </x:c>
      <x:c r="D216" s="16" t="str">
        <x:v>ЗЧ к гидравлич насос</x:v>
      </x:c>
      <x:c r="E216" s="16" t="str">
        <x:v>ШТ</x:v>
      </x:c>
      <x:c r="F216" s="21" t="n">
        <x:v>1</x:v>
      </x:c>
      <x:c r="G216" s="17" t="n">
        <x:v>393.1694</x:v>
      </x:c>
      <x:c r="H216" s="17" t="n">
        <x:f>G216*F216</x:f>
        <x:v>393.1694</x:v>
      </x:c>
      <x:c r="I216" s="22" t="str">
        <x:f>HYPERLINK("https://etp-aktiv.ru/catalog/materialy/nasosno-kompressornoe-oborudovanie/2000264635-V114/","Открыть позицию")</x:f>
        <x:v>Открыть позицию</x:v>
      </x:c>
    </x:row>
    <x:row r="217" ht="28" customHeight="1">
      <x:c r="A217" s="16" t="str">
        <x:v>Красноярская ТЭЦ-3</x:v>
      </x:c>
      <x:c r="B217" s="16" t="str">
        <x:v>2000610043-V114</x:v>
      </x:c>
      <x:c r="C217" s="16" t="str">
        <x:v>ГРУНДБУКСА НАСОСОВ НД АР18-01-014-10</x:v>
      </x:c>
      <x:c r="D217" s="16" t="str">
        <x:v>ЗЧ к химичес насосам</x:v>
      </x:c>
      <x:c r="E217" s="16" t="str">
        <x:v>ШТ</x:v>
      </x:c>
      <x:c r="F217" s="21" t="n">
        <x:v>1</x:v>
      </x:c>
      <x:c r="G217" s="17" t="n">
        <x:v>780.7268</x:v>
      </x:c>
      <x:c r="H217" s="17" t="n">
        <x:f>G217*F217</x:f>
        <x:v>780.7268</x:v>
      </x:c>
      <x:c r="I217" s="22" t="str">
        <x:f>HYPERLINK("https://etp-aktiv.ru/catalog/materialy/zapasnye-chasti-promyshlennogo-oborudovaniya/2000610043-V114/","Открыть позицию")</x:f>
        <x:v>Открыть позицию</x:v>
      </x:c>
    </x:row>
    <x:row r="218" ht="28" customHeight="1">
      <x:c r="A218" s="16" t="str">
        <x:v>Красноярская ТЭЦ-3</x:v>
      </x:c>
      <x:c r="B218" s="16" t="str">
        <x:v>2000778407-V114</x:v>
      </x:c>
      <x:c r="C218" s="16" t="str">
        <x:v>ЗАГЛУШКА МВН30-320М 2161156</x:v>
      </x:c>
      <x:c r="D218" s="16" t="str">
        <x:v>ЗЧ к гидравлич насос</x:v>
      </x:c>
      <x:c r="E218" s="16" t="str">
        <x:v>ШТ</x:v>
      </x:c>
      <x:c r="F218" s="21" t="n">
        <x:v>2</x:v>
      </x:c>
      <x:c r="G218" s="17" t="n">
        <x:v>8959.68</x:v>
      </x:c>
      <x:c r="H218" s="17" t="n">
        <x:f>G218*F218</x:f>
        <x:v>17919.36</x:v>
      </x:c>
      <x:c r="I218" s="22" t="str">
        <x:f>HYPERLINK("https://etp-aktiv.ru/catalog/materialy/nasosno-kompressornoe-oborudovanie/2000778407-V114/","Открыть позицию")</x:f>
        <x:v>Открыть позицию</x:v>
      </x:c>
    </x:row>
    <x:row r="219" ht="28" customHeight="1">
      <x:c r="A219" s="16" t="str">
        <x:v>Красноярская ТЭЦ-3</x:v>
      </x:c>
      <x:c r="B219" s="16" t="str">
        <x:v>2000533795-V114</x:v>
      </x:c>
      <x:c r="C219" s="16" t="str">
        <x:v>ИМПЕЛЛЕР Н18.36.30.10 КСВ 320-160-2</x:v>
      </x:c>
      <x:c r="D219" s="16" t="str">
        <x:v>ЗЧ к энергетич насос</x:v>
      </x:c>
      <x:c r="E219" s="16" t="str">
        <x:v>ШТ</x:v>
      </x:c>
      <x:c r="F219" s="21" t="n">
        <x:v>2</x:v>
      </x:c>
      <x:c r="G219" s="17" t="n">
        <x:v>2664.8581999999997</x:v>
      </x:c>
      <x:c r="H219" s="17" t="n">
        <x:f>G219*F219</x:f>
        <x:v>5329.716399999999</x:v>
      </x:c>
      <x:c r="I219" s="22" t="str">
        <x:f>HYPERLINK("https://etp-aktiv.ru/catalog/materialy/zapasnye-chasti-promyshlennogo-oborudovaniya/2000533795-V114/","Открыть позицию")</x:f>
        <x:v>Открыть позицию</x:v>
      </x:c>
    </x:row>
    <x:row r="220" ht="28" customHeight="1">
      <x:c r="A220" s="16" t="str">
        <x:v>Красноярская ТЭЦ-3</x:v>
      </x:c>
      <x:c r="B220" s="16" t="str">
        <x:v>2000539555-V114</x:v>
      </x:c>
      <x:c r="C220" s="16" t="str">
        <x:v>КЛАПАН 15КЧ18П DN20 PN16 Р/П МУФТ А</x:v>
      </x:c>
      <x:c r="D220" s="16" t="str">
        <x:v>ЧугунАрмат (кр.затв)</x:v>
      </x:c>
      <x:c r="E220" s="16" t="str">
        <x:v>ШТ</x:v>
      </x:c>
      <x:c r="F220" s="21" t="n">
        <x:v>2</x:v>
      </x:c>
      <x:c r="G220" s="17" t="n">
        <x:v>308.1964</x:v>
      </x:c>
      <x:c r="H220" s="17" t="n">
        <x:f>G220*F220</x:f>
        <x:v>616.3928</x:v>
      </x:c>
      <x:c r="I220" s="22" t="str">
        <x:f>HYPERLINK("https://etp-aktiv.ru/catalog/materialy/truboprovodnaya-armatura-i-komplektuyushchie/2000539555-V114/","Открыть позицию")</x:f>
        <x:v>Открыть позицию</x:v>
      </x:c>
    </x:row>
    <x:row r="221" ht="28" customHeight="1">
      <x:c r="A221" s="16" t="str">
        <x:v>Красноярская ТЭЦ-3</x:v>
      </x:c>
      <x:c r="B221" s="16" t="str">
        <x:v>2000539621-V114</x:v>
      </x:c>
      <x:c r="C221" s="16" t="str">
        <x:v>КЛАПАН 15С54БК DN10 PN160 Р/П МУФТ А</x:v>
      </x:c>
      <x:c r="D221" s="16" t="str">
        <x:v>Задвиж/клапан стальн</x:v>
      </x:c>
      <x:c r="E221" s="16" t="str">
        <x:v>ШТ</x:v>
      </x:c>
      <x:c r="F221" s="21" t="n">
        <x:v>3</x:v>
      </x:c>
      <x:c r="G221" s="17" t="n">
        <x:v>387.4232</x:v>
      </x:c>
      <x:c r="H221" s="17" t="n">
        <x:f>G221*F221</x:f>
        <x:v>1162.2696</x:v>
      </x:c>
      <x:c r="I221" s="22" t="str">
        <x:f>HYPERLINK("https://etp-aktiv.ru/catalog/materialy/truboprovodnaya-armatura-i-komplektuyushchie/2000539621-V114/","Открыть позицию")</x:f>
        <x:v>Открыть позицию</x:v>
      </x:c>
    </x:row>
    <x:row r="222" ht="28" customHeight="1">
      <x:c r="A222" s="16" t="str">
        <x:v>Красноярская ТЭЦ-3</x:v>
      </x:c>
      <x:c r="B222" s="16" t="str">
        <x:v>2000539622-V114</x:v>
      </x:c>
      <x:c r="C222" s="16" t="str">
        <x:v>КЛАПАН 15С54БК1 DN15 PN160 Р/П МУФТ А</x:v>
      </x:c>
      <x:c r="D222" s="16" t="str">
        <x:v>Задвиж/клапан стальн</x:v>
      </x:c>
      <x:c r="E222" s="16" t="str">
        <x:v>ШТ</x:v>
      </x:c>
      <x:c r="F222" s="21" t="n">
        <x:v>13</x:v>
      </x:c>
      <x:c r="G222" s="17" t="n">
        <x:v>523.1604</x:v>
      </x:c>
      <x:c r="H222" s="17" t="n">
        <x:f>G222*F222</x:f>
        <x:v>6801.0851999999995</x:v>
      </x:c>
      <x:c r="I222" s="22" t="str">
        <x:f>HYPERLINK("https://etp-aktiv.ru/catalog/materialy/truboprovodnaya-armatura-i-komplektuyushchie/2000539622-V114/","Открыть позицию")</x:f>
        <x:v>Открыть позицию</x:v>
      </x:c>
    </x:row>
    <x:row r="223" ht="28" customHeight="1">
      <x:c r="A223" s="16" t="str">
        <x:v>Красноярская ТЭЦ-3</x:v>
      </x:c>
      <x:c r="B223" s="16" t="str">
        <x:v>2000533803-V114</x:v>
      </x:c>
      <x:c r="C223" s="16" t="str">
        <x:v>КЛАПАН 2080000003 150-SZO-384-290-LC-00</x:v>
      </x:c>
      <x:c r="D223" s="16" t="str">
        <x:v>ЗЧ к химичес насосам</x:v>
      </x:c>
      <x:c r="E223" s="16" t="str">
        <x:v>ШТ</x:v>
      </x:c>
      <x:c r="F223" s="21" t="n">
        <x:v>2</x:v>
      </x:c>
      <x:c r="G223" s="17" t="n">
        <x:v>31498.875</x:v>
      </x:c>
      <x:c r="H223" s="17" t="n">
        <x:f>G223*F223</x:f>
        <x:v>62997.75</x:v>
      </x:c>
      <x:c r="I223" s="22" t="str">
        <x:f>HYPERLINK("https://etp-aktiv.ru/catalog/materialy/zapasnye-chasti-promyshlennogo-oborudovaniya/2000533803-V114/","Открыть позицию")</x:f>
        <x:v>Открыть позицию</x:v>
      </x:c>
    </x:row>
    <x:row r="224" ht="28" customHeight="1">
      <x:c r="A224" s="16" t="str">
        <x:v>Красноярская ТЭЦ-3</x:v>
      </x:c>
      <x:c r="B224" s="16" t="str">
        <x:v>2000533812-V114</x:v>
      </x:c>
      <x:c r="C224" s="16" t="str">
        <x:v>КОЛЕСО Н11.100.08 НАСОСА СД25/14</x:v>
      </x:c>
      <x:c r="D224" s="16" t="str">
        <x:v>ЗЧ к энергетич насос</x:v>
      </x:c>
      <x:c r="E224" s="16" t="str">
        <x:v>ШТ</x:v>
      </x:c>
      <x:c r="F224" s="21" t="n">
        <x:v>2</x:v>
      </x:c>
      <x:c r="G224" s="17" t="n">
        <x:v>9452.133</x:v>
      </x:c>
      <x:c r="H224" s="17" t="n">
        <x:f>G224*F224</x:f>
        <x:v>18904.266</x:v>
      </x:c>
      <x:c r="I224" s="22" t="str">
        <x:f>HYPERLINK("https://etp-aktiv.ru/catalog/materialy/zapasnye-chasti-promyshlennogo-oborudovaniya/2000533812-V114/","Открыть позицию")</x:f>
        <x:v>Открыть позицию</x:v>
      </x:c>
    </x:row>
    <x:row r="225" ht="28" customHeight="1">
      <x:c r="A225" s="16" t="str">
        <x:v>Красноярская ТЭЦ-3</x:v>
      </x:c>
      <x:c r="B225" s="16" t="str">
        <x:v>2000533841-V114</x:v>
      </x:c>
      <x:c r="C225" s="16" t="str">
        <x:v>КОЛЕСО РАБОЧЕЕ 303.00.000-3СБ ПВП160/20</x:v>
      </x:c>
      <x:c r="D225" s="16" t="str">
        <x:v>ЗЧ к шламов насосам</x:v>
      </x:c>
      <x:c r="E225" s="16" t="str">
        <x:v>ШТ</x:v>
      </x:c>
      <x:c r="F225" s="21" t="n">
        <x:v>1</x:v>
      </x:c>
      <x:c r="G225" s="17" t="n">
        <x:v>3888.1766000000002</x:v>
      </x:c>
      <x:c r="H225" s="17" t="n">
        <x:f>G225*F225</x:f>
        <x:v>3888.1766000000002</x:v>
      </x:c>
      <x:c r="I225" s="22" t="str">
        <x:f>HYPERLINK("https://etp-aktiv.ru/catalog/materialy/zapasnye-chasti-promyshlennogo-oborudovaniya/2000533841-V114/","Открыть позицию")</x:f>
        <x:v>Открыть позицию</x:v>
      </x:c>
    </x:row>
    <x:row r="226" ht="28" customHeight="1">
      <x:c r="A226" s="16" t="str">
        <x:v>Красноярская ТЭЦ-3</x:v>
      </x:c>
      <x:c r="B226" s="16" t="str">
        <x:v>2000533852-V114</x:v>
      </x:c>
      <x:c r="C226" s="16" t="str">
        <x:v>КОЛЕСО РАБОЧЕЕ 7067 ОМН НАСОСА 6НК-9*1</x:v>
      </x:c>
      <x:c r="D226" s="16" t="str">
        <x:v>ЗЧ к энергетич насос</x:v>
      </x:c>
      <x:c r="E226" s="16" t="str">
        <x:v>ШТ</x:v>
      </x:c>
      <x:c r="F226" s="21" t="n">
        <x:v>1</x:v>
      </x:c>
      <x:c r="G226" s="17" t="n">
        <x:v>5132.3326</x:v>
      </x:c>
      <x:c r="H226" s="17" t="n">
        <x:f>G226*F226</x:f>
        <x:v>5132.3326</x:v>
      </x:c>
      <x:c r="I226" s="22" t="str">
        <x:f>HYPERLINK("https://etp-aktiv.ru/catalog/materialy/zapasnye-chasti-promyshlennogo-oborudovaniya/2000533852-V114/","Открыть позицию")</x:f>
        <x:v>Открыть позицию</x:v>
      </x:c>
    </x:row>
    <x:row r="227" ht="28" customHeight="1">
      <x:c r="A227" s="16" t="str">
        <x:v>Красноярская ТЭЦ-3</x:v>
      </x:c>
      <x:c r="B227" s="16" t="str">
        <x:v>2000260989-V114</x:v>
      </x:c>
      <x:c r="C227" s="16" t="str">
        <x:v>КОЛЕСО РАБОЧЕЕ В 1-12.01.00Р1</x:v>
      </x:c>
      <x:c r="D227" s="16" t="str">
        <x:v>ЗЧ к энергетич насос</x:v>
      </x:c>
      <x:c r="E227" s="16" t="str">
        <x:v>ШТ</x:v>
      </x:c>
      <x:c r="F227" s="21" t="n">
        <x:v>2</x:v>
      </x:c>
      <x:c r="G227" s="17" t="n">
        <x:v>52841.25</x:v>
      </x:c>
      <x:c r="H227" s="17" t="n">
        <x:f>G227*F227</x:f>
        <x:v>105682.5</x:v>
      </x:c>
      <x:c r="I227" s="22" t="str">
        <x:f>HYPERLINK("https://etp-aktiv.ru/catalog/materialy/zapasnye-chasti-promyshlennogo-oborudovaniya/2000260989-V114/","Открыть позицию")</x:f>
        <x:v>Открыть позицию</x:v>
      </x:c>
    </x:row>
    <x:row r="228" ht="28" customHeight="1">
      <x:c r="A228" s="16" t="str">
        <x:v>Красноярская ТЭЦ-3</x:v>
      </x:c>
      <x:c r="B228" s="16" t="str">
        <x:v>2000219994-V114</x:v>
      </x:c>
      <x:c r="C228" s="16" t="str">
        <x:v>КОЛОДКА ТОРМОЗНАЯ ТГК-400</x:v>
      </x:c>
      <x:c r="D228" s="16" t="str">
        <x:v>ЗЧ грузоподъемн обор</x:v>
      </x:c>
      <x:c r="E228" s="16" t="str">
        <x:v>ШТ</x:v>
      </x:c>
      <x:c r="F228" s="21" t="n">
        <x:v>4</x:v>
      </x:c>
      <x:c r="G228" s="17" t="n">
        <x:v>1680.5134</x:v>
      </x:c>
      <x:c r="H228" s="17" t="n">
        <x:f>G228*F228</x:f>
        <x:v>6722.0536</x:v>
      </x:c>
      <x:c r="I228" s="22" t="str">
        <x:f>HYPERLINK("https://etp-aktiv.ru/catalog/materialy/zapasnye-chasti-k-gruzopodemnoj-tekhnike-oborudovaniyu-i-mekhanizmam/2000219994-V114/","Открыть позицию")</x:f>
        <x:v>Открыть позицию</x:v>
      </x:c>
    </x:row>
    <x:row r="229" ht="28" customHeight="1">
      <x:c r="A229" s="16" t="str">
        <x:v>Красноярская ТЭЦ-3</x:v>
      </x:c>
      <x:c r="B229" s="16" t="str">
        <x:v>2000533991-V114</x:v>
      </x:c>
      <x:c r="C229" s="16" t="str">
        <x:v>КОЛЬЦО 0603.403183.0002 НАСОСА 1Д200-90</x:v>
      </x:c>
      <x:c r="D229" s="16" t="str">
        <x:v>ЗЧ к энергетич насос</x:v>
      </x:c>
      <x:c r="E229" s="16" t="str">
        <x:v>ШТ</x:v>
      </x:c>
      <x:c r="F229" s="21" t="n">
        <x:v>6</x:v>
      </x:c>
      <x:c r="G229" s="17" t="n">
        <x:v>1654.8568</x:v>
      </x:c>
      <x:c r="H229" s="17" t="n">
        <x:f>G229*F229</x:f>
        <x:v>9929.140800000001</x:v>
      </x:c>
      <x:c r="I229" s="22" t="str">
        <x:f>HYPERLINK("https://etp-aktiv.ru/catalog/materialy/zapasnye-chasti-promyshlennogo-oborudovaniya/2000533991-V114/","Открыть позицию")</x:f>
        <x:v>Открыть позицию</x:v>
      </x:c>
    </x:row>
    <x:row r="230" ht="28" customHeight="1">
      <x:c r="A230" s="16" t="str">
        <x:v>Красноярская ТЭЦ-3</x:v>
      </x:c>
      <x:c r="B230" s="16" t="str">
        <x:v>2000534000-V114</x:v>
      </x:c>
      <x:c r="C230" s="16" t="str">
        <x:v>КОЛЬЦО 170-180-58 У85.00.02-17</x:v>
      </x:c>
      <x:c r="D230" s="16" t="str">
        <x:v>ЗЧ к энергетич насос</x:v>
      </x:c>
      <x:c r="E230" s="16" t="str">
        <x:v>ШТ</x:v>
      </x:c>
      <x:c r="F230" s="21" t="n">
        <x:v>1</x:v>
      </x:c>
      <x:c r="G230" s="17" t="n">
        <x:v>411.75</x:v>
      </x:c>
      <x:c r="H230" s="17" t="n">
        <x:f>G230*F230</x:f>
        <x:v>411.75</x:v>
      </x:c>
      <x:c r="I230" s="22" t="str">
        <x:f>HYPERLINK("https://etp-aktiv.ru/catalog/materialy/zapasnye-chasti-promyshlennogo-oborudovaniya/2000534000-V114/","Открыть позицию")</x:f>
        <x:v>Открыть позицию</x:v>
      </x:c>
    </x:row>
    <x:row r="231" ht="28" customHeight="1">
      <x:c r="A231" s="16" t="str">
        <x:v>Красноярская ТЭЦ-3</x:v>
      </x:c>
      <x:c r="B231" s="16" t="str">
        <x:v>2000534003-V114</x:v>
      </x:c>
      <x:c r="C231" s="16" t="str">
        <x:v>КОЛЬЦО 235-245-58 У85.00.02-25 ПЭ-380</x:v>
      </x:c>
      <x:c r="D231" s="16" t="str">
        <x:v>ЗЧ к энергетич насос</x:v>
      </x:c>
      <x:c r="E231" s="16" t="str">
        <x:v>ШТ</x:v>
      </x:c>
      <x:c r="F231" s="21" t="n">
        <x:v>1</x:v>
      </x:c>
      <x:c r="G231" s="17" t="n">
        <x:v>260.2138</x:v>
      </x:c>
      <x:c r="H231" s="17" t="n">
        <x:f>G231*F231</x:f>
        <x:v>260.2138</x:v>
      </x:c>
      <x:c r="I231" s="22" t="str">
        <x:f>HYPERLINK("https://etp-aktiv.ru/catalog/materialy/zapasnye-chasti-promyshlennogo-oborudovaniya/2000534003-V114/","Открыть позицию")</x:f>
        <x:v>Открыть позицию</x:v>
      </x:c>
    </x:row>
    <x:row r="232" ht="28" customHeight="1">
      <x:c r="A232" s="16" t="str">
        <x:v>Красноярская ТЭЦ-3</x:v>
      </x:c>
      <x:c r="B232" s="16" t="str">
        <x:v>2000556683-V114</x:v>
      </x:c>
      <x:c r="C232" s="16" t="str">
        <x:v>КОЛЬЦО AS100135</x:v>
      </x:c>
      <x:c r="D232" s="16" t="str">
        <x:v>Подшипники</x:v>
      </x:c>
      <x:c r="E232" s="16" t="str">
        <x:v>ШТ</x:v>
      </x:c>
      <x:c r="F232" s="21" t="n">
        <x:v>4</x:v>
      </x:c>
      <x:c r="G232" s="17" t="n">
        <x:v>998.0576</x:v>
      </x:c>
      <x:c r="H232" s="17" t="n">
        <x:f>G232*F232</x:f>
        <x:v>3992.2304</x:v>
      </x:c>
      <x:c r="I232" s="22" t="str">
        <x:f>HYPERLINK("https://etp-aktiv.ru/catalog/materialy/podshipniki/2000556683-V114/","Открыть позицию")</x:f>
        <x:v>Открыть позицию</x:v>
      </x:c>
    </x:row>
    <x:row r="233" ht="28" customHeight="1">
      <x:c r="A233" s="16" t="str">
        <x:v>Красноярская ТЭЦ-3</x:v>
      </x:c>
      <x:c r="B233" s="16" t="str">
        <x:v>2000556685-V114</x:v>
      </x:c>
      <x:c r="C233" s="16" t="str">
        <x:v>КОЛЬЦО FRB 10/320</x:v>
      </x:c>
      <x:c r="D233" s="16" t="str">
        <x:v>Подшипники</x:v>
      </x:c>
      <x:c r="E233" s="16" t="str">
        <x:v>ШТ</x:v>
      </x:c>
      <x:c r="F233" s="21" t="n">
        <x:v>4</x:v>
      </x:c>
      <x:c r="G233" s="17" t="n">
        <x:v>2046.7452</x:v>
      </x:c>
      <x:c r="H233" s="17" t="n">
        <x:f>G233*F233</x:f>
        <x:v>8186.9808</x:v>
      </x:c>
      <x:c r="I233" s="22" t="str">
        <x:f>HYPERLINK("https://etp-aktiv.ru/catalog/materialy/podshipniki/2000556685-V114/","Открыть позицию")</x:f>
        <x:v>Открыть позицию</x:v>
      </x:c>
    </x:row>
    <x:row r="234" ht="28" customHeight="1">
      <x:c r="A234" s="16" t="str">
        <x:v>Красноярская ТЭЦ-3</x:v>
      </x:c>
      <x:c r="B234" s="16" t="str">
        <x:v>2000778452-V114</x:v>
      </x:c>
      <x:c r="C234" s="16" t="str">
        <x:v>КОЛЬЦО МВН30-320М 2197959</x:v>
      </x:c>
      <x:c r="D234" s="16" t="str">
        <x:v>ЗЧ к гидравлич насос</x:v>
      </x:c>
      <x:c r="E234" s="16" t="str">
        <x:v>ШТ</x:v>
      </x:c>
      <x:c r="F234" s="21" t="n">
        <x:v>2</x:v>
      </x:c>
      <x:c r="G234" s="17" t="n">
        <x:v>13439.52</x:v>
      </x:c>
      <x:c r="H234" s="17" t="n">
        <x:f>G234*F234</x:f>
        <x:v>26879.04</x:v>
      </x:c>
      <x:c r="I234" s="22" t="str">
        <x:f>HYPERLINK("https://etp-aktiv.ru/catalog/materialy/nasosno-kompressornoe-oborudovanie/2000778452-V114/","Открыть позицию")</x:f>
        <x:v>Открыть позицию</x:v>
      </x:c>
    </x:row>
    <x:row r="235" ht="28" customHeight="1">
      <x:c r="A235" s="16" t="str">
        <x:v>Красноярская ТЭЦ-3</x:v>
      </x:c>
      <x:c r="B235" s="16" t="str">
        <x:v>2000170748-V114</x:v>
      </x:c>
      <x:c r="C235" s="16" t="str">
        <x:v>КОЛЬЦО Н03.3.324.01.01.002</x:v>
      </x:c>
      <x:c r="D235" s="16" t="str">
        <x:v>ЗЧ к энергетич насос</x:v>
      </x:c>
      <x:c r="E235" s="16" t="str">
        <x:v>ШТ</x:v>
      </x:c>
      <x:c r="F235" s="21" t="n">
        <x:v>2</x:v>
      </x:c>
      <x:c r="G235" s="17" t="n">
        <x:v>1777.2472</x:v>
      </x:c>
      <x:c r="H235" s="17" t="n">
        <x:f>G235*F235</x:f>
        <x:v>3554.4944</x:v>
      </x:c>
      <x:c r="I235" s="22" t="str">
        <x:f>HYPERLINK("https://etp-aktiv.ru/catalog/materialy/zapasnye-chasti-promyshlennogo-oborudovaniya/2000170748-V114/","Открыть позицию")</x:f>
        <x:v>Открыть позицию</x:v>
      </x:c>
    </x:row>
    <x:row r="236" ht="28" customHeight="1">
      <x:c r="A236" s="16" t="str">
        <x:v>Красноярская ТЭЦ-3</x:v>
      </x:c>
      <x:c r="B236" s="16" t="str">
        <x:v>2000534062-V114</x:v>
      </x:c>
      <x:c r="C236" s="16" t="str">
        <x:v>КОЛЬЦО Н49.878.01.00.036 НАСОСОВ ЦНСГ</x:v>
      </x:c>
      <x:c r="D236" s="16" t="str">
        <x:v>ЗЧ к энергетич насос</x:v>
      </x:c>
      <x:c r="E236" s="16" t="str">
        <x:v>ШТ</x:v>
      </x:c>
      <x:c r="F236" s="21" t="n">
        <x:v>1</x:v>
      </x:c>
      <x:c r="G236" s="17" t="n">
        <x:v>636.2787999999999</x:v>
      </x:c>
      <x:c r="H236" s="17" t="n">
        <x:f>G236*F236</x:f>
        <x:v>636.2787999999999</x:v>
      </x:c>
      <x:c r="I236" s="22" t="str">
        <x:f>HYPERLINK("https://etp-aktiv.ru/catalog/materialy/zapasnye-chasti-promyshlennogo-oborudovaniya/2000534062-V114/","Открыть позицию")</x:f>
        <x:v>Открыть позицию</x:v>
      </x:c>
    </x:row>
    <x:row r="237" ht="28" customHeight="1">
      <x:c r="A237" s="16" t="str">
        <x:v>Красноярская ТЭЦ-3</x:v>
      </x:c>
      <x:c r="B237" s="16" t="str">
        <x:v>2000534068-V114</x:v>
      </x:c>
      <x:c r="C237" s="16" t="str">
        <x:v>КОЛЬЦО Н83.27.00.011 НМШ8-25-6,3/2,5</x:v>
      </x:c>
      <x:c r="D237" s="16" t="str">
        <x:v>ЗЧ к гидравлич насос</x:v>
      </x:c>
      <x:c r="E237" s="16" t="str">
        <x:v>ШТ</x:v>
      </x:c>
      <x:c r="F237" s="21" t="n">
        <x:v>6</x:v>
      </x:c>
      <x:c r="G237" s="17" t="n">
        <x:v>139.03119999999998</x:v>
      </x:c>
      <x:c r="H237" s="17" t="n">
        <x:f>G237*F237</x:f>
        <x:v>834.1871999999998</x:v>
      </x:c>
      <x:c r="I237" s="22" t="str">
        <x:f>HYPERLINK("https://etp-aktiv.ru/catalog/materialy/nasosno-kompressornoe-oborudovanie/2000534068-V114/","Открыть позицию")</x:f>
        <x:v>Открыть позицию</x:v>
      </x:c>
    </x:row>
    <x:row r="238" ht="28" customHeight="1">
      <x:c r="A238" s="16" t="str">
        <x:v>Красноярская ТЭЦ-3</x:v>
      </x:c>
      <x:c r="B238" s="16" t="str">
        <x:v>2000534069-V114</x:v>
      </x:c>
      <x:c r="C238" s="16" t="str">
        <x:v>КОЛЬЦО Н83.27.00.013 НАСОСА А1 3В 16/25</x:v>
      </x:c>
      <x:c r="D238" s="16" t="str">
        <x:v>ЗЧ к энергетич насос</x:v>
      </x:c>
      <x:c r="E238" s="16" t="str">
        <x:v>ШТ</x:v>
      </x:c>
      <x:c r="F238" s="21" t="n">
        <x:v>1</x:v>
      </x:c>
      <x:c r="G238" s="17" t="n">
        <x:v>685.4814</x:v>
      </x:c>
      <x:c r="H238" s="17" t="n">
        <x:f>G238*F238</x:f>
        <x:v>685.4814</x:v>
      </x:c>
      <x:c r="I238" s="22" t="str">
        <x:f>HYPERLINK("https://etp-aktiv.ru/catalog/materialy/zapasnye-chasti-promyshlennogo-oborudovaniya/2000534069-V114/","Открыть позицию")</x:f>
        <x:v>Открыть позицию</x:v>
      </x:c>
    </x:row>
    <x:row r="239" ht="28" customHeight="1">
      <x:c r="A239" s="16" t="str">
        <x:v>Красноярская ТЭЦ-3</x:v>
      </x:c>
      <x:c r="B239" s="16" t="str">
        <x:v>2000610042-V114</x:v>
      </x:c>
      <x:c r="C239" s="16" t="str">
        <x:v>КОЛЬЦО НАЖИМ НАСОСОВ НД АР18-01-007-10</x:v>
      </x:c>
      <x:c r="D239" s="16" t="str">
        <x:v>ЗЧ к химичес насосам</x:v>
      </x:c>
      <x:c r="E239" s="16" t="str">
        <x:v>ШТ</x:v>
      </x:c>
      <x:c r="F239" s="21" t="n">
        <x:v>3</x:v>
      </x:c>
      <x:c r="G239" s="17" t="n">
        <x:v>848.6320000000001</x:v>
      </x:c>
      <x:c r="H239" s="17" t="n">
        <x:f>G239*F239</x:f>
        <x:v>2545.896</x:v>
      </x:c>
      <x:c r="I239" s="22" t="str">
        <x:f>HYPERLINK("https://etp-aktiv.ru/catalog/materialy/zapasnye-chasti-promyshlennogo-oborudovaniya/2000610042-V114/","Открыть позицию")</x:f>
        <x:v>Открыть позицию</x:v>
      </x:c>
    </x:row>
    <x:row r="240" ht="28" customHeight="1">
      <x:c r="A240" s="16" t="str">
        <x:v>Красноярская ТЭЦ-3</x:v>
      </x:c>
      <x:c r="B240" s="16" t="str">
        <x:v>2000609605-V114</x:v>
      </x:c>
      <x:c r="C240" s="16" t="str">
        <x:v>КОЛЬЦО НАСОС ТИП КСВ У87.00.08</x:v>
      </x:c>
      <x:c r="D240" s="16" t="str">
        <x:v>ЗЧ к энергетич насос</x:v>
      </x:c>
      <x:c r="E240" s="16" t="str">
        <x:v>ШТ</x:v>
      </x:c>
      <x:c r="F240" s="21" t="n">
        <x:v>4</x:v>
      </x:c>
      <x:c r="G240" s="17" t="n">
        <x:v>85.7782</x:v>
      </x:c>
      <x:c r="H240" s="17" t="n">
        <x:f>G240*F240</x:f>
        <x:v>343.1128</x:v>
      </x:c>
      <x:c r="I240" s="22" t="str">
        <x:f>HYPERLINK("https://etp-aktiv.ru/catalog/materialy/zapasnye-chasti-promyshlennogo-oborudovaniya/2000609605-V114/","Открыть позицию")</x:f>
        <x:v>Открыть позицию</x:v>
      </x:c>
    </x:row>
    <x:row r="241" ht="28" customHeight="1">
      <x:c r="A241" s="16" t="str">
        <x:v>Красноярская ТЭЦ-3</x:v>
      </x:c>
      <x:c r="B241" s="16" t="str">
        <x:v>2000534083-V114</x:v>
      </x:c>
      <x:c r="C241" s="16" t="str">
        <x:v>КОЛЬЦО ПРОМЕЖУТОЧНОЕ АР18-01-009-10 НД</x:v>
      </x:c>
      <x:c r="D241" s="16" t="str">
        <x:v>ЗЧ к химичес насосам</x:v>
      </x:c>
      <x:c r="E241" s="16" t="str">
        <x:v>ШТ</x:v>
      </x:c>
      <x:c r="F241" s="21" t="n">
        <x:v>3</x:v>
      </x:c>
      <x:c r="G241" s="17" t="n">
        <x:v>605.4982</x:v>
      </x:c>
      <x:c r="H241" s="17" t="n">
        <x:f>G241*F241</x:f>
        <x:v>1816.4946</x:v>
      </x:c>
      <x:c r="I241" s="22" t="str">
        <x:f>HYPERLINK("https://etp-aktiv.ru/catalog/materialy/zapasnye-chasti-promyshlennogo-oborudovaniya/2000534083-V114/","Открыть позицию")</x:f>
        <x:v>Открыть позицию</x:v>
      </x:c>
    </x:row>
    <x:row r="242" ht="28" customHeight="1">
      <x:c r="A242" s="16" t="str">
        <x:v>Красноярская ТЭЦ-3</x:v>
      </x:c>
      <x:c r="B242" s="16" t="str">
        <x:v>2000534111-V114</x:v>
      </x:c>
      <x:c r="C242" s="16" t="str">
        <x:v>КОЛЬЦО САЛ Н14.2.925.01.002 ГРАТ 1400/40</x:v>
      </x:c>
      <x:c r="D242" s="16" t="str">
        <x:v>ЗЧ к шламов насосам</x:v>
      </x:c>
      <x:c r="E242" s="16" t="str">
        <x:v>ШТ</x:v>
      </x:c>
      <x:c r="F242" s="21" t="n">
        <x:v>5</x:v>
      </x:c>
      <x:c r="G242" s="17" t="n">
        <x:v>1144.2746</x:v>
      </x:c>
      <x:c r="H242" s="17" t="n">
        <x:f>G242*F242</x:f>
        <x:v>5721.373</x:v>
      </x:c>
      <x:c r="I242" s="22" t="str">
        <x:f>HYPERLINK("https://etp-aktiv.ru/catalog/materialy/zapasnye-chasti-promyshlennogo-oborudovaniya/2000534111-V114/","Открыть позицию")</x:f>
        <x:v>Открыть позицию</x:v>
      </x:c>
    </x:row>
    <x:row r="243" ht="28" customHeight="1">
      <x:c r="A243" s="16" t="str">
        <x:v>Красноярская ТЭЦ-3</x:v>
      </x:c>
      <x:c r="B243" s="16" t="str">
        <x:v>2000534204-V114</x:v>
      </x:c>
      <x:c r="C243" s="16" t="str">
        <x:v>КОЛЬЦО УПЛ ТУСЭ 5000.00.00.005-01 СЭ5000</x:v>
      </x:c>
      <x:c r="D243" s="16" t="str">
        <x:v>ЗЧ к энергетич насос</x:v>
      </x:c>
      <x:c r="E243" s="16" t="str">
        <x:v>ШТ</x:v>
      </x:c>
      <x:c r="F243" s="21" t="n">
        <x:v>2</x:v>
      </x:c>
      <x:c r="G243" s="17" t="n">
        <x:v>183.17079999999999</x:v>
      </x:c>
      <x:c r="H243" s="17" t="n">
        <x:f>G243*F243</x:f>
        <x:v>366.34159999999997</x:v>
      </x:c>
      <x:c r="I243" s="22" t="str">
        <x:f>HYPERLINK("https://etp-aktiv.ru/catalog/materialy/zapasnye-chasti-promyshlennogo-oborudovaniya/2000534204-V114/","Открыть позицию")</x:f>
        <x:v>Открыть позицию</x:v>
      </x:c>
    </x:row>
    <x:row r="244" ht="28" customHeight="1">
      <x:c r="A244" s="16" t="str">
        <x:v>Красноярская ТЭЦ-3</x:v>
      </x:c>
      <x:c r="B244" s="16" t="str">
        <x:v>2000534167-V114</x:v>
      </x:c>
      <x:c r="C244" s="16" t="str">
        <x:v>КОЛЬЦО УПЛОТ Н03.3.302.01.0002 1Д200-90</x:v>
      </x:c>
      <x:c r="D244" s="16" t="str">
        <x:v>ЗЧ к энергетич насос</x:v>
      </x:c>
      <x:c r="E244" s="16" t="str">
        <x:v>ШТ</x:v>
      </x:c>
      <x:c r="F244" s="21" t="n">
        <x:v>1</x:v>
      </x:c>
      <x:c r="G244" s="17" t="n">
        <x:v>303.2188</x:v>
      </x:c>
      <x:c r="H244" s="17" t="n">
        <x:f>G244*F244</x:f>
        <x:v>303.2188</x:v>
      </x:c>
      <x:c r="I244" s="22" t="str">
        <x:f>HYPERLINK("https://etp-aktiv.ru/catalog/materialy/zapasnye-chasti-promyshlennogo-oborudovaniya/2000534167-V114/","Открыть позицию")</x:f>
        <x:v>Открыть позицию</x:v>
      </x:c>
    </x:row>
    <x:row r="245" ht="28" customHeight="1">
      <x:c r="A245" s="16" t="str">
        <x:v>Красноярская ТЭЦ-3</x:v>
      </x:c>
      <x:c r="B245" s="16" t="str">
        <x:v>2000534232-V114</x:v>
      </x:c>
      <x:c r="C245" s="16" t="str">
        <x:v>КОЛЬЦО УПЛОТ Н49.878.01.00.201 ЦНСГ</x:v>
      </x:c>
      <x:c r="D245" s="16" t="str">
        <x:v>ЗЧ к энергетич насос</x:v>
      </x:c>
      <x:c r="E245" s="16" t="str">
        <x:v>ШТ</x:v>
      </x:c>
      <x:c r="F245" s="21" t="n">
        <x:v>1</x:v>
      </x:c>
      <x:c r="G245" s="17" t="n">
        <x:v>4241.8546</x:v>
      </x:c>
      <x:c r="H245" s="17" t="n">
        <x:f>G245*F245</x:f>
        <x:v>4241.8546</x:v>
      </x:c>
      <x:c r="I245" s="22" t="str">
        <x:f>HYPERLINK("https://etp-aktiv.ru/catalog/materialy/zapasnye-chasti-promyshlennogo-oborudovaniya/2000534232-V114/","Открыть позицию")</x:f>
        <x:v>Открыть позицию</x:v>
      </x:c>
    </x:row>
    <x:row r="246" ht="28" customHeight="1">
      <x:c r="A246" s="16" t="str">
        <x:v>Красноярская ТЭЦ-3</x:v>
      </x:c>
      <x:c r="B246" s="16" t="str">
        <x:v>2000249845-V114</x:v>
      </x:c>
      <x:c r="C246" s="16" t="str">
        <x:v>КОЛЬЦО УПЛОТНИТЕЛЬНОЕ Н17.190.200.02Р</x:v>
      </x:c>
      <x:c r="D246" s="16" t="str">
        <x:v>ЗЧ к энергетич насос</x:v>
      </x:c>
      <x:c r="E246" s="16" t="str">
        <x:v>ШТ</x:v>
      </x:c>
      <x:c r="F246" s="21" t="n">
        <x:v>9</x:v>
      </x:c>
      <x:c r="G246" s="17" t="n">
        <x:v>13725</x:v>
      </x:c>
      <x:c r="H246" s="17" t="n">
        <x:f>G246*F246</x:f>
        <x:v>123525</x:v>
      </x:c>
      <x:c r="I246" s="22" t="str">
        <x:f>HYPERLINK("https://etp-aktiv.ru/catalog/materialy/zapasnye-chasti-promyshlennogo-oborudovaniya/2000249845-V114/","Открыть позицию")</x:f>
        <x:v>Открыть позицию</x:v>
      </x:c>
    </x:row>
    <x:row r="247" ht="28" customHeight="1">
      <x:c r="A247" s="16" t="str">
        <x:v>Красноярская ТЭЦ-3</x:v>
      </x:c>
      <x:c r="B247" s="16" t="str">
        <x:v>2000544123-V114</x:v>
      </x:c>
      <x:c r="C247" s="16" t="str">
        <x:v>КРУГ ЗАЧИСТНОЙ 1 125*6,0*22 14А BF 2 МЕТ</x:v>
      </x:c>
      <x:c r="D247" s="16" t="str">
        <x:v>Инструмент и спецосн</x:v>
      </x:c>
      <x:c r="E247" s="16" t="str">
        <x:v>ШТ</x:v>
      </x:c>
      <x:c r="F247" s="21" t="n">
        <x:v>51</x:v>
      </x:c>
      <x:c r="G247" s="17" t="n">
        <x:v>74.4566</x:v>
      </x:c>
      <x:c r="H247" s="17" t="n">
        <x:f>G247*F247</x:f>
        <x:v>3797.2866</x:v>
      </x:c>
      <x:c r="I247" s="22" t="str">
        <x:f>HYPERLINK("https://etp-aktiv.ru/catalog/materialy/instrument-i-specosnastka/2000544123-V114/","Открыть позицию")</x:f>
        <x:v>Открыть позицию</x:v>
      </x:c>
    </x:row>
    <x:row r="248" ht="28" customHeight="1">
      <x:c r="A248" s="16" t="str">
        <x:v>Красноярская ТЭЦ-3</x:v>
      </x:c>
      <x:c r="B248" s="16" t="str">
        <x:v>2000654708-V114</x:v>
      </x:c>
      <x:c r="C248" s="16" t="str">
        <x:v>ЛЕНТА 2Ш 900-4 ТК200-2 4,5/3,5 Г1 РБ</x:v>
      </x:c>
      <x:c r="D248" s="16" t="str">
        <x:v>Лента транспортерная</x:v>
      </x:c>
      <x:c r="E248" s="16" t="str">
        <x:v>М2</x:v>
      </x:c>
      <x:c r="F248" s="26" t="n">
        <x:v>106.45</x:v>
      </x:c>
      <x:c r="G248" s="17" t="n">
        <x:v>2250.9</x:v>
      </x:c>
      <x:c r="H248" s="17" t="n">
        <x:f>G248*F248</x:f>
        <x:v>239608.30500000002</x:v>
      </x:c>
      <x:c r="I248" s="22" t="str">
        <x:f>HYPERLINK("https://etp-aktiv.ru/catalog/materialy/lenta-transporternaya/2000654708-V114/","Открыть позицию")</x:f>
        <x:v>Открыть позицию</x:v>
      </x:c>
    </x:row>
    <x:row r="249" ht="28" customHeight="1">
      <x:c r="A249" s="16" t="str">
        <x:v>Красноярская ТЭЦ-3</x:v>
      </x:c>
      <x:c r="B249" s="16" t="str">
        <x:v>2000245116-V114</x:v>
      </x:c>
      <x:c r="C249" s="16" t="str">
        <x:v>МАНЖЕТА ШЕВРОННАЯ АР33-01-012-07</x:v>
      </x:c>
      <x:c r="D249" s="16" t="str">
        <x:v>ЗЧ к гидравлич насос</x:v>
      </x:c>
      <x:c r="E249" s="16" t="str">
        <x:v>ШТ</x:v>
      </x:c>
      <x:c r="F249" s="21" t="n">
        <x:v>7</x:v>
      </x:c>
      <x:c r="G249" s="17" t="n">
        <x:v>243.0362</x:v>
      </x:c>
      <x:c r="H249" s="17" t="n">
        <x:f>G249*F249</x:f>
        <x:v>1701.2534</x:v>
      </x:c>
      <x:c r="I249" s="22" t="str">
        <x:f>HYPERLINK("https://etp-aktiv.ru/catalog/materialy/nasosno-kompressornoe-oborudovanie/2000245116-V114/","Открыть позицию")</x:f>
        <x:v>Открыть позицию</x:v>
      </x:c>
    </x:row>
    <x:row r="250" ht="28" customHeight="1">
      <x:c r="A250" s="16" t="str">
        <x:v>Красноярская ТЭЦ-3</x:v>
      </x:c>
      <x:c r="B250" s="16" t="str">
        <x:v>2000249851-V114</x:v>
      </x:c>
      <x:c r="C250" s="16" t="str">
        <x:v>МОТОР-РЕДУКТОР КР 676.01.150-02</x:v>
      </x:c>
      <x:c r="D250" s="16" t="str">
        <x:v>ЗЧ грузоподъемн обор</x:v>
      </x:c>
      <x:c r="E250" s="16" t="str">
        <x:v>ШТ</x:v>
      </x:c>
      <x:c r="F250" s="21" t="n">
        <x:v>1</x:v>
      </x:c>
      <x:c r="G250" s="17" t="n">
        <x:v>31498.875</x:v>
      </x:c>
      <x:c r="H250" s="17" t="n">
        <x:f>G250*F250</x:f>
        <x:v>31498.875</x:v>
      </x:c>
      <x:c r="I250" s="22" t="str">
        <x:f>HYPERLINK("https://etp-aktiv.ru/catalog/materialy/zapasnye-chasti-k-gruzopodemnoj-tekhnike-oborudovaniyu-i-mekhanizmam/2000249851-V114/","Открыть позицию")</x:f>
        <x:v>Открыть позицию</x:v>
      </x:c>
    </x:row>
    <x:row r="251" ht="28" customHeight="1">
      <x:c r="A251" s="16" t="str">
        <x:v>Красноярская ТЭЦ-3</x:v>
      </x:c>
      <x:c r="B251" s="16" t="str">
        <x:v>2000611021-V114</x:v>
      </x:c>
      <x:c r="C251" s="16" t="str">
        <x:v>МУФТА НАСОС ТИП Д Н03.649.00.00.0100</x:v>
      </x:c>
      <x:c r="D251" s="16" t="str">
        <x:v>ЗЧ к энергетич насос</x:v>
      </x:c>
      <x:c r="E251" s="16" t="str">
        <x:v>ШТ</x:v>
      </x:c>
      <x:c r="F251" s="21" t="n">
        <x:v>2</x:v>
      </x:c>
      <x:c r="G251" s="17" t="n">
        <x:v>37798.65</x:v>
      </x:c>
      <x:c r="H251" s="17" t="n">
        <x:f>G251*F251</x:f>
        <x:v>75597.3</x:v>
      </x:c>
      <x:c r="I251" s="22" t="str">
        <x:f>HYPERLINK("https://etp-aktiv.ru/catalog/materialy/zapasnye-chasti-promyshlennogo-oborudovaniya/2000611021-V114/","Открыть позицию")</x:f>
        <x:v>Открыть позицию</x:v>
      </x:c>
    </x:row>
    <x:row r="252" ht="28" customHeight="1">
      <x:c r="A252" s="16" t="str">
        <x:v>Красноярская ТЭЦ-3</x:v>
      </x:c>
      <x:c r="B252" s="16" t="str">
        <x:v>5000064379-V114</x:v>
      </x:c>
      <x:c r="C252" s="16" t="str">
        <x:v>НАСОС АХ 65-40-200-КСД У2 Б/Э/ДВИГ</x:v>
      </x:c>
      <x:c r="D252" s="16" t="str">
        <x:v>НасосыЦентробежХимич</x:v>
      </x:c>
      <x:c r="E252" s="16" t="str">
        <x:v>ШТ</x:v>
      </x:c>
      <x:c r="F252" s="21" t="n">
        <x:v>1</x:v>
      </x:c>
      <x:c r="G252" s="17" t="n">
        <x:v>59828.7634</x:v>
      </x:c>
      <x:c r="H252" s="17" t="n">
        <x:f>G252*F252</x:f>
        <x:v>59828.7634</x:v>
      </x:c>
      <x:c r="I252" s="22" t="str">
        <x:f>HYPERLINK("https://etp-aktiv.ru/catalog/materialy/nasosno-kompressornoe-oborudovanie/5000064379-V114/","Открыть позицию")</x:f>
        <x:v>Открыть позицию</x:v>
      </x:c>
    </x:row>
    <x:row r="253" ht="28" customHeight="1">
      <x:c r="A253" s="16" t="str">
        <x:v>Красноярская ТЭЦ-3</x:v>
      </x:c>
      <x:c r="B253" s="16" t="str">
        <x:v>5000057806-V114</x:v>
      </x:c>
      <x:c r="C253" s="16" t="str">
        <x:v>НАСОС СД100-40 Б/Э/ДВИГ</x:v>
      </x:c>
      <x:c r="D253" s="16" t="str">
        <x:v>НасосОдноступЭнергет</x:v>
      </x:c>
      <x:c r="E253" s="16" t="str">
        <x:v>ШТ</x:v>
      </x:c>
      <x:c r="F253" s="21" t="n">
        <x:v>1</x:v>
      </x:c>
      <x:c r="G253" s="17" t="n">
        <x:v>18195.1166</x:v>
      </x:c>
      <x:c r="H253" s="17" t="n">
        <x:f>G253*F253</x:f>
        <x:v>18195.1166</x:v>
      </x:c>
      <x:c r="I253" s="22" t="str">
        <x:f>HYPERLINK("https://etp-aktiv.ru/catalog/materialy/nasosno-kompressornoe-oborudovanie/5000057806-V114/","Открыть позицию")</x:f>
        <x:v>Открыть позицию</x:v>
      </x:c>
    </x:row>
    <x:row r="254" ht="28" customHeight="1">
      <x:c r="A254" s="16" t="str">
        <x:v>Красноярская ТЭЦ-3</x:v>
      </x:c>
      <x:c r="B254" s="16" t="str">
        <x:v>2000778455-V114</x:v>
      </x:c>
      <x:c r="C254" s="16" t="str">
        <x:v>НИППЕЛЬ МВН30-320М 2189157</x:v>
      </x:c>
      <x:c r="D254" s="16" t="str">
        <x:v>ЗЧ к гидравлич насос</x:v>
      </x:c>
      <x:c r="E254" s="16" t="str">
        <x:v>ШТ</x:v>
      </x:c>
      <x:c r="F254" s="21" t="n">
        <x:v>2</x:v>
      </x:c>
      <x:c r="G254" s="17" t="n">
        <x:v>7699.724999999999</x:v>
      </x:c>
      <x:c r="H254" s="17" t="n">
        <x:f>G254*F254</x:f>
        <x:v>15399.449999999999</x:v>
      </x:c>
      <x:c r="I254" s="22" t="str">
        <x:f>HYPERLINK("https://etp-aktiv.ru/catalog/materialy/nasosno-kompressornoe-oborudovanie/2000778455-V114/","Открыть позицию")</x:f>
        <x:v>Открыть позицию</x:v>
      </x:c>
    </x:row>
    <x:row r="255" ht="28" customHeight="1">
      <x:c r="A255" s="16" t="str">
        <x:v>Красноярская ТЭЦ-3</x:v>
      </x:c>
      <x:c r="B255" s="16" t="str">
        <x:v>2000534393-V114</x:v>
      </x:c>
      <x:c r="C255" s="16" t="str">
        <x:v>ПАЛЕЦ 813.02.150.03 НАСОСА МКВ500-35В</x:v>
      </x:c>
      <x:c r="D255" s="16" t="str">
        <x:v>ЗЧ к гидравлич насос</x:v>
      </x:c>
      <x:c r="E255" s="16" t="str">
        <x:v>ШТ</x:v>
      </x:c>
      <x:c r="F255" s="21" t="n">
        <x:v>64</x:v>
      </x:c>
      <x:c r="G255" s="17" t="n">
        <x:v>703.1714</x:v>
      </x:c>
      <x:c r="H255" s="17" t="n">
        <x:f>G255*F255</x:f>
        <x:v>45002.9696</x:v>
      </x:c>
      <x:c r="I255" s="22" t="str">
        <x:f>HYPERLINK("https://etp-aktiv.ru/catalog/materialy/nasosno-kompressornoe-oborudovanie/2000534393-V114/","Открыть позицию")</x:f>
        <x:v>Открыть позицию</x:v>
      </x:c>
    </x:row>
    <x:row r="256" ht="28" customHeight="1">
      <x:c r="A256" s="16" t="str">
        <x:v>Красноярская ТЭЦ-3</x:v>
      </x:c>
      <x:c r="B256" s="16" t="str">
        <x:v>2000778816-V114</x:v>
      </x:c>
      <x:c r="C256" s="16" t="str">
        <x:v>ПОДКЛАДКА 1Д1250-63 0603.5061123.0001-01</x:v>
      </x:c>
      <x:c r="D256" s="16" t="str">
        <x:v>ЗЧ к энергетич насос</x:v>
      </x:c>
      <x:c r="E256" s="16" t="str">
        <x:v>ШТ</x:v>
      </x:c>
      <x:c r="F256" s="21" t="n">
        <x:v>36</x:v>
      </x:c>
      <x:c r="G256" s="17" t="n">
        <x:v>699.975</x:v>
      </x:c>
      <x:c r="H256" s="17" t="n">
        <x:f>G256*F256</x:f>
        <x:v>25199.100000000002</x:v>
      </x:c>
      <x:c r="I256" s="22" t="str">
        <x:f>HYPERLINK("https://etp-aktiv.ru/catalog/materialy/zapasnye-chasti-promyshlennogo-oborudovaniya/2000778816-V114/","Открыть позицию")</x:f>
        <x:v>Открыть позицию</x:v>
      </x:c>
    </x:row>
    <x:row r="257" ht="28" customHeight="1">
      <x:c r="A257" s="16" t="str">
        <x:v>Красноярская ТЭЦ-3</x:v>
      </x:c>
      <x:c r="B257" s="16" t="str">
        <x:v>2000778817-V114</x:v>
      </x:c>
      <x:c r="C257" s="16" t="str">
        <x:v>ПОДКЛАДКА 1Д800-53 0603.5061123.0001</x:v>
      </x:c>
      <x:c r="D257" s="16" t="str">
        <x:v>ЗЧ к энергетич насос</x:v>
      </x:c>
      <x:c r="E257" s="16" t="str">
        <x:v>ШТ</x:v>
      </x:c>
      <x:c r="F257" s="21" t="n">
        <x:v>24</x:v>
      </x:c>
      <x:c r="G257" s="17" t="n">
        <x:v>699.975</x:v>
      </x:c>
      <x:c r="H257" s="17" t="n">
        <x:f>G257*F257</x:f>
        <x:v>16799.4</x:v>
      </x:c>
      <x:c r="I257" s="22" t="str">
        <x:f>HYPERLINK("https://etp-aktiv.ru/catalog/materialy/zapasnye-chasti-promyshlennogo-oborudovaniya/2000778817-V114/","Открыть позицию")</x:f>
        <x:v>Открыть позицию</x:v>
      </x:c>
    </x:row>
    <x:row r="258" ht="28" customHeight="1">
      <x:c r="A258" s="16" t="str">
        <x:v>Красноярская ТЭЦ-3</x:v>
      </x:c>
      <x:c r="B258" s="16" t="str">
        <x:v>2000534417-V114</x:v>
      </x:c>
      <x:c r="C258" s="16" t="str">
        <x:v>ПОДПЯТНИК 0603.40.3542.0001 НМШ 8-25</x:v>
      </x:c>
      <x:c r="D258" s="16" t="str">
        <x:v>ЗЧ к гидравлич насос</x:v>
      </x:c>
      <x:c r="E258" s="16" t="str">
        <x:v>ШТ</x:v>
      </x:c>
      <x:c r="F258" s="21" t="n">
        <x:v>4</x:v>
      </x:c>
      <x:c r="G258" s="17" t="n">
        <x:v>1085.4462</x:v>
      </x:c>
      <x:c r="H258" s="17" t="n">
        <x:f>G258*F258</x:f>
        <x:v>4341.7848</x:v>
      </x:c>
      <x:c r="I258" s="22" t="str">
        <x:f>HYPERLINK("https://etp-aktiv.ru/catalog/materialy/nasosno-kompressornoe-oborudovanie/2000534417-V114/","Открыть позицию")</x:f>
        <x:v>Открыть позицию</x:v>
      </x:c>
    </x:row>
    <x:row r="259" ht="28" customHeight="1">
      <x:c r="A259" s="16" t="str">
        <x:v>Красноярская ТЭЦ-3</x:v>
      </x:c>
      <x:c r="B259" s="16" t="str">
        <x:v>2000116628-V114</x:v>
      </x:c>
      <x:c r="C259" s="16" t="str">
        <x:v>ПОДШИПНИК 1612</x:v>
      </x:c>
      <x:c r="D259" s="16" t="str">
        <x:v>Подшипники</x:v>
      </x:c>
      <x:c r="E259" s="16" t="str">
        <x:v>ШТ</x:v>
      </x:c>
      <x:c r="F259" s="21" t="n">
        <x:v>4</x:v>
      </x:c>
      <x:c r="G259" s="17" t="n">
        <x:v>641.3418</x:v>
      </x:c>
      <x:c r="H259" s="17" t="n">
        <x:f>G259*F259</x:f>
        <x:v>2565.3672</x:v>
      </x:c>
      <x:c r="I259" s="22" t="str">
        <x:f>HYPERLINK("https://etp-aktiv.ru/catalog/materialy/podshipniki/2000116628-V114/","Открыть позицию")</x:f>
        <x:v>Открыть позицию</x:v>
      </x:c>
    </x:row>
    <x:row r="260" ht="28" customHeight="1">
      <x:c r="A260" s="16" t="str">
        <x:v>Красноярская ТЭЦ-3</x:v>
      </x:c>
      <x:c r="B260" s="16" t="str">
        <x:v>2000115330-V114</x:v>
      </x:c>
      <x:c r="C260" s="16" t="str">
        <x:v>ПОДШИПНИК 180310</x:v>
      </x:c>
      <x:c r="D260" s="16" t="str">
        <x:v>Подшипники</x:v>
      </x:c>
      <x:c r="E260" s="16" t="str">
        <x:v>ШТ</x:v>
      </x:c>
      <x:c r="F260" s="21" t="n">
        <x:v>2</x:v>
      </x:c>
      <x:c r="G260" s="17" t="n">
        <x:v>256.6392</x:v>
      </x:c>
      <x:c r="H260" s="17" t="n">
        <x:f>G260*F260</x:f>
        <x:v>513.2784</x:v>
      </x:c>
      <x:c r="I260" s="22" t="str">
        <x:f>HYPERLINK("https://etp-aktiv.ru/catalog/materialy/podshipniki/2000115330-V114/","Открыть позицию")</x:f>
        <x:v>Открыть позицию</x:v>
      </x:c>
    </x:row>
    <x:row r="261" ht="28" customHeight="1">
      <x:c r="A261" s="16" t="str">
        <x:v>Красноярская ТЭЦ-3</x:v>
      </x:c>
      <x:c r="B261" s="16" t="str">
        <x:v>2000127212-V114</x:v>
      </x:c>
      <x:c r="C261" s="16" t="str">
        <x:v>ПОДШИПНИК 180604</x:v>
      </x:c>
      <x:c r="D261" s="16" t="str">
        <x:v>Подшипники</x:v>
      </x:c>
      <x:c r="E261" s="16" t="str">
        <x:v>ШТ</x:v>
      </x:c>
      <x:c r="F261" s="21" t="n">
        <x:v>2</x:v>
      </x:c>
      <x:c r="G261" s="17" t="n">
        <x:v>62.8178</x:v>
      </x:c>
      <x:c r="H261" s="17" t="n">
        <x:f>G261*F261</x:f>
        <x:v>125.6356</x:v>
      </x:c>
      <x:c r="I261" s="22" t="str">
        <x:f>HYPERLINK("https://etp-aktiv.ru/catalog/materialy/podshipniki/2000127212-V114/","Открыть позицию")</x:f>
        <x:v>Открыть позицию</x:v>
      </x:c>
    </x:row>
    <x:row r="262" ht="28" customHeight="1">
      <x:c r="A262" s="16" t="str">
        <x:v>Красноярская ТЭЦ-3</x:v>
      </x:c>
      <x:c r="B262" s="16" t="str">
        <x:v>2000116408-V114</x:v>
      </x:c>
      <x:c r="C262" s="16" t="str">
        <x:v>ПОДШИПНИК 180607</x:v>
      </x:c>
      <x:c r="D262" s="16" t="str">
        <x:v>Подшипники</x:v>
      </x:c>
      <x:c r="E262" s="16" t="str">
        <x:v>ШТ</x:v>
      </x:c>
      <x:c r="F262" s="21" t="n">
        <x:v>2</x:v>
      </x:c>
      <x:c r="G262" s="17" t="n">
        <x:v>153.72</x:v>
      </x:c>
      <x:c r="H262" s="17" t="n">
        <x:f>G262*F262</x:f>
        <x:v>307.44</x:v>
      </x:c>
      <x:c r="I262" s="22" t="str">
        <x:f>HYPERLINK("https://etp-aktiv.ru/catalog/materialy/podshipniki/2000116408-V114/","Открыть позицию")</x:f>
        <x:v>Открыть позицию</x:v>
      </x:c>
    </x:row>
    <x:row r="263" ht="28" customHeight="1">
      <x:c r="A263" s="16" t="str">
        <x:v>Красноярская ТЭЦ-3</x:v>
      </x:c>
      <x:c r="B263" s="16" t="str">
        <x:v>2000116455-V114</x:v>
      </x:c>
      <x:c r="C263" s="16" t="str">
        <x:v>ПОДШИПНИК 180609</x:v>
      </x:c>
      <x:c r="D263" s="16" t="str">
        <x:v>Подшипники</x:v>
      </x:c>
      <x:c r="E263" s="16" t="str">
        <x:v>ШТ</x:v>
      </x:c>
      <x:c r="F263" s="21" t="n">
        <x:v>6</x:v>
      </x:c>
      <x:c r="G263" s="17" t="n">
        <x:v>496.8328</x:v>
      </x:c>
      <x:c r="H263" s="17" t="n">
        <x:f>G263*F263</x:f>
        <x:v>2980.9968</x:v>
      </x:c>
      <x:c r="I263" s="22" t="str">
        <x:f>HYPERLINK("https://etp-aktiv.ru/catalog/materialy/podshipniki/2000116455-V114/","Открыть позицию")</x:f>
        <x:v>Открыть позицию</x:v>
      </x:c>
    </x:row>
    <x:row r="264" ht="28" customHeight="1">
      <x:c r="A264" s="16" t="str">
        <x:v>Красноярская ТЭЦ-3</x:v>
      </x:c>
      <x:c r="B264" s="16" t="str">
        <x:v>2000248607-V114</x:v>
      </x:c>
      <x:c r="C264" s="16" t="str">
        <x:v>ПОДШИПНИК 2224КМ</x:v>
      </x:c>
      <x:c r="D264" s="16" t="str">
        <x:v>Подшипники</x:v>
      </x:c>
      <x:c r="E264" s="16" t="str">
        <x:v>ШТ</x:v>
      </x:c>
      <x:c r="F264" s="21" t="n">
        <x:v>1</x:v>
      </x:c>
      <x:c r="G264" s="17" t="n">
        <x:v>1818.5686</x:v>
      </x:c>
      <x:c r="H264" s="17" t="n">
        <x:f>G264*F264</x:f>
        <x:v>1818.5686</x:v>
      </x:c>
      <x:c r="I264" s="22" t="str">
        <x:f>HYPERLINK("https://etp-aktiv.ru/catalog/materialy/podshipniki/2000248607-V114/","Открыть позицию")</x:f>
        <x:v>Открыть позицию</x:v>
      </x:c>
    </x:row>
    <x:row r="265" ht="28" customHeight="1">
      <x:c r="A265" s="16" t="str">
        <x:v>Красноярская ТЭЦ-3</x:v>
      </x:c>
      <x:c r="B265" s="16" t="str">
        <x:v>2000116440-V114</x:v>
      </x:c>
      <x:c r="C265" s="16" t="str">
        <x:v>ПОДШИПНИК 2309</x:v>
      </x:c>
      <x:c r="D265" s="16" t="str">
        <x:v>Подшипники</x:v>
      </x:c>
      <x:c r="E265" s="16" t="str">
        <x:v>ШТ</x:v>
      </x:c>
      <x:c r="F265" s="21" t="n">
        <x:v>10</x:v>
      </x:c>
      <x:c r="G265" s="17" t="n">
        <x:v>451.18039999999996</x:v>
      </x:c>
      <x:c r="H265" s="17" t="n">
        <x:f>G265*F265</x:f>
        <x:v>4511.804</x:v>
      </x:c>
      <x:c r="I265" s="22" t="str">
        <x:f>HYPERLINK("https://etp-aktiv.ru/catalog/materialy/podshipniki/2000116440-V114/","Открыть позицию")</x:f>
        <x:v>Открыть позицию</x:v>
      </x:c>
    </x:row>
    <x:row r="266" ht="28" customHeight="1">
      <x:c r="A266" s="16" t="str">
        <x:v>Красноярская ТЭЦ-3</x:v>
      </x:c>
      <x:c r="B266" s="16" t="str">
        <x:v>2000115345-V114</x:v>
      </x:c>
      <x:c r="C266" s="16" t="str">
        <x:v>ПОДШИПНИК 2311</x:v>
      </x:c>
      <x:c r="D266" s="16" t="str">
        <x:v>Подшипники</x:v>
      </x:c>
      <x:c r="E266" s="16" t="str">
        <x:v>ШТ</x:v>
      </x:c>
      <x:c r="F266" s="21" t="n">
        <x:v>2</x:v>
      </x:c>
      <x:c r="G266" s="17" t="n">
        <x:v>386.37399999999997</x:v>
      </x:c>
      <x:c r="H266" s="17" t="n">
        <x:f>G266*F266</x:f>
        <x:v>772.7479999999999</x:v>
      </x:c>
      <x:c r="I266" s="22" t="str">
        <x:f>HYPERLINK("https://etp-aktiv.ru/catalog/materialy/podshipniki/2000115345-V114/","Открыть позицию")</x:f>
        <x:v>Открыть позицию</x:v>
      </x:c>
    </x:row>
    <x:row r="267" ht="28" customHeight="1">
      <x:c r="A267" s="16" t="str">
        <x:v>Красноярская ТЭЦ-3</x:v>
      </x:c>
      <x:c r="B267" s="16" t="str">
        <x:v>2000116520-V114</x:v>
      </x:c>
      <x:c r="C267" s="16" t="str">
        <x:v>ПОДШИПНИК 2312</x:v>
      </x:c>
      <x:c r="D267" s="16" t="str">
        <x:v>Подшипники</x:v>
      </x:c>
      <x:c r="E267" s="16" t="str">
        <x:v>ШТ</x:v>
      </x:c>
      <x:c r="F267" s="21" t="n">
        <x:v>1</x:v>
      </x:c>
      <x:c r="G267" s="17" t="n">
        <x:v>357.5332</x:v>
      </x:c>
      <x:c r="H267" s="17" t="n">
        <x:f>G267*F267</x:f>
        <x:v>357.5332</x:v>
      </x:c>
      <x:c r="I267" s="22" t="str">
        <x:f>HYPERLINK("https://etp-aktiv.ru/catalog/materialy/podshipniki/2000116520-V114/","Открыть позицию")</x:f>
        <x:v>Открыть позицию</x:v>
      </x:c>
    </x:row>
    <x:row r="268" ht="28" customHeight="1">
      <x:c r="A268" s="16" t="str">
        <x:v>Красноярская ТЭЦ-3</x:v>
      </x:c>
      <x:c r="B268" s="16" t="str">
        <x:v>2000116609-V114</x:v>
      </x:c>
      <x:c r="C268" s="16" t="str">
        <x:v>ПОДШИПНИК 2313</x:v>
      </x:c>
      <x:c r="D268" s="16" t="str">
        <x:v>Подшипники</x:v>
      </x:c>
      <x:c r="E268" s="16" t="str">
        <x:v>ШТ</x:v>
      </x:c>
      <x:c r="F268" s="21" t="n">
        <x:v>2</x:v>
      </x:c>
      <x:c r="G268" s="17" t="n">
        <x:v>1168.4794</x:v>
      </x:c>
      <x:c r="H268" s="17" t="n">
        <x:f>G268*F268</x:f>
        <x:v>2336.9588</x:v>
      </x:c>
      <x:c r="I268" s="22" t="str">
        <x:f>HYPERLINK("https://etp-aktiv.ru/catalog/materialy/podshipniki/2000116609-V114/","Открыть позицию")</x:f>
        <x:v>Открыть позицию</x:v>
      </x:c>
    </x:row>
    <x:row r="269" ht="28" customHeight="1">
      <x:c r="A269" s="16" t="str">
        <x:v>Красноярская ТЭЦ-3</x:v>
      </x:c>
      <x:c r="B269" s="16" t="str">
        <x:v>2000605253-V114</x:v>
      </x:c>
      <x:c r="C269" s="16" t="str">
        <x:v>ПОДШИПНИК 2313Л</x:v>
      </x:c>
      <x:c r="D269" s="16" t="str">
        <x:v>Подшипники</x:v>
      </x:c>
      <x:c r="E269" s="16" t="str">
        <x:v>ШТ</x:v>
      </x:c>
      <x:c r="F269" s="21" t="n">
        <x:v>3</x:v>
      </x:c>
      <x:c r="G269" s="17" t="n">
        <x:v>956.9313999999999</x:v>
      </x:c>
      <x:c r="H269" s="17" t="n">
        <x:f>G269*F269</x:f>
        <x:v>2870.7942</x:v>
      </x:c>
      <x:c r="I269" s="22" t="str">
        <x:f>HYPERLINK("https://etp-aktiv.ru/catalog/materialy/podshipniki/2000605253-V114/","Открыть позицию")</x:f>
        <x:v>Открыть позицию</x:v>
      </x:c>
    </x:row>
    <x:row r="270" ht="28" customHeight="1">
      <x:c r="A270" s="16" t="str">
        <x:v>Красноярская ТЭЦ-3</x:v>
      </x:c>
      <x:c r="B270" s="16" t="str">
        <x:v>2000116573-V114</x:v>
      </x:c>
      <x:c r="C270" s="16" t="str">
        <x:v>ПОДШИПНИК 2315</x:v>
      </x:c>
      <x:c r="D270" s="16" t="str">
        <x:v>Подшипники</x:v>
      </x:c>
      <x:c r="E270" s="16" t="str">
        <x:v>ШТ</x:v>
      </x:c>
      <x:c r="F270" s="21" t="n">
        <x:v>1</x:v>
      </x:c>
      <x:c r="G270" s="17" t="n">
        <x:v>521.2328</x:v>
      </x:c>
      <x:c r="H270" s="17" t="n">
        <x:f>G270*F270</x:f>
        <x:v>521.2328</x:v>
      </x:c>
      <x:c r="I270" s="22" t="str">
        <x:f>HYPERLINK("https://etp-aktiv.ru/catalog/materialy/podshipniki/2000116573-V114/","Открыть позицию")</x:f>
        <x:v>Открыть позицию</x:v>
      </x:c>
    </x:row>
    <x:row r="271" ht="28" customHeight="1">
      <x:c r="A271" s="16" t="str">
        <x:v>Красноярская ТЭЦ-3</x:v>
      </x:c>
      <x:c r="B271" s="16" t="str">
        <x:v>2000116617-V114</x:v>
      </x:c>
      <x:c r="C271" s="16" t="str">
        <x:v>ПОДШИПНИК 2318</x:v>
      </x:c>
      <x:c r="D271" s="16" t="str">
        <x:v>Подшипники</x:v>
      </x:c>
      <x:c r="E271" s="16" t="str">
        <x:v>ШТ</x:v>
      </x:c>
      <x:c r="F271" s="21" t="n">
        <x:v>1</x:v>
      </x:c>
      <x:c r="G271" s="17" t="n">
        <x:v>1282.5982</x:v>
      </x:c>
      <x:c r="H271" s="17" t="n">
        <x:f>G271*F271</x:f>
        <x:v>1282.5982</x:v>
      </x:c>
      <x:c r="I271" s="22" t="str">
        <x:f>HYPERLINK("https://etp-aktiv.ru/catalog/materialy/podshipniki/2000116617-V114/","Открыть позицию")</x:f>
        <x:v>Открыть позицию</x:v>
      </x:c>
    </x:row>
    <x:row r="272" ht="28" customHeight="1">
      <x:c r="A272" s="16" t="str">
        <x:v>Красноярская ТЭЦ-3</x:v>
      </x:c>
      <x:c r="B272" s="16" t="str">
        <x:v>2000116620-V114</x:v>
      </x:c>
      <x:c r="C272" s="16" t="str">
        <x:v>ПОДШИПНИК 2319</x:v>
      </x:c>
      <x:c r="D272" s="16" t="str">
        <x:v>Подшипники</x:v>
      </x:c>
      <x:c r="E272" s="16" t="str">
        <x:v>ШТ</x:v>
      </x:c>
      <x:c r="F272" s="21" t="n">
        <x:v>1</x:v>
      </x:c>
      <x:c r="G272" s="17" t="n">
        <x:v>1268.4584</x:v>
      </x:c>
      <x:c r="H272" s="17" t="n">
        <x:f>G272*F272</x:f>
        <x:v>1268.4584</x:v>
      </x:c>
      <x:c r="I272" s="22" t="str">
        <x:f>HYPERLINK("https://etp-aktiv.ru/catalog/materialy/podshipniki/2000116620-V114/","Открыть позицию")</x:f>
        <x:v>Открыть позицию</x:v>
      </x:c>
    </x:row>
    <x:row r="273" ht="28" customHeight="1">
      <x:c r="A273" s="16" t="str">
        <x:v>Красноярская ТЭЦ-3</x:v>
      </x:c>
      <x:c r="B273" s="16" t="str">
        <x:v>2000556595-V114</x:v>
      </x:c>
      <x:c r="C273" s="16" t="str">
        <x:v>ПОДШИПНИК 2319 Л</x:v>
      </x:c>
      <x:c r="D273" s="16" t="str">
        <x:v>Подшипники</x:v>
      </x:c>
      <x:c r="E273" s="16" t="str">
        <x:v>ШТ</x:v>
      </x:c>
      <x:c r="F273" s="21" t="n">
        <x:v>1</x:v>
      </x:c>
      <x:c r="G273" s="17" t="n">
        <x:v>2267.5042</x:v>
      </x:c>
      <x:c r="H273" s="17" t="n">
        <x:f>G273*F273</x:f>
        <x:v>2267.5042</x:v>
      </x:c>
      <x:c r="I273" s="22" t="str">
        <x:f>HYPERLINK("https://etp-aktiv.ru/catalog/materialy/podshipniki/2000556595-V114/","Открыть позицию")</x:f>
        <x:v>Открыть позицию</x:v>
      </x:c>
    </x:row>
    <x:row r="274" ht="28" customHeight="1">
      <x:c r="A274" s="16" t="str">
        <x:v>Красноярская ТЭЦ-3</x:v>
      </x:c>
      <x:c r="B274" s="16" t="str">
        <x:v>2000116757-V114</x:v>
      </x:c>
      <x:c r="C274" s="16" t="str">
        <x:v>ПОДШИПНИК 2326</x:v>
      </x:c>
      <x:c r="D274" s="16" t="str">
        <x:v>Подшипники</x:v>
      </x:c>
      <x:c r="E274" s="16" t="str">
        <x:v>ШТ</x:v>
      </x:c>
      <x:c r="F274" s="21" t="n">
        <x:v>1</x:v>
      </x:c>
      <x:c r="G274" s="17" t="n">
        <x:v>8356.817000000001</x:v>
      </x:c>
      <x:c r="H274" s="17" t="n">
        <x:f>G274*F274</x:f>
        <x:v>8356.817000000001</x:v>
      </x:c>
      <x:c r="I274" s="22" t="str">
        <x:f>HYPERLINK("https://etp-aktiv.ru/catalog/materialy/podshipniki/2000116757-V114/","Открыть позицию")</x:f>
        <x:v>Открыть позицию</x:v>
      </x:c>
    </x:row>
    <x:row r="275" ht="28" customHeight="1">
      <x:c r="A275" s="16" t="str">
        <x:v>Красноярская ТЭЦ-3</x:v>
      </x:c>
      <x:c r="B275" s="16" t="str">
        <x:v>2000116438-V114</x:v>
      </x:c>
      <x:c r="C275" s="16" t="str">
        <x:v>ПОДШИПНИК 311</x:v>
      </x:c>
      <x:c r="D275" s="16" t="str">
        <x:v>Подшипники</x:v>
      </x:c>
      <x:c r="E275" s="16" t="str">
        <x:v>ШТ</x:v>
      </x:c>
      <x:c r="F275" s="21" t="n">
        <x:v>1</x:v>
      </x:c>
      <x:c r="G275" s="17" t="n">
        <x:v>253.6746</x:v>
      </x:c>
      <x:c r="H275" s="17" t="n">
        <x:f>G275*F275</x:f>
        <x:v>253.6746</x:v>
      </x:c>
      <x:c r="I275" s="22" t="str">
        <x:f>HYPERLINK("https://etp-aktiv.ru/catalog/materialy/podshipniki/2000116438-V114/","Открыть позицию")</x:f>
        <x:v>Открыть позицию</x:v>
      </x:c>
    </x:row>
    <x:row r="276" ht="28" customHeight="1">
      <x:c r="A276" s="16" t="str">
        <x:v>Красноярская ТЭЦ-3</x:v>
      </x:c>
      <x:c r="B276" s="16" t="str">
        <x:v>2000116524-V114</x:v>
      </x:c>
      <x:c r="C276" s="16" t="str">
        <x:v>ПОДШИПНИК 315</x:v>
      </x:c>
      <x:c r="D276" s="16" t="str">
        <x:v>Подшипники</x:v>
      </x:c>
      <x:c r="E276" s="16" t="str">
        <x:v>ШТ</x:v>
      </x:c>
      <x:c r="F276" s="21" t="n">
        <x:v>2</x:v>
      </x:c>
      <x:c r="G276" s="17" t="n">
        <x:v>437.77259999999995</x:v>
      </x:c>
      <x:c r="H276" s="17" t="n">
        <x:f>G276*F276</x:f>
        <x:v>875.5451999999999</x:v>
      </x:c>
      <x:c r="I276" s="22" t="str">
        <x:f>HYPERLINK("https://etp-aktiv.ru/catalog/materialy/podshipniki/2000116524-V114/","Открыть позицию")</x:f>
        <x:v>Открыть позицию</x:v>
      </x:c>
    </x:row>
    <x:row r="277" ht="28" customHeight="1">
      <x:c r="A277" s="16" t="str">
        <x:v>Красноярская ТЭЦ-3</x:v>
      </x:c>
      <x:c r="B277" s="16" t="str">
        <x:v>2000116529-V114</x:v>
      </x:c>
      <x:c r="C277" s="16" t="str">
        <x:v>ПОДШИПНИК 316</x:v>
      </x:c>
      <x:c r="D277" s="16" t="str">
        <x:v>Подшипники</x:v>
      </x:c>
      <x:c r="E277" s="16" t="str">
        <x:v>ШТ</x:v>
      </x:c>
      <x:c r="F277" s="21" t="n">
        <x:v>2</x:v>
      </x:c>
      <x:c r="G277" s="17" t="n">
        <x:v>1635.0928</x:v>
      </x:c>
      <x:c r="H277" s="17" t="n">
        <x:f>G277*F277</x:f>
        <x:v>3270.1856</x:v>
      </x:c>
      <x:c r="I277" s="22" t="str">
        <x:f>HYPERLINK("https://etp-aktiv.ru/catalog/materialy/podshipniki/2000116529-V114/","Открыть позицию")</x:f>
        <x:v>Открыть позицию</x:v>
      </x:c>
    </x:row>
    <x:row r="278" ht="28" customHeight="1">
      <x:c r="A278" s="16" t="str">
        <x:v>Красноярская ТЭЦ-3</x:v>
      </x:c>
      <x:c r="B278" s="16" t="str">
        <x:v>2000589684-V114</x:v>
      </x:c>
      <x:c r="C278" s="16" t="str">
        <x:v>ПОДШИПНИК 32317М</x:v>
      </x:c>
      <x:c r="D278" s="16" t="str">
        <x:v>Подшипники</x:v>
      </x:c>
      <x:c r="E278" s="16" t="str">
        <x:v>ШТ</x:v>
      </x:c>
      <x:c r="F278" s="21" t="n">
        <x:v>1</x:v>
      </x:c>
      <x:c r="G278" s="17" t="n">
        <x:v>1673.0836000000002</x:v>
      </x:c>
      <x:c r="H278" s="17" t="n">
        <x:f>G278*F278</x:f>
        <x:v>1673.0836000000002</x:v>
      </x:c>
      <x:c r="I278" s="22" t="str">
        <x:f>HYPERLINK("https://etp-aktiv.ru/catalog/materialy/podshipniki/2000589684-V114/","Открыть позицию")</x:f>
        <x:v>Открыть позицию</x:v>
      </x:c>
    </x:row>
    <x:row r="279" ht="28" customHeight="1">
      <x:c r="A279" s="16" t="str">
        <x:v>Красноярская ТЭЦ-3</x:v>
      </x:c>
      <x:c r="B279" s="16" t="str">
        <x:v>2000115355-V114</x:v>
      </x:c>
      <x:c r="C279" s="16" t="str">
        <x:v>ПОДШИПНИК 326</x:v>
      </x:c>
      <x:c r="D279" s="16" t="str">
        <x:v>Подшипники</x:v>
      </x:c>
      <x:c r="E279" s="16" t="str">
        <x:v>ШТ</x:v>
      </x:c>
      <x:c r="F279" s="21" t="n">
        <x:v>1</x:v>
      </x:c>
      <x:c r="G279" s="17" t="n">
        <x:v>5032.5</x:v>
      </x:c>
      <x:c r="H279" s="17" t="n">
        <x:f>G279*F279</x:f>
        <x:v>5032.5</x:v>
      </x:c>
      <x:c r="I279" s="22" t="str">
        <x:f>HYPERLINK("https://etp-aktiv.ru/catalog/materialy/podshipniki/2000115355-V114/","Открыть позицию")</x:f>
        <x:v>Открыть позицию</x:v>
      </x:c>
    </x:row>
    <x:row r="280" ht="28" customHeight="1">
      <x:c r="A280" s="16" t="str">
        <x:v>Красноярская ТЭЦ-3</x:v>
      </x:c>
      <x:c r="B280" s="16" t="str">
        <x:v>2000116728-V114</x:v>
      </x:c>
      <x:c r="C280" s="16" t="str">
        <x:v>ПОДШИПНИК 3526</x:v>
      </x:c>
      <x:c r="D280" s="16" t="str">
        <x:v>Подшипники</x:v>
      </x:c>
      <x:c r="E280" s="16" t="str">
        <x:v>ШТ</x:v>
      </x:c>
      <x:c r="F280" s="21" t="n">
        <x:v>6</x:v>
      </x:c>
      <x:c r="G280" s="17" t="n">
        <x:v>3967.5986000000003</x:v>
      </x:c>
      <x:c r="H280" s="17" t="n">
        <x:f>G280*F280</x:f>
        <x:v>23805.5916</x:v>
      </x:c>
      <x:c r="I280" s="22" t="str">
        <x:f>HYPERLINK("https://etp-aktiv.ru/catalog/materialy/podshipniki/2000116728-V114/","Открыть позицию")</x:f>
        <x:v>Открыть позицию</x:v>
      </x:c>
    </x:row>
    <x:row r="281" ht="28" customHeight="1">
      <x:c r="A281" s="16" t="str">
        <x:v>Красноярская ТЭЦ-3</x:v>
      </x:c>
      <x:c r="B281" s="16" t="str">
        <x:v>2000116666-V114</x:v>
      </x:c>
      <x:c r="C281" s="16" t="str">
        <x:v>ПОДШИПНИК 3618</x:v>
      </x:c>
      <x:c r="D281" s="16" t="str">
        <x:v>Подшипники</x:v>
      </x:c>
      <x:c r="E281" s="16" t="str">
        <x:v>ШТ</x:v>
      </x:c>
      <x:c r="F281" s="21" t="n">
        <x:v>1</x:v>
      </x:c>
      <x:c r="G281" s="17" t="n">
        <x:v>3610.3094</x:v>
      </x:c>
      <x:c r="H281" s="17" t="n">
        <x:f>G281*F281</x:f>
        <x:v>3610.3094</x:v>
      </x:c>
      <x:c r="I281" s="22" t="str">
        <x:f>HYPERLINK("https://etp-aktiv.ru/catalog/materialy/podshipniki/2000116666-V114/","Открыть позицию")</x:f>
        <x:v>Открыть позицию</x:v>
      </x:c>
    </x:row>
    <x:row r="282" ht="28" customHeight="1">
      <x:c r="A282" s="16" t="str">
        <x:v>Красноярская ТЭЦ-3</x:v>
      </x:c>
      <x:c r="B282" s="16" t="str">
        <x:v>2000116725-V114</x:v>
      </x:c>
      <x:c r="C282" s="16" t="str">
        <x:v>ПОДШИПНИК 42620</x:v>
      </x:c>
      <x:c r="D282" s="16" t="str">
        <x:v>Подшипники</x:v>
      </x:c>
      <x:c r="E282" s="16" t="str">
        <x:v>ШТ</x:v>
      </x:c>
      <x:c r="F282" s="21" t="n">
        <x:v>2</x:v>
      </x:c>
      <x:c r="G282" s="17" t="n">
        <x:v>3024.6483999999996</x:v>
      </x:c>
      <x:c r="H282" s="17" t="n">
        <x:f>G282*F282</x:f>
        <x:v>6049.296799999999</x:v>
      </x:c>
      <x:c r="I282" s="22" t="str">
        <x:f>HYPERLINK("https://etp-aktiv.ru/catalog/materialy/podshipniki/2000116725-V114/","Открыть позицию")</x:f>
        <x:v>Открыть позицию</x:v>
      </x:c>
    </x:row>
    <x:row r="283" ht="28" customHeight="1">
      <x:c r="A283" s="16" t="str">
        <x:v>Красноярская ТЭЦ-3</x:v>
      </x:c>
      <x:c r="B283" s="16" t="str">
        <x:v>2000556633-V114</x:v>
      </x:c>
      <x:c r="C283" s="16" t="str">
        <x:v>ПОДШИПНИК 46216 Л</x:v>
      </x:c>
      <x:c r="D283" s="16" t="str">
        <x:v>Подшипники</x:v>
      </x:c>
      <x:c r="E283" s="16" t="str">
        <x:v>ШТ</x:v>
      </x:c>
      <x:c r="F283" s="21" t="n">
        <x:v>2</x:v>
      </x:c>
      <x:c r="G283" s="17" t="n">
        <x:v>389.0946</x:v>
      </x:c>
      <x:c r="H283" s="17" t="n">
        <x:f>G283*F283</x:f>
        <x:v>778.1892</x:v>
      </x:c>
      <x:c r="I283" s="22" t="str">
        <x:f>HYPERLINK("https://etp-aktiv.ru/catalog/materialy/podshipniki/2000556633-V114/","Открыть позицию")</x:f>
        <x:v>Открыть позицию</x:v>
      </x:c>
    </x:row>
    <x:row r="284" ht="28" customHeight="1">
      <x:c r="A284" s="16" t="str">
        <x:v>Красноярская ТЭЦ-3</x:v>
      </x:c>
      <x:c r="B284" s="16" t="str">
        <x:v>2000449735-V114</x:v>
      </x:c>
      <x:c r="C284" s="16" t="str">
        <x:v>ПОДШИПНИК 46234</x:v>
      </x:c>
      <x:c r="D284" s="16" t="str">
        <x:v>Подшипники</x:v>
      </x:c>
      <x:c r="E284" s="16" t="str">
        <x:v>ШТ</x:v>
      </x:c>
      <x:c r="F284" s="21" t="n">
        <x:v>2</x:v>
      </x:c>
      <x:c r="G284" s="17" t="n">
        <x:v>9952.15</x:v>
      </x:c>
      <x:c r="H284" s="17" t="n">
        <x:f>G284*F284</x:f>
        <x:v>19904.3</x:v>
      </x:c>
      <x:c r="I284" s="22" t="str">
        <x:f>HYPERLINK("https://etp-aktiv.ru/catalog/materialy/podshipniki/2000449735-V114/","Открыть позицию")</x:f>
        <x:v>Открыть позицию</x:v>
      </x:c>
    </x:row>
    <x:row r="285" ht="28" customHeight="1">
      <x:c r="A285" s="16" t="str">
        <x:v>Красноярская ТЭЦ-3</x:v>
      </x:c>
      <x:c r="B285" s="16" t="str">
        <x:v>2000008186-V114</x:v>
      </x:c>
      <x:c r="C285" s="16" t="str">
        <x:v>ПОДШИПНИК 46312</x:v>
      </x:c>
      <x:c r="D285" s="16" t="str">
        <x:v>Подшипники</x:v>
      </x:c>
      <x:c r="E285" s="16" t="str">
        <x:v>ШТ</x:v>
      </x:c>
      <x:c r="F285" s="21" t="n">
        <x:v>1</x:v>
      </x:c>
      <x:c r="G285" s="17" t="n">
        <x:v>1067.2072</x:v>
      </x:c>
      <x:c r="H285" s="17" t="n">
        <x:f>G285*F285</x:f>
        <x:v>1067.2072</x:v>
      </x:c>
      <x:c r="I285" s="22" t="str">
        <x:f>HYPERLINK("https://etp-aktiv.ru/catalog/materialy/podshipniki/2000008186-V114/","Открыть позицию")</x:f>
        <x:v>Открыть позицию</x:v>
      </x:c>
    </x:row>
    <x:row r="286" ht="28" customHeight="1">
      <x:c r="A286" s="16" t="str">
        <x:v>Красноярская ТЭЦ-3</x:v>
      </x:c>
      <x:c r="B286" s="16" t="str">
        <x:v>2000556542-V114</x:v>
      </x:c>
      <x:c r="C286" s="16" t="str">
        <x:v>ПОДШИПНИК 52208</x:v>
      </x:c>
      <x:c r="D286" s="16" t="str">
        <x:v>Подшипники</x:v>
      </x:c>
      <x:c r="E286" s="16" t="str">
        <x:v>ШТ</x:v>
      </x:c>
      <x:c r="F286" s="21" t="n">
        <x:v>2</x:v>
      </x:c>
      <x:c r="G286" s="17" t="n">
        <x:v>1470.4294</x:v>
      </x:c>
      <x:c r="H286" s="17" t="n">
        <x:f>G286*F286</x:f>
        <x:v>2940.8588</x:v>
      </x:c>
      <x:c r="I286" s="22" t="str">
        <x:f>HYPERLINK("https://etp-aktiv.ru/catalog/materialy/podshipniki/2000556542-V114/","Открыть позицию")</x:f>
        <x:v>Открыть позицию</x:v>
      </x:c>
    </x:row>
    <x:row r="287" ht="28" customHeight="1">
      <x:c r="A287" s="16" t="str">
        <x:v>Красноярская ТЭЦ-3</x:v>
      </x:c>
      <x:c r="B287" s="16" t="str">
        <x:v>2000116731-V114</x:v>
      </x:c>
      <x:c r="C287" s="16" t="str">
        <x:v>ПОДШИПНИК 53530Н</x:v>
      </x:c>
      <x:c r="D287" s="16" t="str">
        <x:v>Подшипники</x:v>
      </x:c>
      <x:c r="E287" s="16" t="str">
        <x:v>ШТ</x:v>
      </x:c>
      <x:c r="F287" s="21" t="n">
        <x:v>1</x:v>
      </x:c>
      <x:c r="G287" s="17" t="n">
        <x:v>10940.96</x:v>
      </x:c>
      <x:c r="H287" s="17" t="n">
        <x:f>G287*F287</x:f>
        <x:v>10940.96</x:v>
      </x:c>
      <x:c r="I287" s="22" t="str">
        <x:f>HYPERLINK("https://etp-aktiv.ru/catalog/materialy/podshipniki/2000116731-V114/","Открыть позицию")</x:f>
        <x:v>Открыть позицию</x:v>
      </x:c>
    </x:row>
    <x:row r="288" ht="28" customHeight="1">
      <x:c r="A288" s="16" t="str">
        <x:v>Красноярская ТЭЦ-3</x:v>
      </x:c>
      <x:c r="B288" s="16" t="str">
        <x:v>2000115323-V114</x:v>
      </x:c>
      <x:c r="C288" s="16" t="str">
        <x:v>ПОДШИПНИК 588911</x:v>
      </x:c>
      <x:c r="D288" s="16" t="str">
        <x:v>Подшипники</x:v>
      </x:c>
      <x:c r="E288" s="16" t="str">
        <x:v>ШТ</x:v>
      </x:c>
      <x:c r="F288" s="21" t="n">
        <x:v>3</x:v>
      </x:c>
      <x:c r="G288" s="17" t="n">
        <x:v>129.015</x:v>
      </x:c>
      <x:c r="H288" s="17" t="n">
        <x:f>G288*F288</x:f>
        <x:v>387.04499999999996</x:v>
      </x:c>
      <x:c r="I288" s="22" t="str">
        <x:f>HYPERLINK("https://etp-aktiv.ru/catalog/materialy/podshipniki/2000115323-V114/","Открыть позицию")</x:f>
        <x:v>Открыть позицию</x:v>
      </x:c>
    </x:row>
    <x:row r="289" ht="28" customHeight="1">
      <x:c r="A289" s="16" t="str">
        <x:v>Красноярская ТЭЦ-3</x:v>
      </x:c>
      <x:c r="B289" s="16" t="str">
        <x:v>2000512242-V114</x:v>
      </x:c>
      <x:c r="C289" s="16" t="str">
        <x:v>ПОДШИПНИК 6-313Ш2У</x:v>
      </x:c>
      <x:c r="D289" s="16" t="str">
        <x:v>Подшипники</x:v>
      </x:c>
      <x:c r="E289" s="16" t="str">
        <x:v>ШТ</x:v>
      </x:c>
      <x:c r="F289" s="21" t="n">
        <x:v>1</x:v>
      </x:c>
      <x:c r="G289" s="17" t="n">
        <x:v>452.925</x:v>
      </x:c>
      <x:c r="H289" s="17" t="n">
        <x:f>G289*F289</x:f>
        <x:v>452.925</x:v>
      </x:c>
      <x:c r="I289" s="22" t="str">
        <x:f>HYPERLINK("https://etp-aktiv.ru/catalog/materialy/podshipniki/2000512242-V114/","Открыть позицию")</x:f>
        <x:v>Открыть позицию</x:v>
      </x:c>
    </x:row>
    <x:row r="290" ht="28" customHeight="1">
      <x:c r="A290" s="16" t="str">
        <x:v>Красноярская ТЭЦ-3</x:v>
      </x:c>
      <x:c r="B290" s="16" t="str">
        <x:v>2000167511-V114</x:v>
      </x:c>
      <x:c r="C290" s="16" t="str">
        <x:v>ПОДШИПНИК 6-366322Л1</x:v>
      </x:c>
      <x:c r="D290" s="16" t="str">
        <x:v>Подшипники</x:v>
      </x:c>
      <x:c r="E290" s="16" t="str">
        <x:v>ШТ</x:v>
      </x:c>
      <x:c r="F290" s="21" t="n">
        <x:v>1</x:v>
      </x:c>
      <x:c r="G290" s="17" t="n">
        <x:v>19887.524999999998</x:v>
      </x:c>
      <x:c r="H290" s="17" t="n">
        <x:f>G290*F290</x:f>
        <x:v>19887.524999999998</x:v>
      </x:c>
      <x:c r="I290" s="22" t="str">
        <x:f>HYPERLINK("https://etp-aktiv.ru/catalog/materialy/podshipniki/2000167511-V114/","Открыть позицию")</x:f>
        <x:v>Открыть позицию</x:v>
      </x:c>
    </x:row>
    <x:row r="291" ht="28" customHeight="1">
      <x:c r="A291" s="16" t="str">
        <x:v>Красноярская ТЭЦ-3</x:v>
      </x:c>
      <x:c r="B291" s="16" t="str">
        <x:v>2000116320-V114</x:v>
      </x:c>
      <x:c r="C291" s="16" t="str">
        <x:v>ПОДШИПНИК 60205</x:v>
      </x:c>
      <x:c r="D291" s="16" t="str">
        <x:v>Подшипники</x:v>
      </x:c>
      <x:c r="E291" s="16" t="str">
        <x:v>ШТ</x:v>
      </x:c>
      <x:c r="F291" s="21" t="n">
        <x:v>2</x:v>
      </x:c>
      <x:c r="G291" s="17" t="n">
        <x:v>64.05</x:v>
      </x:c>
      <x:c r="H291" s="17" t="n">
        <x:f>G291*F291</x:f>
        <x:v>128.1</x:v>
      </x:c>
      <x:c r="I291" s="22" t="str">
        <x:f>HYPERLINK("https://etp-aktiv.ru/catalog/materialy/podshipniki/2000116320-V114/","Открыть позицию")</x:f>
        <x:v>Открыть позицию</x:v>
      </x:c>
    </x:row>
    <x:row r="292" ht="28" customHeight="1">
      <x:c r="A292" s="16" t="str">
        <x:v>Красноярская ТЭЦ-3</x:v>
      </x:c>
      <x:c r="B292" s="16" t="str">
        <x:v>2000254579-V114</x:v>
      </x:c>
      <x:c r="C292" s="16" t="str">
        <x:v>ПОДШИПНИК 605</x:v>
      </x:c>
      <x:c r="D292" s="16" t="str">
        <x:v>Подшипники</x:v>
      </x:c>
      <x:c r="E292" s="16" t="str">
        <x:v>ШТ</x:v>
      </x:c>
      <x:c r="F292" s="21" t="n">
        <x:v>42</x:v>
      </x:c>
      <x:c r="G292" s="17" t="n">
        <x:v>93.1836</x:v>
      </x:c>
      <x:c r="H292" s="17" t="n">
        <x:f>G292*F292</x:f>
        <x:v>3913.7111999999997</x:v>
      </x:c>
      <x:c r="I292" s="22" t="str">
        <x:f>HYPERLINK("https://etp-aktiv.ru/catalog/materialy/podshipniki/2000254579-V114/","Открыть позицию")</x:f>
        <x:v>Открыть позицию</x:v>
      </x:c>
    </x:row>
    <x:row r="293" ht="28" customHeight="1">
      <x:c r="A293" s="16" t="str">
        <x:v>Красноярская ТЭЦ-3</x:v>
      </x:c>
      <x:c r="B293" s="16" t="str">
        <x:v>2000127397-V114</x:v>
      </x:c>
      <x:c r="C293" s="16" t="str">
        <x:v>ПОДШИПНИК 6308</x:v>
      </x:c>
      <x:c r="D293" s="16" t="str">
        <x:v>Подшипники</x:v>
      </x:c>
      <x:c r="E293" s="16" t="str">
        <x:v>ШТ</x:v>
      </x:c>
      <x:c r="F293" s="21" t="n">
        <x:v>1</x:v>
      </x:c>
      <x:c r="G293" s="17" t="n">
        <x:v>201.9466</x:v>
      </x:c>
      <x:c r="H293" s="17" t="n">
        <x:f>G293*F293</x:f>
        <x:v>201.9466</x:v>
      </x:c>
      <x:c r="I293" s="22" t="str">
        <x:f>HYPERLINK("https://etp-aktiv.ru/catalog/materialy/podshipniki/2000127397-V114/","Открыть позицию")</x:f>
        <x:v>Открыть позицию</x:v>
      </x:c>
    </x:row>
    <x:row r="294" ht="28" customHeight="1">
      <x:c r="A294" s="16" t="str">
        <x:v>Красноярская ТЭЦ-3</x:v>
      </x:c>
      <x:c r="B294" s="16" t="str">
        <x:v>2000127116-V114</x:v>
      </x:c>
      <x:c r="C294" s="16" t="str">
        <x:v>ПОДШИПНИК 6315</x:v>
      </x:c>
      <x:c r="D294" s="16" t="str">
        <x:v>Подшипники</x:v>
      </x:c>
      <x:c r="E294" s="16" t="str">
        <x:v>ШТ</x:v>
      </x:c>
      <x:c r="F294" s="21" t="n">
        <x:v>5</x:v>
      </x:c>
      <x:c r="G294" s="17" t="n">
        <x:v>435.5888</x:v>
      </x:c>
      <x:c r="H294" s="17" t="n">
        <x:f>G294*F294</x:f>
        <x:v>2177.944</x:v>
      </x:c>
      <x:c r="I294" s="22" t="str">
        <x:f>HYPERLINK("https://etp-aktiv.ru/catalog/materialy/podshipniki/2000127116-V114/","Открыть позицию")</x:f>
        <x:v>Открыть позицию</x:v>
      </x:c>
    </x:row>
    <x:row r="295" ht="28" customHeight="1">
      <x:c r="A295" s="16" t="str">
        <x:v>Красноярская ТЭЦ-3</x:v>
      </x:c>
      <x:c r="B295" s="16" t="str">
        <x:v>2000116538-V114</x:v>
      </x:c>
      <x:c r="C295" s="16" t="str">
        <x:v>ПОДШИПНИК 70-12315</x:v>
      </x:c>
      <x:c r="D295" s="16" t="str">
        <x:v>Подшипники</x:v>
      </x:c>
      <x:c r="E295" s="16" t="str">
        <x:v>ШТ</x:v>
      </x:c>
      <x:c r="F295" s="21" t="n">
        <x:v>1</x:v>
      </x:c>
      <x:c r="G295" s="17" t="n">
        <x:v>1166.625</x:v>
      </x:c>
      <x:c r="H295" s="17" t="n">
        <x:f>G295*F295</x:f>
        <x:v>1166.625</x:v>
      </x:c>
      <x:c r="I295" s="22" t="str">
        <x:f>HYPERLINK("https://etp-aktiv.ru/catalog/materialy/podshipniki/2000116538-V114/","Открыть позицию")</x:f>
        <x:v>Открыть позицию</x:v>
      </x:c>
    </x:row>
    <x:row r="296" ht="28" customHeight="1">
      <x:c r="A296" s="16" t="str">
        <x:v>Красноярская ТЭЦ-3</x:v>
      </x:c>
      <x:c r="B296" s="16" t="str">
        <x:v>2000248608-V114</x:v>
      </x:c>
      <x:c r="C296" s="16" t="str">
        <x:v>ПОДШИПНИК 70-2228КМ</x:v>
      </x:c>
      <x:c r="D296" s="16" t="str">
        <x:v>Подшипники</x:v>
      </x:c>
      <x:c r="E296" s="16" t="str">
        <x:v>ШТ</x:v>
      </x:c>
      <x:c r="F296" s="21" t="n">
        <x:v>1</x:v>
      </x:c>
      <x:c r="G296" s="17" t="n">
        <x:v>2024.4436</x:v>
      </x:c>
      <x:c r="H296" s="17" t="n">
        <x:f>G296*F296</x:f>
        <x:v>2024.4436</x:v>
      </x:c>
      <x:c r="I296" s="22" t="str">
        <x:f>HYPERLINK("https://etp-aktiv.ru/catalog/materialy/podshipniki/2000248608-V114/","Открыть позицию")</x:f>
        <x:v>Открыть позицию</x:v>
      </x:c>
    </x:row>
    <x:row r="297" ht="28" customHeight="1">
      <x:c r="A297" s="16" t="str">
        <x:v>Красноярская ТЭЦ-3</x:v>
      </x:c>
      <x:c r="B297" s="16" t="str">
        <x:v>2000333814-V114</x:v>
      </x:c>
      <x:c r="C297" s="16" t="str">
        <x:v>ПОДШИПНИК 70-42314</x:v>
      </x:c>
      <x:c r="D297" s="16" t="str">
        <x:v>Подшипники</x:v>
      </x:c>
      <x:c r="E297" s="16" t="str">
        <x:v>ШТ</x:v>
      </x:c>
      <x:c r="F297" s="21" t="n">
        <x:v>1</x:v>
      </x:c>
      <x:c r="G297" s="17" t="n">
        <x:v>754.875</x:v>
      </x:c>
      <x:c r="H297" s="17" t="n">
        <x:f>G297*F297</x:f>
        <x:v>754.875</x:v>
      </x:c>
      <x:c r="I297" s="22" t="str">
        <x:f>HYPERLINK("https://etp-aktiv.ru/catalog/materialy/podshipniki/2000333814-V114/","Открыть позицию")</x:f>
        <x:v>Открыть позицию</x:v>
      </x:c>
    </x:row>
    <x:row r="298" ht="28" customHeight="1">
      <x:c r="A298" s="16" t="str">
        <x:v>Красноярская ТЭЦ-3</x:v>
      </x:c>
      <x:c r="B298" s="16" t="str">
        <x:v>2000116661-V114</x:v>
      </x:c>
      <x:c r="C298" s="16" t="str">
        <x:v>ПОДШИПНИК 70-42415</x:v>
      </x:c>
      <x:c r="D298" s="16" t="str">
        <x:v>Подшипники</x:v>
      </x:c>
      <x:c r="E298" s="16" t="str">
        <x:v>ШТ</x:v>
      </x:c>
      <x:c r="F298" s="21" t="n">
        <x:v>1</x:v>
      </x:c>
      <x:c r="G298" s="17" t="n">
        <x:v>1701.8999999999999</x:v>
      </x:c>
      <x:c r="H298" s="17" t="n">
        <x:f>G298*F298</x:f>
        <x:v>1701.8999999999999</x:v>
      </x:c>
      <x:c r="I298" s="22" t="str">
        <x:f>HYPERLINK("https://etp-aktiv.ru/catalog/materialy/podshipniki/2000116661-V114/","Открыть позицию")</x:f>
        <x:v>Открыть позицию</x:v>
      </x:c>
    </x:row>
    <x:row r="299" ht="28" customHeight="1">
      <x:c r="A299" s="16" t="str">
        <x:v>Красноярская ТЭЦ-3</x:v>
      </x:c>
      <x:c r="B299" s="16" t="str">
        <x:v>2000003802-V114</x:v>
      </x:c>
      <x:c r="C299" s="16" t="str">
        <x:v>ПОДШИПНИК 7203</x:v>
      </x:c>
      <x:c r="D299" s="16" t="str">
        <x:v>Подшипники</x:v>
      </x:c>
      <x:c r="E299" s="16" t="str">
        <x:v>ШТ</x:v>
      </x:c>
      <x:c r="F299" s="21" t="n">
        <x:v>6</x:v>
      </x:c>
      <x:c r="G299" s="17" t="n">
        <x:v>43.139199999999995</x:v>
      </x:c>
      <x:c r="H299" s="17" t="n">
        <x:f>G299*F299</x:f>
        <x:v>258.8352</x:v>
      </x:c>
      <x:c r="I299" s="22" t="str">
        <x:f>HYPERLINK("https://etp-aktiv.ru/catalog/materialy/podshipniki/2000003802-V114/","Открыть позицию")</x:f>
        <x:v>Открыть позицию</x:v>
      </x:c>
    </x:row>
    <x:row r="300" ht="28" customHeight="1">
      <x:c r="A300" s="16" t="str">
        <x:v>Красноярская ТЭЦ-3</x:v>
      </x:c>
      <x:c r="B300" s="16" t="str">
        <x:v>2000116498-V114</x:v>
      </x:c>
      <x:c r="C300" s="16" t="str">
        <x:v>ПОДШИПНИК 7212</x:v>
      </x:c>
      <x:c r="D300" s="16" t="str">
        <x:v>Подшипники</x:v>
      </x:c>
      <x:c r="E300" s="16" t="str">
        <x:v>ШТ</x:v>
      </x:c>
      <x:c r="F300" s="21" t="n">
        <x:v>2</x:v>
      </x:c>
      <x:c r="G300" s="17" t="n">
        <x:v>341.59999999999997</x:v>
      </x:c>
      <x:c r="H300" s="17" t="n">
        <x:f>G300*F300</x:f>
        <x:v>683.1999999999999</x:v>
      </x:c>
      <x:c r="I300" s="22" t="str">
        <x:f>HYPERLINK("https://etp-aktiv.ru/catalog/materialy/podshipniki/2000116498-V114/","Открыть позицию")</x:f>
        <x:v>Открыть позицию</x:v>
      </x:c>
    </x:row>
    <x:row r="301" ht="28" customHeight="1">
      <x:c r="A301" s="16" t="str">
        <x:v>Красноярская ТЭЦ-3</x:v>
      </x:c>
      <x:c r="B301" s="16" t="str">
        <x:v>2000645980-V114</x:v>
      </x:c>
      <x:c r="C301" s="16" t="str">
        <x:v>ПОДШИПНИК 7230КМ</x:v>
      </x:c>
      <x:c r="D301" s="16" t="str">
        <x:v>Подшипники</x:v>
      </x:c>
      <x:c r="E301" s="16" t="str">
        <x:v>ШТ</x:v>
      </x:c>
      <x:c r="F301" s="21" t="n">
        <x:v>1</x:v>
      </x:c>
      <x:c r="G301" s="17" t="n">
        <x:v>2834.2186</x:v>
      </x:c>
      <x:c r="H301" s="17" t="n">
        <x:f>G301*F301</x:f>
        <x:v>2834.2186</x:v>
      </x:c>
      <x:c r="I301" s="22" t="str">
        <x:f>HYPERLINK("https://etp-aktiv.ru/catalog/materialy/podshipniki/2000645980-V114/","Открыть позицию")</x:f>
        <x:v>Открыть позицию</x:v>
      </x:c>
    </x:row>
    <x:row r="302" ht="28" customHeight="1">
      <x:c r="A302" s="16" t="str">
        <x:v>Красноярская ТЭЦ-3</x:v>
      </x:c>
      <x:c r="B302" s="16" t="str">
        <x:v>2000116412-V114</x:v>
      </x:c>
      <x:c r="C302" s="16" t="str">
        <x:v>ПОДШИПНИК 7305</x:v>
      </x:c>
      <x:c r="D302" s="16" t="str">
        <x:v>Подшипники</x:v>
      </x:c>
      <x:c r="E302" s="16" t="str">
        <x:v>ШТ</x:v>
      </x:c>
      <x:c r="F302" s="21" t="n">
        <x:v>1</x:v>
      </x:c>
      <x:c r="G302" s="17" t="n">
        <x:v>84.7534</x:v>
      </x:c>
      <x:c r="H302" s="17" t="n">
        <x:f>G302*F302</x:f>
        <x:v>84.7534</x:v>
      </x:c>
      <x:c r="I302" s="22" t="str">
        <x:f>HYPERLINK("https://etp-aktiv.ru/catalog/materialy/podshipniki/2000116412-V114/","Открыть позицию")</x:f>
        <x:v>Открыть позицию</x:v>
      </x:c>
    </x:row>
    <x:row r="303" ht="28" customHeight="1">
      <x:c r="A303" s="16" t="str">
        <x:v>Красноярская ТЭЦ-3</x:v>
      </x:c>
      <x:c r="B303" s="16" t="str">
        <x:v>2000116444-V114</x:v>
      </x:c>
      <x:c r="C303" s="16" t="str">
        <x:v>ПОДШИПНИК 7506</x:v>
      </x:c>
      <x:c r="D303" s="16" t="str">
        <x:v>Подшипники</x:v>
      </x:c>
      <x:c r="E303" s="16" t="str">
        <x:v>ШТ</x:v>
      </x:c>
      <x:c r="F303" s="21" t="n">
        <x:v>7</x:v>
      </x:c>
      <x:c r="G303" s="17" t="n">
        <x:v>173.362</x:v>
      </x:c>
      <x:c r="H303" s="17" t="n">
        <x:f>G303*F303</x:f>
        <x:v>1213.5339999999999</x:v>
      </x:c>
      <x:c r="I303" s="22" t="str">
        <x:f>HYPERLINK("https://etp-aktiv.ru/catalog/materialy/podshipniki/2000116444-V114/","Открыть позицию")</x:f>
        <x:v>Открыть позицию</x:v>
      </x:c>
    </x:row>
    <x:row r="304" ht="28" customHeight="1">
      <x:c r="A304" s="16" t="str">
        <x:v>Красноярская ТЭЦ-3</x:v>
      </x:c>
      <x:c r="B304" s="16" t="str">
        <x:v>2000116482-V114</x:v>
      </x:c>
      <x:c r="C304" s="16" t="str">
        <x:v>ПОДШИПНИК 7516</x:v>
      </x:c>
      <x:c r="D304" s="16" t="str">
        <x:v>Подшипники</x:v>
      </x:c>
      <x:c r="E304" s="16" t="str">
        <x:v>ШТ</x:v>
      </x:c>
      <x:c r="F304" s="21" t="n">
        <x:v>4</x:v>
      </x:c>
      <x:c r="G304" s="17" t="n">
        <x:v>874.8864</x:v>
      </x:c>
      <x:c r="H304" s="17" t="n">
        <x:f>G304*F304</x:f>
        <x:v>3499.5456</x:v>
      </x:c>
      <x:c r="I304" s="22" t="str">
        <x:f>HYPERLINK("https://etp-aktiv.ru/catalog/materialy/podshipniki/2000116482-V114/","Открыть позицию")</x:f>
        <x:v>Открыть позицию</x:v>
      </x:c>
    </x:row>
    <x:row r="305" ht="28" customHeight="1">
      <x:c r="A305" s="16" t="str">
        <x:v>Красноярская ТЭЦ-3</x:v>
      </x:c>
      <x:c r="B305" s="16" t="str">
        <x:v>2000034671-V114</x:v>
      </x:c>
      <x:c r="C305" s="16" t="str">
        <x:v>ПОДШИПНИК 8117</x:v>
      </x:c>
      <x:c r="D305" s="16" t="str">
        <x:v>Подшипники</x:v>
      </x:c>
      <x:c r="E305" s="16" t="str">
        <x:v>ШТ</x:v>
      </x:c>
      <x:c r="F305" s="21" t="n">
        <x:v>1</x:v>
      </x:c>
      <x:c r="G305" s="17" t="n">
        <x:v>341.59999999999997</x:v>
      </x:c>
      <x:c r="H305" s="17" t="n">
        <x:f>G305*F305</x:f>
        <x:v>341.59999999999997</x:v>
      </x:c>
      <x:c r="I305" s="22" t="str">
        <x:f>HYPERLINK("https://etp-aktiv.ru/catalog/materialy/podshipniki/2000034671-V114/","Открыть позицию")</x:f>
        <x:v>Открыть позицию</x:v>
      </x:c>
    </x:row>
    <x:row r="306" ht="28" customHeight="1">
      <x:c r="A306" s="16" t="str">
        <x:v>Красноярская ТЭЦ-3</x:v>
      </x:c>
      <x:c r="B306" s="16" t="str">
        <x:v>2000449779-V114</x:v>
      </x:c>
      <x:c r="C306" s="16" t="str">
        <x:v>ПОДШИПНИК ШС12</x:v>
      </x:c>
      <x:c r="D306" s="16" t="str">
        <x:v>Подшипники</x:v>
      </x:c>
      <x:c r="E306" s="16" t="str">
        <x:v>ШТ</x:v>
      </x:c>
      <x:c r="F306" s="21" t="n">
        <x:v>14</x:v>
      </x:c>
      <x:c r="G306" s="17" t="n">
        <x:v>57.742599999999996</x:v>
      </x:c>
      <x:c r="H306" s="17" t="n">
        <x:f>G306*F306</x:f>
        <x:v>808.3964</x:v>
      </x:c>
      <x:c r="I306" s="22" t="str">
        <x:f>HYPERLINK("https://etp-aktiv.ru/catalog/materialy/podshipniki/2000449779-V114/","Открыть позицию")</x:f>
        <x:v>Открыть позицию</x:v>
      </x:c>
    </x:row>
    <x:row r="307" ht="28" customHeight="1">
      <x:c r="A307" s="16" t="str">
        <x:v>Красноярская ТЭЦ-3</x:v>
      </x:c>
      <x:c r="B307" s="16" t="str">
        <x:v>2000534458-V114</x:v>
      </x:c>
      <x:c r="C307" s="16" t="str">
        <x:v>ПРОКЛАДКА Н17.183.100.10 ПЭ580-185/195-5</x:v>
      </x:c>
      <x:c r="D307" s="16" t="str">
        <x:v>ЗЧ к энергетич насос</x:v>
      </x:c>
      <x:c r="E307" s="16" t="str">
        <x:v>ШТ</x:v>
      </x:c>
      <x:c r="F307" s="21" t="n">
        <x:v>3</x:v>
      </x:c>
      <x:c r="G307" s="17" t="n">
        <x:v>9292.9718</x:v>
      </x:c>
      <x:c r="H307" s="17" t="n">
        <x:f>G307*F307</x:f>
        <x:v>27878.915399999998</x:v>
      </x:c>
      <x:c r="I307" s="22" t="str">
        <x:f>HYPERLINK("https://etp-aktiv.ru/catalog/materialy/zapasnye-chasti-promyshlennogo-oborudovaniya/2000534458-V114/","Открыть позицию")</x:f>
        <x:v>Открыть позицию</x:v>
      </x:c>
    </x:row>
    <x:row r="308" ht="28" customHeight="1">
      <x:c r="A308" s="16" t="str">
        <x:v>Красноярская ТЭЦ-3</x:v>
      </x:c>
      <x:c r="B308" s="16" t="str">
        <x:v>2000534474-V114</x:v>
      </x:c>
      <x:c r="C308" s="16" t="str">
        <x:v>ПЯТА 0603.40.3141.0001 НАСОСА НАМШ8-25</x:v>
      </x:c>
      <x:c r="D308" s="16" t="str">
        <x:v>ЗЧ к энергетич насос</x:v>
      </x:c>
      <x:c r="E308" s="16" t="str">
        <x:v>ШТ</x:v>
      </x:c>
      <x:c r="F308" s="21" t="n">
        <x:v>4</x:v>
      </x:c>
      <x:c r="G308" s="17" t="n">
        <x:v>930.0548</x:v>
      </x:c>
      <x:c r="H308" s="17" t="n">
        <x:f>G308*F308</x:f>
        <x:v>3720.2192</x:v>
      </x:c>
      <x:c r="I308" s="22" t="str">
        <x:f>HYPERLINK("https://etp-aktiv.ru/catalog/materialy/zapasnye-chasti-promyshlennogo-oborudovaniya/2000534474-V114/","Открыть позицию")</x:f>
        <x:v>Открыть позицию</x:v>
      </x:c>
    </x:row>
    <x:row r="309" ht="28" customHeight="1">
      <x:c r="A309" s="16" t="str">
        <x:v>Красноярская ТЭЦ-3</x:v>
      </x:c>
      <x:c r="B309" s="16" t="str">
        <x:v>2000524661-V114</x:v>
      </x:c>
      <x:c r="C309" s="16" t="str">
        <x:v>УПЛОТНЕНИЕ 8ВК.372.245</x:v>
      </x:c>
      <x:c r="D309" s="16" t="str">
        <x:v>ЗЧ э/двигателей</x:v>
      </x:c>
      <x:c r="E309" s="16" t="str">
        <x:v>ШТ</x:v>
      </x:c>
      <x:c r="F309" s="21" t="n">
        <x:v>10</x:v>
      </x:c>
      <x:c r="G309" s="17" t="n">
        <x:v>1006.5</x:v>
      </x:c>
      <x:c r="H309" s="17" t="n">
        <x:f>G309*F309</x:f>
        <x:v>10065</x:v>
      </x:c>
      <x:c r="I309" s="22" t="str">
        <x:f>HYPERLINK("https://etp-aktiv.ru/catalog/materialy/ehlektrotekhnicheskie-materialy/2000524661-V114/","Открыть позицию")</x:f>
        <x:v>Открыть позицию</x:v>
      </x:c>
    </x:row>
    <x:row r="310" ht="28" customHeight="1">
      <x:c r="A310" s="16" t="str">
        <x:v>Красноярская ТЭЦ-3</x:v>
      </x:c>
      <x:c r="B310" s="16" t="str">
        <x:v>2000778429-V114</x:v>
      </x:c>
      <x:c r="C310" s="16" t="str">
        <x:v>УПОР 2154726</x:v>
      </x:c>
      <x:c r="D310" s="16" t="str">
        <x:v>ЗЧ к гидравлич насос</x:v>
      </x:c>
      <x:c r="E310" s="16" t="str">
        <x:v>ШТ</x:v>
      </x:c>
      <x:c r="F310" s="21" t="n">
        <x:v>2</x:v>
      </x:c>
      <x:c r="G310" s="17" t="n">
        <x:v>8959.68</x:v>
      </x:c>
      <x:c r="H310" s="17" t="n">
        <x:f>G310*F310</x:f>
        <x:v>17919.36</x:v>
      </x:c>
      <x:c r="I310" s="22" t="str">
        <x:f>HYPERLINK("https://etp-aktiv.ru/catalog/materialy/nasosno-kompressornoe-oborudovanie/2000778429-V114/","Открыть позицию")</x:f>
        <x:v>Открыть позицию</x:v>
      </x:c>
    </x:row>
    <x:row r="311" ht="28" customHeight="1">
      <x:c r="A311" s="16" t="str">
        <x:v>Красноярская ТЭЦ-3</x:v>
      </x:c>
      <x:c r="B311" s="16" t="str">
        <x:v>2000264547-V114</x:v>
      </x:c>
      <x:c r="C311" s="16" t="str">
        <x:v>ШАТУН АР33 02-020 СБ</x:v>
      </x:c>
      <x:c r="D311" s="16" t="str">
        <x:v>ЗЧ к энергетич насос</x:v>
      </x:c>
      <x:c r="E311" s="16" t="str">
        <x:v>ШТ</x:v>
      </x:c>
      <x:c r="F311" s="21" t="n">
        <x:v>1</x:v>
      </x:c>
      <x:c r="G311" s="17" t="n">
        <x:v>23659.155</x:v>
      </x:c>
      <x:c r="H311" s="17" t="n">
        <x:f>G311*F311</x:f>
        <x:v>23659.155</x:v>
      </x:c>
      <x:c r="I311" s="22" t="str">
        <x:f>HYPERLINK("https://etp-aktiv.ru/catalog/materialy/zapasnye-chasti-promyshlennogo-oborudovaniya/2000264547-V114/","Открыть позицию")</x:f>
        <x:v>Открыть позицию</x:v>
      </x:c>
    </x:row>
    <x:row r="312" ht="28" customHeight="1">
      <x:c r="A312" s="16" t="str">
        <x:v>Красноярская ТЭЦ-3</x:v>
      </x:c>
      <x:c r="B312" s="16" t="str">
        <x:v>2000778815-V114</x:v>
      </x:c>
      <x:c r="C312" s="16" t="str">
        <x:v>ШПИЛЬКА 1Д Н03.629.00.00.007</x:v>
      </x:c>
      <x:c r="D312" s="16" t="str">
        <x:v>ЗЧ к энергетич насос</x:v>
      </x:c>
      <x:c r="E312" s="16" t="str">
        <x:v>ШТ</x:v>
      </x:c>
      <x:c r="F312" s="21" t="n">
        <x:v>36</x:v>
      </x:c>
      <x:c r="G312" s="17" t="n">
        <x:v>2589.9136</x:v>
      </x:c>
      <x:c r="H312" s="17" t="n">
        <x:f>G312*F312</x:f>
        <x:v>93236.8896</x:v>
      </x:c>
      <x:c r="I312" s="22" t="str">
        <x:f>HYPERLINK("https://etp-aktiv.ru/catalog/materialy/zapasnye-chasti-promyshlennogo-oborudovaniya/2000778815-V114/","Открыть позицию")</x:f>
        <x:v>Открыть позицию</x:v>
      </x:c>
    </x:row>
    <x:row r="313" ht="28" customHeight="1">
      <x:c r="A313" s="16" t="str">
        <x:v>Красноярская теплосеть</x:v>
      </x:c>
      <x:c r="B313" s="16" t="str">
        <x:v>2000539536-V122</x:v>
      </x:c>
      <x:c r="C313" s="16" t="str">
        <x:v>КЛАПАН 15Б3Р DN20 PN16 Р/П МАХОВ МУФТ C</x:v>
      </x:c>
      <x:c r="D313" s="16" t="str">
        <x:v>Армат из медн сплав</x:v>
      </x:c>
      <x:c r="E313" s="16" t="str">
        <x:v>ШТ</x:v>
      </x:c>
      <x:c r="F313" s="21" t="n">
        <x:v>64</x:v>
      </x:c>
      <x:c r="G313" s="17" t="n">
        <x:v>146.4</x:v>
      </x:c>
      <x:c r="H313" s="17" t="n">
        <x:f>G313*F313</x:f>
        <x:v>9369.6</x:v>
      </x:c>
      <x:c r="I313" s="22" t="str">
        <x:f>HYPERLINK("https://etp-aktiv.ru/catalog/materialy/truboprovodnaya-armatura-i-komplektuyushchie/2000539536-V122/","Открыть позицию")</x:f>
        <x:v>Открыть позицию</x:v>
      </x:c>
    </x:row>
    <x:row r="314" ht="28" customHeight="1">
      <x:c r="A314" s="16" t="str">
        <x:v>Красноярская теплосеть</x:v>
      </x:c>
      <x:c r="B314" s="16" t="str">
        <x:v>2000539547-V122</x:v>
      </x:c>
      <x:c r="C314" s="16" t="str">
        <x:v>КЛАПАН 15БЗР 15/16 Б/ПРИВ МАХОВИК МУФТ А</x:v>
      </x:c>
      <x:c r="D314" s="16" t="str">
        <x:v>Армат из медн сплав</x:v>
      </x:c>
      <x:c r="E314" s="16" t="str">
        <x:v>ШТ</x:v>
      </x:c>
      <x:c r="F314" s="21" t="n">
        <x:v>4</x:v>
      </x:c>
      <x:c r="G314" s="17" t="n">
        <x:v>98.82</x:v>
      </x:c>
      <x:c r="H314" s="17" t="n">
        <x:f>G314*F314</x:f>
        <x:v>395.28</x:v>
      </x:c>
      <x:c r="I314" s="22" t="str">
        <x:f>HYPERLINK("https://etp-aktiv.ru/catalog/materialy/truboprovodnaya-armatura-i-komplektuyushchie/2000539547-V122/","Открыть позицию")</x:f>
        <x:v>Открыть позицию</x:v>
      </x:c>
    </x:row>
    <x:row r="315" ht="28" customHeight="1">
      <x:c r="A315" s="16" t="str">
        <x:v>Красноярская теплосеть</x:v>
      </x:c>
      <x:c r="B315" s="16" t="str">
        <x:v>2000539549-V122</x:v>
      </x:c>
      <x:c r="C315" s="16" t="str">
        <x:v>КЛАПАН 15БЗР 25/16 Б/ПРИВ МАХОВИК МУФТ А</x:v>
      </x:c>
      <x:c r="D315" s="16" t="str">
        <x:v>Армат из медн сплав</x:v>
      </x:c>
      <x:c r="E315" s="16" t="str">
        <x:v>ШТ</x:v>
      </x:c>
      <x:c r="F315" s="21" t="n">
        <x:v>5</x:v>
      </x:c>
      <x:c r="G315" s="17" t="n">
        <x:v>68.92999999999999</x:v>
      </x:c>
      <x:c r="H315" s="17" t="n">
        <x:f>G315*F315</x:f>
        <x:v>344.65</x:v>
      </x:c>
      <x:c r="I315" s="22" t="str">
        <x:f>HYPERLINK("https://etp-aktiv.ru/catalog/materialy/truboprovodnaya-armatura-i-komplektuyushchie/2000539549-V122/","Открыть позицию")</x:f>
        <x:v>Открыть позицию</x:v>
      </x:c>
    </x:row>
    <x:row r="316" ht="28" customHeight="1">
      <x:c r="A316" s="16" t="str">
        <x:v>Красноярская теплосеть</x:v>
      </x:c>
      <x:c r="B316" s="16" t="str">
        <x:v>2000539548-V122</x:v>
      </x:c>
      <x:c r="C316" s="16" t="str">
        <x:v>КЛАПАН 15БЗР DN20 PN16 Б/ПР МАХОВ МУФТ А</x:v>
      </x:c>
      <x:c r="D316" s="16" t="str">
        <x:v>Армат из медн сплав</x:v>
      </x:c>
      <x:c r="E316" s="16" t="str">
        <x:v>ШТ</x:v>
      </x:c>
      <x:c r="F316" s="21" t="n">
        <x:v>55</x:v>
      </x:c>
      <x:c r="G316" s="17" t="n">
        <x:v>121.1948</x:v>
      </x:c>
      <x:c r="H316" s="17" t="n">
        <x:f>G316*F316</x:f>
        <x:v>6665.714</x:v>
      </x:c>
      <x:c r="I316" s="22" t="str">
        <x:f>HYPERLINK("https://etp-aktiv.ru/catalog/materialy/truboprovodnaya-armatura-i-komplektuyushchie/2000539548-V122/","Открыть позицию")</x:f>
        <x:v>Открыть позицию</x:v>
      </x:c>
    </x:row>
    <x:row r="317" ht="28" customHeight="1">
      <x:c r="A317" s="16" t="str">
        <x:v>Красноярская теплосеть</x:v>
      </x:c>
      <x:c r="B317" s="16" t="str">
        <x:v>2000115157-V122</x:v>
      </x:c>
      <x:c r="C317" s="16" t="str">
        <x:v>ПОДШИПНИК 180503</x:v>
      </x:c>
      <x:c r="D317" s="16" t="str">
        <x:v>Подшипники</x:v>
      </x:c>
      <x:c r="E317" s="16" t="str">
        <x:v>ШТ</x:v>
      </x:c>
      <x:c r="F317" s="21" t="n">
        <x:v>8</x:v>
      </x:c>
      <x:c r="G317" s="17" t="n">
        <x:v>22.423599999999997</x:v>
      </x:c>
      <x:c r="H317" s="17" t="n">
        <x:f>G317*F317</x:f>
        <x:v>179.38879999999997</x:v>
      </x:c>
      <x:c r="I317" s="22" t="str">
        <x:f>HYPERLINK("https://etp-aktiv.ru/catalog/materialy/podshipniki/2000115157-V122/","Открыть позицию")</x:f>
        <x:v>Открыть позицию</x:v>
      </x:c>
    </x:row>
    <x:row r="318" ht="28" customHeight="1">
      <x:c r="A318" s="16" t="str">
        <x:v>Красноярская теплосеть</x:v>
      </x:c>
      <x:c r="B318" s="16" t="str">
        <x:v>2000116546-V122</x:v>
      </x:c>
      <x:c r="C318" s="16" t="str">
        <x:v>ПОДШИПНИК 180612</x:v>
      </x:c>
      <x:c r="D318" s="16" t="str">
        <x:v>Подшипники</x:v>
      </x:c>
      <x:c r="E318" s="16" t="str">
        <x:v>ШТ</x:v>
      </x:c>
      <x:c r="F318" s="21" t="n">
        <x:v>8</x:v>
      </x:c>
      <x:c r="G318" s="17" t="n">
        <x:v>385.67859999999996</x:v>
      </x:c>
      <x:c r="H318" s="17" t="n">
        <x:f>G318*F318</x:f>
        <x:v>3085.4287999999997</x:v>
      </x:c>
      <x:c r="I318" s="22" t="str">
        <x:f>HYPERLINK("https://etp-aktiv.ru/catalog/materialy/podshipniki/2000116546-V122/","Открыть позицию")</x:f>
        <x:v>Открыть позицию</x:v>
      </x:c>
    </x:row>
    <x:row r="319" ht="28" customHeight="1">
      <x:c r="A319" s="16" t="str">
        <x:v>Красноярская теплосеть</x:v>
      </x:c>
      <x:c r="B319" s="16" t="str">
        <x:v>2000116446-V122</x:v>
      </x:c>
      <x:c r="C319" s="16" t="str">
        <x:v>ПОДШИПНИК 50706</x:v>
      </x:c>
      <x:c r="D319" s="16" t="str">
        <x:v>Подшипники</x:v>
      </x:c>
      <x:c r="E319" s="16" t="str">
        <x:v>ШТ</x:v>
      </x:c>
      <x:c r="F319" s="21" t="n">
        <x:v>2</x:v>
      </x:c>
      <x:c r="G319" s="17" t="n">
        <x:v>204.21579999999997</x:v>
      </x:c>
      <x:c r="H319" s="17" t="n">
        <x:f>G319*F319</x:f>
        <x:v>408.43159999999995</x:v>
      </x:c>
      <x:c r="I319" s="22" t="str">
        <x:f>HYPERLINK("https://etp-aktiv.ru/catalog/materialy/podshipniki/2000116446-V122/","Открыть позицию")</x:f>
        <x:v>Открыть позицию</x:v>
      </x:c>
    </x:row>
    <x:row r="320" ht="28" customHeight="1">
      <x:c r="A320" s="16" t="str">
        <x:v>Красноярская теплосеть</x:v>
      </x:c>
      <x:c r="B320" s="16" t="str">
        <x:v>2000115342-V122</x:v>
      </x:c>
      <x:c r="C320" s="16" t="str">
        <x:v>ПОДШИПНИК 7517</x:v>
      </x:c>
      <x:c r="D320" s="16" t="str">
        <x:v>Подшипники</x:v>
      </x:c>
      <x:c r="E320" s="16" t="str">
        <x:v>ШТ</x:v>
      </x:c>
      <x:c r="F320" s="21" t="n">
        <x:v>2</x:v>
      </x:c>
      <x:c r="G320" s="17" t="n">
        <x:v>326.82579999999996</x:v>
      </x:c>
      <x:c r="H320" s="17" t="n">
        <x:f>G320*F320</x:f>
        <x:v>653.6515999999999</x:v>
      </x:c>
      <x:c r="I320" s="22" t="str">
        <x:f>HYPERLINK("https://etp-aktiv.ru/catalog/materialy/podshipniki/2000115342-V122/","Открыть позицию")</x:f>
        <x:v>Открыть позицию</x:v>
      </x:c>
    </x:row>
    <x:row r="321" ht="28" customHeight="1">
      <x:c r="A321" s="16" t="str">
        <x:v>Красноярская теплосеть</x:v>
      </x:c>
      <x:c r="B321" s="16" t="str">
        <x:v>2000116552-V122</x:v>
      </x:c>
      <x:c r="C321" s="16" t="str">
        <x:v>ПОДШИПНИК 7614</x:v>
      </x:c>
      <x:c r="D321" s="16" t="str">
        <x:v>Подшипники</x:v>
      </x:c>
      <x:c r="E321" s="16" t="str">
        <x:v>ШТ</x:v>
      </x:c>
      <x:c r="F321" s="21" t="n">
        <x:v>2</x:v>
      </x:c>
      <x:c r="G321" s="17" t="n">
        <x:v>649.162</x:v>
      </x:c>
      <x:c r="H321" s="17" t="n">
        <x:f>G321*F321</x:f>
        <x:v>1298.324</x:v>
      </x:c>
      <x:c r="I321" s="22" t="str">
        <x:f>HYPERLINK("https://etp-aktiv.ru/catalog/materialy/podshipniki/2000116552-V122/","Открыть позицию")</x:f>
        <x:v>Открыть позицию</x:v>
      </x:c>
    </x:row>
    <x:row r="322" ht="28" customHeight="1">
      <x:c r="A322" s="16" t="str">
        <x:v>Минусинская ТЭЦ</x:v>
      </x:c>
      <x:c r="B322" s="16" t="str">
        <x:v>2000533484-V112</x:v>
      </x:c>
      <x:c r="C322" s="16" t="str">
        <x:v>ВТУЛКА Г-29649 НАСОСА Д12500-24</x:v>
      </x:c>
      <x:c r="D322" s="16" t="str">
        <x:v>ЗЧ к энергетич насос</x:v>
      </x:c>
      <x:c r="E322" s="16" t="str">
        <x:v>ШТ</x:v>
      </x:c>
      <x:c r="F322" s="21" t="n">
        <x:v>2</x:v>
      </x:c>
      <x:c r="G322" s="17" t="n">
        <x:v>20381.625</x:v>
      </x:c>
      <x:c r="H322" s="17" t="n">
        <x:f>G322*F322</x:f>
        <x:v>40763.25</x:v>
      </x:c>
      <x:c r="I322" s="22" t="str">
        <x:f>HYPERLINK("https://etp-aktiv.ru/catalog/materialy/zapasnye-chasti-promyshlennogo-oborudovaniya/2000533484-V112/","Открыть позицию")</x:f>
        <x:v>Открыть позицию</x:v>
      </x:c>
    </x:row>
    <x:row r="323" ht="28" customHeight="1">
      <x:c r="A323" s="16" t="str">
        <x:v>Минусинская ТЭЦ</x:v>
      </x:c>
      <x:c r="B323" s="16" t="str">
        <x:v>2000217210-V112</x:v>
      </x:c>
      <x:c r="C323" s="16" t="str">
        <x:v>ГОЛОВКА МУФТОВАЯ ГМ-50</x:v>
      </x:c>
      <x:c r="D323" s="16" t="str">
        <x:v>ЗЧ противопож оборуд</x:v>
      </x:c>
      <x:c r="E323" s="16" t="str">
        <x:v>ШТ</x:v>
      </x:c>
      <x:c r="F323" s="21" t="n">
        <x:v>5</x:v>
      </x:c>
      <x:c r="G323" s="17" t="n">
        <x:v>63.623</x:v>
      </x:c>
      <x:c r="H323" s="17" t="n">
        <x:f>G323*F323</x:f>
        <x:v>318.115</x:v>
      </x:c>
      <x:c r="I323" s="22" t="str">
        <x:f>HYPERLINK("https://etp-aktiv.ru/catalog/materialy/protivopozharnye-materialy/2000217210-V112/","Открыть позицию")</x:f>
        <x:v>Открыть позицию</x:v>
      </x:c>
    </x:row>
    <x:row r="324" ht="28" customHeight="1">
      <x:c r="A324" s="16" t="str">
        <x:v>Минусинская ТЭЦ</x:v>
      </x:c>
      <x:c r="B324" s="16" t="str">
        <x:v>2000326490-V112</x:v>
      </x:c>
      <x:c r="C324" s="16" t="str">
        <x:v>ЗУБИЛО 14*22*250 SDS+ 70301</x:v>
      </x:c>
      <x:c r="D324" s="16" t="str">
        <x:v>Инструмент и спецосн</x:v>
      </x:c>
      <x:c r="E324" s="16" t="str">
        <x:v>ШТ</x:v>
      </x:c>
      <x:c r="F324" s="21" t="n">
        <x:v>2</x:v>
      </x:c>
      <x:c r="G324" s="17" t="n">
        <x:v>135.7006</x:v>
      </x:c>
      <x:c r="H324" s="17" t="n">
        <x:f>G324*F324</x:f>
        <x:v>271.4012</x:v>
      </x:c>
      <x:c r="I324" s="22" t="str">
        <x:f>HYPERLINK("https://etp-aktiv.ru/catalog/materialy/instrument-i-specosnastka/2000326490-V112/","Открыть позицию")</x:f>
        <x:v>Открыть позицию</x:v>
      </x:c>
    </x:row>
    <x:row r="325" ht="28" customHeight="1">
      <x:c r="A325" s="16" t="str">
        <x:v>Минусинская ТЭЦ</x:v>
      </x:c>
      <x:c r="B325" s="16" t="str">
        <x:v>2000159312-V112</x:v>
      </x:c>
      <x:c r="C325" s="16" t="str">
        <x:v>КИСТЬ МАКЛОВИЦА 52*140ММ 84084</x:v>
      </x:c>
      <x:c r="D325" s="16" t="str">
        <x:v>Инструмент и спецосн</x:v>
      </x:c>
      <x:c r="E325" s="16" t="str">
        <x:v>ШТ</x:v>
      </x:c>
      <x:c r="F325" s="21" t="n">
        <x:v>20</x:v>
      </x:c>
      <x:c r="G325" s="17" t="n">
        <x:v>14.2618</x:v>
      </x:c>
      <x:c r="H325" s="17" t="n">
        <x:f>G325*F325</x:f>
        <x:v>285.236</x:v>
      </x:c>
      <x:c r="I325" s="22" t="str">
        <x:f>HYPERLINK("https://etp-aktiv.ru/catalog/materialy/instrument-i-specosnastka/2000159312-V112/","Открыть позицию")</x:f>
        <x:v>Открыть позицию</x:v>
      </x:c>
    </x:row>
    <x:row r="326" ht="28" customHeight="1">
      <x:c r="A326" s="16" t="str">
        <x:v>Минусинская ТЭЦ</x:v>
      </x:c>
      <x:c r="B326" s="16" t="str">
        <x:v>2000539530-V112</x:v>
      </x:c>
      <x:c r="C326" s="16" t="str">
        <x:v>КЛАПАН 15Б1П DN50 PN16 Б/ПР МАХОВ МУФТ А</x:v>
      </x:c>
      <x:c r="D326" s="16" t="str">
        <x:v>Армат из медн сплав</x:v>
      </x:c>
      <x:c r="E326" s="16" t="str">
        <x:v>ШТ</x:v>
      </x:c>
      <x:c r="F326" s="21" t="n">
        <x:v>12</x:v>
      </x:c>
      <x:c r="G326" s="17" t="n">
        <x:v>1098</x:v>
      </x:c>
      <x:c r="H326" s="17" t="n">
        <x:f>G326*F326</x:f>
        <x:v>13176</x:v>
      </x:c>
      <x:c r="I326" s="22" t="str">
        <x:f>HYPERLINK("https://etp-aktiv.ru/catalog/materialy/truboprovodnaya-armatura-i-komplektuyushchie/2000539530-V112/","Открыть позицию")</x:f>
        <x:v>Открыть позицию</x:v>
      </x:c>
    </x:row>
    <x:row r="327" ht="28" customHeight="1">
      <x:c r="A327" s="16" t="str">
        <x:v>Минусинская ТЭЦ</x:v>
      </x:c>
      <x:c r="B327" s="16" t="str">
        <x:v>2000539557-V112</x:v>
      </x:c>
      <x:c r="C327" s="16" t="str">
        <x:v>КЛАПАН 15КЧ18П DN25 PN16 Р/П МУФТ А</x:v>
      </x:c>
      <x:c r="D327" s="16" t="str">
        <x:v>ЧугунАрмат (кр.затв)</x:v>
      </x:c>
      <x:c r="E327" s="16" t="str">
        <x:v>ШТ</x:v>
      </x:c>
      <x:c r="F327" s="21" t="n">
        <x:v>3</x:v>
      </x:c>
      <x:c r="G327" s="17" t="n">
        <x:v>268.0828</x:v>
      </x:c>
      <x:c r="H327" s="17" t="n">
        <x:f>G327*F327</x:f>
        <x:v>804.2484000000001</x:v>
      </x:c>
      <x:c r="I327" s="22" t="str">
        <x:f>HYPERLINK("https://etp-aktiv.ru/catalog/materialy/truboprovodnaya-armatura-i-komplektuyushchie/2000539557-V112/","Открыть позицию")</x:f>
        <x:v>Открыть позицию</x:v>
      </x:c>
    </x:row>
    <x:row r="328" ht="28" customHeight="1">
      <x:c r="A328" s="16" t="str">
        <x:v>Минусинская ТЭЦ</x:v>
      </x:c>
      <x:c r="B328" s="16" t="str">
        <x:v>2000544123-V112</x:v>
      </x:c>
      <x:c r="C328" s="16" t="str">
        <x:v>КРУГ ЗАЧИСТНОЙ 1 125*6,0*22 14А BF 2 МЕТ</x:v>
      </x:c>
      <x:c r="D328" s="16" t="str">
        <x:v>Инструмент и спецосн</x:v>
      </x:c>
      <x:c r="E328" s="16" t="str">
        <x:v>ШТ</x:v>
      </x:c>
      <x:c r="F328" s="21" t="n">
        <x:v>28</x:v>
      </x:c>
      <x:c r="G328" s="17" t="n">
        <x:v>41.8826</x:v>
      </x:c>
      <x:c r="H328" s="17" t="n">
        <x:f>G328*F328</x:f>
        <x:v>1172.7127999999998</x:v>
      </x:c>
      <x:c r="I328" s="22" t="str">
        <x:f>HYPERLINK("https://etp-aktiv.ru/catalog/materialy/instrument-i-specosnastka/2000544123-V112/","Открыть позицию")</x:f>
        <x:v>Открыть позицию</x:v>
      </x:c>
    </x:row>
    <x:row r="329" ht="28" customHeight="1">
      <x:c r="A329" s="16" t="str">
        <x:v>Минусинская ТЭЦ</x:v>
      </x:c>
      <x:c r="B329" s="16" t="str">
        <x:v>2000544145-V112</x:v>
      </x:c>
      <x:c r="C329" s="16" t="str">
        <x:v>КРУГ ШЛИФОВАЛЬНЫЙ 125*6*22,2 A24 R BF</x:v>
      </x:c>
      <x:c r="D329" s="16" t="str">
        <x:v>Инструмент и спецосн</x:v>
      </x:c>
      <x:c r="E329" s="16" t="str">
        <x:v>ШТ</x:v>
      </x:c>
      <x:c r="F329" s="21" t="n">
        <x:v>400</x:v>
      </x:c>
      <x:c r="G329" s="17" t="n">
        <x:v>35.38</x:v>
      </x:c>
      <x:c r="H329" s="17" t="n">
        <x:f>G329*F329</x:f>
        <x:v>14152.000000000002</x:v>
      </x:c>
      <x:c r="I329" s="22" t="str">
        <x:f>HYPERLINK("https://etp-aktiv.ru/catalog/materialy/instrument-i-specosnastka/2000544145-V112/","Открыть позицию")</x:f>
        <x:v>Открыть позицию</x:v>
      </x:c>
    </x:row>
    <x:row r="330" ht="28" customHeight="1">
      <x:c r="A330" s="16" t="str">
        <x:v>Минусинская ТЭЦ</x:v>
      </x:c>
      <x:c r="B330" s="16" t="str">
        <x:v>2000544063-V112</x:v>
      </x:c>
      <x:c r="C330" s="16" t="str">
        <x:v>КРУГ ШЛИФОВАЛЬНЫЙ КЛТ1 125*22 14А А60</x:v>
      </x:c>
      <x:c r="D330" s="16" t="str">
        <x:v>Инструмент и спецосн</x:v>
      </x:c>
      <x:c r="E330" s="16" t="str">
        <x:v>ШТ</x:v>
      </x:c>
      <x:c r="F330" s="21" t="n">
        <x:v>210</x:v>
      </x:c>
      <x:c r="G330" s="17" t="n">
        <x:v>42.004599999999996</x:v>
      </x:c>
      <x:c r="H330" s="17" t="n">
        <x:f>G330*F330</x:f>
        <x:v>8820.965999999999</x:v>
      </x:c>
      <x:c r="I330" s="22" t="str">
        <x:f>HYPERLINK("https://etp-aktiv.ru/catalog/materialy/instrument-i-specosnastka/2000544063-V112/","Открыть позицию")</x:f>
        <x:v>Открыть позицию</x:v>
      </x:c>
    </x:row>
    <x:row r="331" ht="28" customHeight="1">
      <x:c r="A331" s="16" t="str">
        <x:v>Минусинская ТЭЦ</x:v>
      </x:c>
      <x:c r="B331" s="16" t="str">
        <x:v>2000645251-V112</x:v>
      </x:c>
      <x:c r="C331" s="16" t="str">
        <x:v>НАКЛАДКА 430044</x:v>
      </x:c>
      <x:c r="D331" s="16" t="str">
        <x:v>ЗЧ грузоподъемн обор</x:v>
      </x:c>
      <x:c r="E331" s="16" t="str">
        <x:v>ШТ</x:v>
      </x:c>
      <x:c r="F331" s="21" t="n">
        <x:v>1</x:v>
      </x:c>
      <x:c r="G331" s="17" t="n">
        <x:v>5599.8</x:v>
      </x:c>
      <x:c r="H331" s="17" t="n">
        <x:f>G331*F331</x:f>
        <x:v>5599.8</x:v>
      </x:c>
      <x:c r="I331" s="22" t="str">
        <x:f>HYPERLINK("https://etp-aktiv.ru/catalog/materialy/zapasnye-chasti-k-gruzopodemnoj-tekhnike-oborudovaniyu-i-mekhanizmam/2000645251-V112/","Открыть позицию")</x:f>
        <x:v>Открыть позицию</x:v>
      </x:c>
    </x:row>
    <x:row r="332" ht="28" customHeight="1">
      <x:c r="A332" s="16" t="str">
        <x:v>Минусинская ТЭЦ</x:v>
      </x:c>
      <x:c r="B332" s="16" t="str">
        <x:v>2000004841-V112</x:v>
      </x:c>
      <x:c r="C332" s="16" t="str">
        <x:v>ПОДШИПНИК 111</x:v>
      </x:c>
      <x:c r="D332" s="16" t="str">
        <x:v>Подшипники</x:v>
      </x:c>
      <x:c r="E332" s="16" t="str">
        <x:v>ШТ</x:v>
      </x:c>
      <x:c r="F332" s="21" t="n">
        <x:v>2</x:v>
      </x:c>
      <x:c r="G332" s="17" t="n">
        <x:v>129.25900000000001</x:v>
      </x:c>
      <x:c r="H332" s="17" t="n">
        <x:f>G332*F332</x:f>
        <x:v>258.51800000000003</x:v>
      </x:c>
      <x:c r="I332" s="22" t="str">
        <x:f>HYPERLINK("https://etp-aktiv.ru/catalog/materialy/podshipniki/2000004841-V112/","Открыть позицию")</x:f>
        <x:v>Открыть позицию</x:v>
      </x:c>
    </x:row>
    <x:row r="333" ht="28" customHeight="1">
      <x:c r="A333" s="16" t="str">
        <x:v>Минусинская ТЭЦ</x:v>
      </x:c>
      <x:c r="B333" s="16" t="str">
        <x:v>2000127130-V112</x:v>
      </x:c>
      <x:c r="C333" s="16" t="str">
        <x:v>ПОДШИПНИК 114</x:v>
      </x:c>
      <x:c r="D333" s="16" t="str">
        <x:v>Подшипники</x:v>
      </x:c>
      <x:c r="E333" s="16" t="str">
        <x:v>ШТ</x:v>
      </x:c>
      <x:c r="F333" s="21" t="n">
        <x:v>2</x:v>
      </x:c>
      <x:c r="G333" s="17" t="n">
        <x:v>122.8296</x:v>
      </x:c>
      <x:c r="H333" s="17" t="n">
        <x:f>G333*F333</x:f>
        <x:v>245.6592</x:v>
      </x:c>
      <x:c r="I333" s="22" t="str">
        <x:f>HYPERLINK("https://etp-aktiv.ru/catalog/materialy/podshipniki/2000127130-V112/","Открыть позицию")</x:f>
        <x:v>Открыть позицию</x:v>
      </x:c>
    </x:row>
    <x:row r="334" ht="28" customHeight="1">
      <x:c r="A334" s="16" t="str">
        <x:v>Минусинская ТЭЦ</x:v>
      </x:c>
      <x:c r="B334" s="16" t="str">
        <x:v>2000034263-V112</x:v>
      </x:c>
      <x:c r="C334" s="16" t="str">
        <x:v>ПОДШИПНИК 121</x:v>
      </x:c>
      <x:c r="D334" s="16" t="str">
        <x:v>Подшипники</x:v>
      </x:c>
      <x:c r="E334" s="16" t="str">
        <x:v>ШТ</x:v>
      </x:c>
      <x:c r="F334" s="21" t="n">
        <x:v>2</x:v>
      </x:c>
      <x:c r="G334" s="17" t="n">
        <x:v>284.1868</x:v>
      </x:c>
      <x:c r="H334" s="17" t="n">
        <x:f>G334*F334</x:f>
        <x:v>568.3736</x:v>
      </x:c>
      <x:c r="I334" s="22" t="str">
        <x:f>HYPERLINK("https://etp-aktiv.ru/catalog/materialy/podshipniki/2000034263-V112/","Открыть позицию")</x:f>
        <x:v>Открыть позицию</x:v>
      </x:c>
    </x:row>
    <x:row r="335" ht="28" customHeight="1">
      <x:c r="A335" s="16" t="str">
        <x:v>Минусинская ТЭЦ</x:v>
      </x:c>
      <x:c r="B335" s="16" t="str">
        <x:v>2000556557-V112</x:v>
      </x:c>
      <x:c r="C335" s="16" t="str">
        <x:v>ПОДШИПНИК 176218</x:v>
      </x:c>
      <x:c r="D335" s="16" t="str">
        <x:v>Подшипники</x:v>
      </x:c>
      <x:c r="E335" s="16" t="str">
        <x:v>ШТ</x:v>
      </x:c>
      <x:c r="F335" s="21" t="n">
        <x:v>2</x:v>
      </x:c>
      <x:c r="G335" s="17" t="n">
        <x:v>1383.6141999999998</x:v>
      </x:c>
      <x:c r="H335" s="17" t="n">
        <x:f>G335*F335</x:f>
        <x:v>2767.2283999999995</x:v>
      </x:c>
      <x:c r="I335" s="22" t="str">
        <x:f>HYPERLINK("https://etp-aktiv.ru/catalog/materialy/podshipniki/2000556557-V112/","Открыть позицию")</x:f>
        <x:v>Открыть позицию</x:v>
      </x:c>
    </x:row>
    <x:row r="336" ht="28" customHeight="1">
      <x:c r="A336" s="16" t="str">
        <x:v>Минусинская ТЭЦ</x:v>
      </x:c>
      <x:c r="B336" s="16" t="str">
        <x:v>2000116319-V112</x:v>
      </x:c>
      <x:c r="C336" s="16" t="str">
        <x:v>ПОДШИПНИК 180204</x:v>
      </x:c>
      <x:c r="D336" s="16" t="str">
        <x:v>Подшипники</x:v>
      </x:c>
      <x:c r="E336" s="16" t="str">
        <x:v>ШТ</x:v>
      </x:c>
      <x:c r="F336" s="21" t="n">
        <x:v>6</x:v>
      </x:c>
      <x:c r="G336" s="17" t="n">
        <x:v>21.106</x:v>
      </x:c>
      <x:c r="H336" s="17" t="n">
        <x:f>G336*F336</x:f>
        <x:v>126.63600000000001</x:v>
      </x:c>
      <x:c r="I336" s="22" t="str">
        <x:f>HYPERLINK("https://etp-aktiv.ru/catalog/materialy/podshipniki/2000116319-V112/","Открыть позицию")</x:f>
        <x:v>Открыть позицию</x:v>
      </x:c>
    </x:row>
    <x:row r="337" ht="28" customHeight="1">
      <x:c r="A337" s="16" t="str">
        <x:v>Минусинская ТЭЦ</x:v>
      </x:c>
      <x:c r="B337" s="16" t="str">
        <x:v>2000127006-V112</x:v>
      </x:c>
      <x:c r="C337" s="16" t="str">
        <x:v>ПОДШИПНИК 201</x:v>
      </x:c>
      <x:c r="D337" s="16" t="str">
        <x:v>Подшипники</x:v>
      </x:c>
      <x:c r="E337" s="16" t="str">
        <x:v>ШТ</x:v>
      </x:c>
      <x:c r="F337" s="21" t="n">
        <x:v>1</x:v>
      </x:c>
      <x:c r="G337" s="17" t="n">
        <x:v>12.017</x:v>
      </x:c>
      <x:c r="H337" s="17" t="n">
        <x:f>G337*F337</x:f>
        <x:v>12.017</x:v>
      </x:c>
      <x:c r="I337" s="22" t="str">
        <x:f>HYPERLINK("https://etp-aktiv.ru/catalog/materialy/podshipniki/2000127006-V112/","Открыть позицию")</x:f>
        <x:v>Открыть позицию</x:v>
      </x:c>
    </x:row>
    <x:row r="338" ht="28" customHeight="1">
      <x:c r="A338" s="16" t="str">
        <x:v>Минусинская ТЭЦ</x:v>
      </x:c>
      <x:c r="B338" s="16" t="str">
        <x:v>2000116336-V112</x:v>
      </x:c>
      <x:c r="C338" s="16" t="str">
        <x:v>ПОДШИПНИК 207</x:v>
      </x:c>
      <x:c r="D338" s="16" t="str">
        <x:v>Подшипники</x:v>
      </x:c>
      <x:c r="E338" s="16" t="str">
        <x:v>ШТ</x:v>
      </x:c>
      <x:c r="F338" s="21" t="n">
        <x:v>2</x:v>
      </x:c>
      <x:c r="G338" s="17" t="n">
        <x:v>57.6816</x:v>
      </x:c>
      <x:c r="H338" s="17" t="n">
        <x:f>G338*F338</x:f>
        <x:v>115.3632</x:v>
      </x:c>
      <x:c r="I338" s="22" t="str">
        <x:f>HYPERLINK("https://etp-aktiv.ru/catalog/materialy/podshipniki/2000116336-V112/","Открыть позицию")</x:f>
        <x:v>Открыть позицию</x:v>
      </x:c>
    </x:row>
    <x:row r="339" ht="28" customHeight="1">
      <x:c r="A339" s="16" t="str">
        <x:v>Минусинская ТЭЦ</x:v>
      </x:c>
      <x:c r="B339" s="16" t="str">
        <x:v>2000116374-V112</x:v>
      </x:c>
      <x:c r="C339" s="16" t="str">
        <x:v>ПОДШИПНИК 211</x:v>
      </x:c>
      <x:c r="D339" s="16" t="str">
        <x:v>Подшипники</x:v>
      </x:c>
      <x:c r="E339" s="16" t="str">
        <x:v>ШТ</x:v>
      </x:c>
      <x:c r="F339" s="21" t="n">
        <x:v>4</x:v>
      </x:c>
      <x:c r="G339" s="17" t="n">
        <x:v>132.62619999999998</x:v>
      </x:c>
      <x:c r="H339" s="17" t="n">
        <x:f>G339*F339</x:f>
        <x:v>530.5047999999999</x:v>
      </x:c>
      <x:c r="I339" s="22" t="str">
        <x:f>HYPERLINK("https://etp-aktiv.ru/catalog/materialy/podshipniki/2000116374-V112/","Открыть позицию")</x:f>
        <x:v>Открыть позицию</x:v>
      </x:c>
    </x:row>
    <x:row r="340" ht="28" customHeight="1">
      <x:c r="A340" s="16" t="str">
        <x:v>Минусинская ТЭЦ</x:v>
      </x:c>
      <x:c r="B340" s="16" t="str">
        <x:v>2000176854-V112</x:v>
      </x:c>
      <x:c r="C340" s="16" t="str">
        <x:v>ПОДШИПНИК 2311К</x:v>
      </x:c>
      <x:c r="D340" s="16" t="str">
        <x:v>Подшипники</x:v>
      </x:c>
      <x:c r="E340" s="16" t="str">
        <x:v>ШТ</x:v>
      </x:c>
      <x:c r="F340" s="21" t="n">
        <x:v>2</x:v>
      </x:c>
      <x:c r="G340" s="17" t="n">
        <x:v>629.0686</x:v>
      </x:c>
      <x:c r="H340" s="17" t="n">
        <x:f>G340*F340</x:f>
        <x:v>1258.1372</x:v>
      </x:c>
      <x:c r="I340" s="22" t="str">
        <x:f>HYPERLINK("https://etp-aktiv.ru/catalog/materialy/podshipniki/2000176854-V112/","Открыть позицию")</x:f>
        <x:v>Открыть позицию</x:v>
      </x:c>
    </x:row>
    <x:row r="341" ht="28" customHeight="1">
      <x:c r="A341" s="16" t="str">
        <x:v>Минусинская ТЭЦ</x:v>
      </x:c>
      <x:c r="B341" s="16" t="str">
        <x:v>2000116604-V112</x:v>
      </x:c>
      <x:c r="C341" s="16" t="str">
        <x:v>ПОДШИПНИК 3612</x:v>
      </x:c>
      <x:c r="D341" s="16" t="str">
        <x:v>Подшипники</x:v>
      </x:c>
      <x:c r="E341" s="16" t="str">
        <x:v>ШТ</x:v>
      </x:c>
      <x:c r="F341" s="21" t="n">
        <x:v>16</x:v>
      </x:c>
      <x:c r="G341" s="17" t="n">
        <x:v>776.7008</x:v>
      </x:c>
      <x:c r="H341" s="17" t="n">
        <x:f>G341*F341</x:f>
        <x:v>12427.2128</x:v>
      </x:c>
      <x:c r="I341" s="22" t="str">
        <x:f>HYPERLINK("https://etp-aktiv.ru/catalog/materialy/podshipniki/2000116604-V112/","Открыть позицию")</x:f>
        <x:v>Открыть позицию</x:v>
      </x:c>
    </x:row>
    <x:row r="342" ht="28" customHeight="1">
      <x:c r="A342" s="16" t="str">
        <x:v>Минусинская ТЭЦ</x:v>
      </x:c>
      <x:c r="B342" s="16" t="str">
        <x:v>2000072979-V112</x:v>
      </x:c>
      <x:c r="C342" s="16" t="str">
        <x:v>ПОДШИПНИК 402611 КМ ГОСТ520-89</x:v>
      </x:c>
      <x:c r="D342" s="16" t="str">
        <x:v>Подшипники</x:v>
      </x:c>
      <x:c r="E342" s="16" t="str">
        <x:v>ШТ</x:v>
      </x:c>
      <x:c r="F342" s="21" t="n">
        <x:v>1</x:v>
      </x:c>
      <x:c r="G342" s="17" t="n">
        <x:v>621.0532</x:v>
      </x:c>
      <x:c r="H342" s="17" t="n">
        <x:f>G342*F342</x:f>
        <x:v>621.0532</x:v>
      </x:c>
      <x:c r="I342" s="22" t="str">
        <x:f>HYPERLINK("https://etp-aktiv.ru/catalog/materialy/podshipniki/2000072979-V112/","Открыть позицию")</x:f>
        <x:v>Открыть позицию</x:v>
      </x:c>
    </x:row>
    <x:row r="343" ht="28" customHeight="1">
      <x:c r="A343" s="16" t="str">
        <x:v>Минусинская ТЭЦ</x:v>
      </x:c>
      <x:c r="B343" s="16" t="str">
        <x:v>2000143839-V112</x:v>
      </x:c>
      <x:c r="C343" s="16" t="str">
        <x:v>ПОДШИПНИК 6012</x:v>
      </x:c>
      <x:c r="D343" s="16" t="str">
        <x:v>Подшипники</x:v>
      </x:c>
      <x:c r="E343" s="16" t="str">
        <x:v>ШТ</x:v>
      </x:c>
      <x:c r="F343" s="21" t="n">
        <x:v>1</x:v>
      </x:c>
      <x:c r="G343" s="17" t="n">
        <x:v>111.325</x:v>
      </x:c>
      <x:c r="H343" s="17" t="n">
        <x:f>G343*F343</x:f>
        <x:v>111.325</x:v>
      </x:c>
      <x:c r="I343" s="22" t="str">
        <x:f>HYPERLINK("https://etp-aktiv.ru/catalog/materialy/podshipniki/2000143839-V112/","Открыть позицию")</x:f>
        <x:v>Открыть позицию</x:v>
      </x:c>
    </x:row>
    <x:row r="344" ht="28" customHeight="1">
      <x:c r="A344" s="16" t="str">
        <x:v>Минусинская ТЭЦ</x:v>
      </x:c>
      <x:c r="B344" s="16" t="str">
        <x:v>2000599184-V112</x:v>
      </x:c>
      <x:c r="C344" s="16" t="str">
        <x:v>ПОДШИПНИК 6305-2RSR</x:v>
      </x:c>
      <x:c r="D344" s="16" t="str">
        <x:v>Подшипники</x:v>
      </x:c>
      <x:c r="E344" s="16" t="str">
        <x:v>ШТ</x:v>
      </x:c>
      <x:c r="F344" s="21" t="n">
        <x:v>124</x:v>
      </x:c>
      <x:c r="G344" s="17" t="n">
        <x:v>43.236799999999995</x:v>
      </x:c>
      <x:c r="H344" s="17" t="n">
        <x:f>G344*F344</x:f>
        <x:v>5361.3632</x:v>
      </x:c>
      <x:c r="I344" s="22" t="str">
        <x:f>HYPERLINK("https://etp-aktiv.ru/catalog/materialy/podshipniki/2000599184-V112/","Открыть позицию")</x:f>
        <x:v>Открыть позицию</x:v>
      </x:c>
    </x:row>
    <x:row r="345" ht="28" customHeight="1">
      <x:c r="A345" s="16" t="str">
        <x:v>Минусинская ТЭЦ</x:v>
      </x:c>
      <x:c r="B345" s="16" t="str">
        <x:v>2000570185-V112</x:v>
      </x:c>
      <x:c r="C345" s="16" t="str">
        <x:v>ПОДШИПНИК 76-309Е</x:v>
      </x:c>
      <x:c r="D345" s="16" t="str">
        <x:v>Подшипники</x:v>
      </x:c>
      <x:c r="E345" s="16" t="str">
        <x:v>ШТ</x:v>
      </x:c>
      <x:c r="F345" s="21" t="n">
        <x:v>2</x:v>
      </x:c>
      <x:c r="G345" s="17" t="n">
        <x:v>485.3526</x:v>
      </x:c>
      <x:c r="H345" s="17" t="n">
        <x:f>G345*F345</x:f>
        <x:v>970.7052</x:v>
      </x:c>
      <x:c r="I345" s="22" t="str">
        <x:f>HYPERLINK("https://etp-aktiv.ru/catalog/materialy/podshipniki/2000570185-V112/","Открыть позицию")</x:f>
        <x:v>Открыть позицию</x:v>
      </x:c>
    </x:row>
    <x:row r="346" ht="28" customHeight="1">
      <x:c r="A346" s="16" t="str">
        <x:v>Минусинская ТЭЦ</x:v>
      </x:c>
      <x:c r="B346" s="16" t="str">
        <x:v>2000002259-V112</x:v>
      </x:c>
      <x:c r="C346" s="16" t="str">
        <x:v>ПОДШИПНИК 80204</x:v>
      </x:c>
      <x:c r="D346" s="16" t="str">
        <x:v>Подшипники</x:v>
      </x:c>
      <x:c r="E346" s="16" t="str">
        <x:v>ШТ</x:v>
      </x:c>
      <x:c r="F346" s="21" t="n">
        <x:v>8</x:v>
      </x:c>
      <x:c r="G346" s="17" t="n">
        <x:v>47.1408</x:v>
      </x:c>
      <x:c r="H346" s="17" t="n">
        <x:f>G346*F346</x:f>
        <x:v>377.1264</x:v>
      </x:c>
      <x:c r="I346" s="22" t="str">
        <x:f>HYPERLINK("https://etp-aktiv.ru/catalog/materialy/podshipniki/2000002259-V112/","Открыть позицию")</x:f>
        <x:v>Открыть позицию</x:v>
      </x:c>
    </x:row>
    <x:row r="347" ht="28" customHeight="1">
      <x:c r="A347" s="16" t="str">
        <x:v>Минусинская ТЭЦ</x:v>
      </x:c>
      <x:c r="B347" s="16" t="str">
        <x:v>2000446838-V112</x:v>
      </x:c>
      <x:c r="C347" s="16" t="str">
        <x:v>СТАКАН ПОДШИПНИКА Н03.3.302.01.01.012-01</x:v>
      </x:c>
      <x:c r="D347" s="16" t="str">
        <x:v>ЗЧ к энергетич насос</x:v>
      </x:c>
      <x:c r="E347" s="16" t="str">
        <x:v>ШТ</x:v>
      </x:c>
      <x:c r="F347" s="21" t="n">
        <x:v>4</x:v>
      </x:c>
      <x:c r="G347" s="17" t="n">
        <x:v>3602.8186</x:v>
      </x:c>
      <x:c r="H347" s="17" t="n">
        <x:f>G347*F347</x:f>
        <x:v>14411.2744</x:v>
      </x:c>
      <x:c r="I347" s="22" t="str">
        <x:f>HYPERLINK("https://etp-aktiv.ru/catalog/materialy/zapasnye-chasti-promyshlennogo-oborudovaniya/2000446838-V112/","Открыть позицию")</x:f>
        <x:v>Открыть позицию</x:v>
      </x:c>
    </x:row>
    <x:row r="348" ht="28" customHeight="1">
      <x:c r="A348" s="16" t="str">
        <x:v>Минусинская ТЭЦ</x:v>
      </x:c>
      <x:c r="B348" s="16" t="str">
        <x:v>2000191343-V112</x:v>
      </x:c>
      <x:c r="C348" s="16" t="str">
        <x:v>ШЛИФКРУГ 450*63*203 25А40</x:v>
      </x:c>
      <x:c r="D348" s="16" t="str">
        <x:v>Инструмент и спецосн</x:v>
      </x:c>
      <x:c r="E348" s="16" t="str">
        <x:v>ШТ</x:v>
      </x:c>
      <x:c r="F348" s="21" t="n">
        <x:v>1</x:v>
      </x:c>
      <x:c r="G348" s="17" t="n">
        <x:v>1977.1198</x:v>
      </x:c>
      <x:c r="H348" s="17" t="n">
        <x:f>G348*F348</x:f>
        <x:v>1977.1198</x:v>
      </x:c>
      <x:c r="I348" s="22" t="str">
        <x:f>HYPERLINK("https://etp-aktiv.ru/catalog/materialy/instrument-i-specosnastka/2000191343-V112/","Открыть позицию")</x:f>
        <x:v>Открыть позицию</x:v>
      </x:c>
    </x:row>
    <x:row r="349" ht="28" customHeight="1">
      <x:c r="A349" s="16" t="str">
        <x:v>Минусинская ТЭЦ</x:v>
      </x:c>
      <x:c r="B349" s="16" t="str">
        <x:v>2000213737-V112</x:v>
      </x:c>
      <x:c r="C349" s="16" t="str">
        <x:v>ШЛИФКРУГ 600*63*305 25А 40К</x:v>
      </x:c>
      <x:c r="D349" s="16" t="str">
        <x:v>Инструмент и спецосн</x:v>
      </x:c>
      <x:c r="E349" s="16" t="str">
        <x:v>ШТ</x:v>
      </x:c>
      <x:c r="F349" s="21" t="n">
        <x:v>1</x:v>
      </x:c>
      <x:c r="G349" s="17" t="n">
        <x:v>3655.6933999999997</x:v>
      </x:c>
      <x:c r="H349" s="17" t="n">
        <x:f>G349*F349</x:f>
        <x:v>3655.6933999999997</x:v>
      </x:c>
      <x:c r="I349" s="22" t="str">
        <x:f>HYPERLINK("https://etp-aktiv.ru/catalog/materialy/instrument-i-specosnastka/2000213737-V112/","Открыть позицию")</x:f>
        <x:v>Открыть позицию</x:v>
      </x:c>
    </x:row>
    <x:row r="350" ht="28" customHeight="1">
      <x:c r="A350" s="16" t="str">
        <x:v>Назаровская ГРЭС</x:v>
      </x:c>
      <x:c r="B350" s="16" t="str">
        <x:v>2000760759-V311</x:v>
      </x:c>
      <x:c r="C350" s="16" t="str">
        <x:v>АДАПТЕР DAIKIN KRP4AA53</x:v>
      </x:c>
      <x:c r="D350" s="16" t="str">
        <x:v>Компл быт/кондиционе</x:v>
      </x:c>
      <x:c r="E350" s="16" t="str">
        <x:v>ШТ</x:v>
      </x:c>
      <x:c r="F350" s="21" t="n">
        <x:v>3</x:v>
      </x:c>
      <x:c r="G350" s="17" t="n">
        <x:v>6690.9436</x:v>
      </x:c>
      <x:c r="H350" s="17" t="n">
        <x:f>G350*F350</x:f>
        <x:v>20072.8308</x:v>
      </x:c>
      <x:c r="I350" s="22" t="str">
        <x:f>HYPERLINK("https://etp-aktiv.ru/catalog/materialy/prochie-materialy/2000760759-V311/","Открыть позицию")</x:f>
        <x:v>Открыть позицию</x:v>
      </x:c>
    </x:row>
    <x:row r="351" ht="28" customHeight="1">
      <x:c r="A351" s="16" t="str">
        <x:v>Назаровская ГРЭС</x:v>
      </x:c>
      <x:c r="B351" s="16" t="str">
        <x:v>2000533406-V311</x:v>
      </x:c>
      <x:c r="C351" s="16" t="str">
        <x:v>ВАЛ Н17.190.110.01 НАСОСОВ ПЭ</x:v>
      </x:c>
      <x:c r="D351" s="16" t="str">
        <x:v>ЗЧ к энергетич насос</x:v>
      </x:c>
      <x:c r="E351" s="16" t="str">
        <x:v>ШТ</x:v>
      </x:c>
      <x:c r="F351" s="21" t="n">
        <x:v>1</x:v>
      </x:c>
      <x:c r="G351" s="17" t="n">
        <x:v>756590.625</x:v>
      </x:c>
      <x:c r="H351" s="17" t="n">
        <x:f>G351*F351</x:f>
        <x:v>756590.625</x:v>
      </x:c>
      <x:c r="I351" s="22" t="str">
        <x:f>HYPERLINK("https://etp-aktiv.ru/catalog/materialy/zapasnye-chasti-promyshlennogo-oborudovaniya/2000533406-V311/","Открыть позицию")</x:f>
        <x:v>Открыть позицию</x:v>
      </x:c>
    </x:row>
    <x:row r="352" ht="28" customHeight="1">
      <x:c r="A352" s="16" t="str">
        <x:v>Назаровская ГРЭС</x:v>
      </x:c>
      <x:c r="B352" s="16" t="str">
        <x:v>2000533413-V311</x:v>
      </x:c>
      <x:c r="C352" s="16" t="str">
        <x:v>ВАЛ Н18.36.30.01 НАСОСА КСВ 200-220</x:v>
      </x:c>
      <x:c r="D352" s="16" t="str">
        <x:v>ЗЧ к энергетич насос</x:v>
      </x:c>
      <x:c r="E352" s="16" t="str">
        <x:v>ШТ</x:v>
      </x:c>
      <x:c r="F352" s="21" t="n">
        <x:v>1</x:v>
      </x:c>
      <x:c r="G352" s="17" t="n">
        <x:v>16020.918</x:v>
      </x:c>
      <x:c r="H352" s="17" t="n">
        <x:f>G352*F352</x:f>
        <x:v>16020.918</x:v>
      </x:c>
      <x:c r="I352" s="22" t="str">
        <x:f>HYPERLINK("https://etp-aktiv.ru/catalog/materialy/zapasnye-chasti-promyshlennogo-oborudovaniya/2000533413-V311/","Открыть позицию")</x:f>
        <x:v>Открыть позицию</x:v>
      </x:c>
    </x:row>
    <x:row r="353" ht="28" customHeight="1">
      <x:c r="A353" s="16" t="str">
        <x:v>Назаровская ГРЭС</x:v>
      </x:c>
      <x:c r="B353" s="16" t="str">
        <x:v>2000242371-V311</x:v>
      </x:c>
      <x:c r="C353" s="16" t="str">
        <x:v>ВТУЛКА 255-01-00-14А</x:v>
      </x:c>
      <x:c r="D353" s="16" t="str">
        <x:v>ЗЧ к энергетич насос</x:v>
      </x:c>
      <x:c r="E353" s="16" t="str">
        <x:v>ШТ</x:v>
      </x:c>
      <x:c r="F353" s="21" t="n">
        <x:v>1</x:v>
      </x:c>
      <x:c r="G353" s="17" t="n">
        <x:v>3383.2186</x:v>
      </x:c>
      <x:c r="H353" s="17" t="n">
        <x:f>G353*F353</x:f>
        <x:v>3383.2186</x:v>
      </x:c>
      <x:c r="I353" s="22" t="str">
        <x:f>HYPERLINK("https://etp-aktiv.ru/catalog/materialy/zapasnye-chasti-promyshlennogo-oborudovaniya/2000242371-V311/","Открыть позицию")</x:f>
        <x:v>Открыть позицию</x:v>
      </x:c>
    </x:row>
    <x:row r="354" ht="28" customHeight="1">
      <x:c r="A354" s="16" t="str">
        <x:v>Назаровская ГРЭС</x:v>
      </x:c>
      <x:c r="B354" s="16" t="str">
        <x:v>2000766711-V311</x:v>
      </x:c>
      <x:c r="C354" s="16" t="str">
        <x:v>ВТУЛКА TAPER LOCK 2012*38 29201238</x:v>
      </x:c>
      <x:c r="D354" s="16" t="str">
        <x:v>ЗЧ вентиляц оборуд</x:v>
      </x:c>
      <x:c r="E354" s="16" t="str">
        <x:v>ШТ</x:v>
      </x:c>
      <x:c r="F354" s="21" t="n">
        <x:v>19</x:v>
      </x:c>
      <x:c r="G354" s="17" t="n">
        <x:v>1383.8582</x:v>
      </x:c>
      <x:c r="H354" s="17" t="n">
        <x:f>G354*F354</x:f>
        <x:v>26293.3058</x:v>
      </x:c>
      <x:c r="I354" s="22" t="str">
        <x:f>HYPERLINK("https://etp-aktiv.ru/catalog/materialy/zapasnye-chasti-promyshlennogo-oborudovaniya/2000766711-V311/","Открыть позицию")</x:f>
        <x:v>Открыть позицию</x:v>
      </x:c>
    </x:row>
    <x:row r="355" ht="28" customHeight="1">
      <x:c r="A355" s="16" t="str">
        <x:v>Назаровская ГРЭС</x:v>
      </x:c>
      <x:c r="B355" s="16" t="str">
        <x:v>2000334388-V311</x:v>
      </x:c>
      <x:c r="C355" s="16" t="str">
        <x:v>ВТУЛКА ДИСТАНЦИОННАЯ ЦНС-180 6МС6-0113</x:v>
      </x:c>
      <x:c r="D355" s="16" t="str">
        <x:v>ЗЧ к энергетич насос</x:v>
      </x:c>
      <x:c r="E355" s="16" t="str">
        <x:v>ШТ</x:v>
      </x:c>
      <x:c r="F355" s="21" t="n">
        <x:v>2</x:v>
      </x:c>
      <x:c r="G355" s="17" t="n">
        <x:v>1459.303</x:v>
      </x:c>
      <x:c r="H355" s="17" t="n">
        <x:f>G355*F355</x:f>
        <x:v>2918.606</x:v>
      </x:c>
      <x:c r="I355" s="22" t="str">
        <x:f>HYPERLINK("https://etp-aktiv.ru/catalog/materialy/zapasnye-chasti-promyshlennogo-oborudovaniya/2000334388-V311/","Открыть позицию")</x:f>
        <x:v>Открыть позицию</x:v>
      </x:c>
    </x:row>
    <x:row r="356" ht="28" customHeight="1">
      <x:c r="A356" s="16" t="str">
        <x:v>Назаровская ГРЭС</x:v>
      </x:c>
      <x:c r="B356" s="16" t="str">
        <x:v>2000132208-V311</x:v>
      </x:c>
      <x:c r="C356" s="16" t="str">
        <x:v>ВТУЛКА ЗАКРЕПИТЕЛЬНАЯ SKF H3134</x:v>
      </x:c>
      <x:c r="D356" s="16" t="str">
        <x:v>Подшипники</x:v>
      </x:c>
      <x:c r="E356" s="16" t="str">
        <x:v>ШТ</x:v>
      </x:c>
      <x:c r="F356" s="21" t="n">
        <x:v>2</x:v>
      </x:c>
      <x:c r="G356" s="17" t="n">
        <x:v>4265.058999999999</x:v>
      </x:c>
      <x:c r="H356" s="17" t="n">
        <x:f>G356*F356</x:f>
        <x:v>8530.117999999999</x:v>
      </x:c>
      <x:c r="I356" s="22" t="str">
        <x:f>HYPERLINK("https://etp-aktiv.ru/catalog/materialy/podshipniki/2000132208-V311/","Открыть позицию")</x:f>
        <x:v>Открыть позицию</x:v>
      </x:c>
    </x:row>
    <x:row r="357" ht="28" customHeight="1">
      <x:c r="A357" s="16" t="str">
        <x:v>Назаровская ГРЭС</x:v>
      </x:c>
      <x:c r="B357" s="16" t="str">
        <x:v>2000533530-V311</x:v>
      </x:c>
      <x:c r="C357" s="16" t="str">
        <x:v>ВТУЛКА ЗАЩ Н03.629.01.01.019 Д500-65</x:v>
      </x:c>
      <x:c r="D357" s="16" t="str">
        <x:v>ЗЧ к энергетич насос</x:v>
      </x:c>
      <x:c r="E357" s="16" t="str">
        <x:v>ШТ</x:v>
      </x:c>
      <x:c r="F357" s="21" t="n">
        <x:v>0</x:v>
      </x:c>
      <x:c r="G357" s="17" t="n">
        <x:v>4927.0798</x:v>
      </x:c>
      <x:c r="H357" s="17" t="n">
        <x:f>G357*F357</x:f>
        <x:v>0</x:v>
      </x:c>
      <x:c r="I357" s="22" t="str">
        <x:f>HYPERLINK("https://etp-aktiv.ru/catalog/materialy/zapasnye-chasti-promyshlennogo-oborudovaniya/2000533530-V311/","Открыть позицию")</x:f>
        <x:v>Открыть позицию</x:v>
      </x:c>
    </x:row>
    <x:row r="358" ht="28" customHeight="1">
      <x:c r="A358" s="16" t="str">
        <x:v>Назаровская ГРЭС</x:v>
      </x:c>
      <x:c r="B358" s="16" t="str">
        <x:v>2000533542-V311</x:v>
      </x:c>
      <x:c r="C358" s="16" t="str">
        <x:v>ВТУЛКА ЗАЩ ПЕРЕДНЯЯ 3071-00-02 4НДВ</x:v>
      </x:c>
      <x:c r="D358" s="16" t="str">
        <x:v>ЗЧ к химичес насосам</x:v>
      </x:c>
      <x:c r="E358" s="16" t="str">
        <x:v>ШТ</x:v>
      </x:c>
      <x:c r="F358" s="21" t="n">
        <x:v>4</x:v>
      </x:c>
      <x:c r="G358" s="17" t="n">
        <x:v>9239.67</x:v>
      </x:c>
      <x:c r="H358" s="17" t="n">
        <x:f>G358*F358</x:f>
        <x:v>36958.68</x:v>
      </x:c>
      <x:c r="I358" s="22" t="str">
        <x:f>HYPERLINK("https://etp-aktiv.ru/catalog/materialy/zapasnye-chasti-promyshlennogo-oborudovaniya/2000533542-V311/","Открыть позицию")</x:f>
        <x:v>Открыть позицию</x:v>
      </x:c>
    </x:row>
    <x:row r="359" ht="28" customHeight="1">
      <x:c r="A359" s="16" t="str">
        <x:v>Назаровская ГРЭС</x:v>
      </x:c>
      <x:c r="B359" s="16" t="str">
        <x:v>2000533506-V311</x:v>
      </x:c>
      <x:c r="C359" s="16" t="str">
        <x:v>ВТУЛКА ЗАЩИТНАЯ 255-01-00-08 200Д60</x:v>
      </x:c>
      <x:c r="D359" s="16" t="str">
        <x:v>ЗЧ к энергетич насос</x:v>
      </x:c>
      <x:c r="E359" s="16" t="str">
        <x:v>ШТ</x:v>
      </x:c>
      <x:c r="F359" s="21" t="n">
        <x:v>1</x:v>
      </x:c>
      <x:c r="G359" s="17" t="n">
        <x:v>3674.8718</x:v>
      </x:c>
      <x:c r="H359" s="17" t="n">
        <x:f>G359*F359</x:f>
        <x:v>3674.8718</x:v>
      </x:c>
      <x:c r="I359" s="22" t="str">
        <x:f>HYPERLINK("https://etp-aktiv.ru/catalog/materialy/zapasnye-chasti-promyshlennogo-oborudovaniya/2000533506-V311/","Открыть позицию")</x:f>
        <x:v>Открыть позицию</x:v>
      </x:c>
    </x:row>
    <x:row r="360" ht="28" customHeight="1">
      <x:c r="A360" s="16" t="str">
        <x:v>Назаровская ГРЭС</x:v>
      </x:c>
      <x:c r="B360" s="16" t="str">
        <x:v>2000533523-V311</x:v>
      </x:c>
      <x:c r="C360" s="16" t="str">
        <x:v>ВТУЛКА ЗАЩИТНАЯ ЗАДНЯЯ 3071-00-03 4НДВ</x:v>
      </x:c>
      <x:c r="D360" s="16" t="str">
        <x:v>ЗЧ к химичес насосам</x:v>
      </x:c>
      <x:c r="E360" s="16" t="str">
        <x:v>ШТ</x:v>
      </x:c>
      <x:c r="F360" s="21" t="n">
        <x:v>4</x:v>
      </x:c>
      <x:c r="G360" s="17" t="n">
        <x:v>8994.681799999998</x:v>
      </x:c>
      <x:c r="H360" s="17" t="n">
        <x:f>G360*F360</x:f>
        <x:v>35978.727199999994</x:v>
      </x:c>
      <x:c r="I360" s="22" t="str">
        <x:f>HYPERLINK("https://etp-aktiv.ru/catalog/materialy/zapasnye-chasti-promyshlennogo-oborudovaniya/2000533523-V311/","Открыть позицию")</x:f>
        <x:v>Открыть позицию</x:v>
      </x:c>
    </x:row>
    <x:row r="361" ht="28" customHeight="1">
      <x:c r="A361" s="16" t="str">
        <x:v>Назаровская ГРЭС</x:v>
      </x:c>
      <x:c r="B361" s="16" t="str">
        <x:v>2000556716-V311</x:v>
      </x:c>
      <x:c r="C361" s="16" t="str">
        <x:v>ВТУЛКА Н 3134</x:v>
      </x:c>
      <x:c r="D361" s="16" t="str">
        <x:v>Подшипники</x:v>
      </x:c>
      <x:c r="E361" s="16" t="str">
        <x:v>ШТ</x:v>
      </x:c>
      <x:c r="F361" s="21" t="n">
        <x:v>2</x:v>
      </x:c>
      <x:c r="G361" s="17" t="n">
        <x:v>3903.4144</x:v>
      </x:c>
      <x:c r="H361" s="17" t="n">
        <x:f>G361*F361</x:f>
        <x:v>7806.8288</x:v>
      </x:c>
      <x:c r="I361" s="22" t="str">
        <x:f>HYPERLINK("https://etp-aktiv.ru/catalog/materialy/podshipniki/2000556716-V311/","Открыть позицию")</x:f>
        <x:v>Открыть позицию</x:v>
      </x:c>
    </x:row>
    <x:row r="362" ht="28" customHeight="1">
      <x:c r="A362" s="16" t="str">
        <x:v>Назаровская ГРЭС</x:v>
      </x:c>
      <x:c r="B362" s="16" t="str">
        <x:v>2000326182-V311</x:v>
      </x:c>
      <x:c r="C362" s="16" t="str">
        <x:v>ДОМКРАТ ГИДРАВЛИЧЕСКИЙ ДН50П15</x:v>
      </x:c>
      <x:c r="D362" s="16" t="str">
        <x:v>Инструмент и спецосн</x:v>
      </x:c>
      <x:c r="E362" s="16" t="str">
        <x:v>ШТ</x:v>
      </x:c>
      <x:c r="F362" s="21" t="n">
        <x:v>1</x:v>
      </x:c>
      <x:c r="G362" s="17" t="n">
        <x:v>9406.8954</x:v>
      </x:c>
      <x:c r="H362" s="17" t="n">
        <x:f>G362*F362</x:f>
        <x:v>9406.8954</x:v>
      </x:c>
      <x:c r="I362" s="22" t="str">
        <x:f>HYPERLINK("https://etp-aktiv.ru/catalog/materialy/instrument-i-specosnastka/2000326182-V311/","Открыть позицию")</x:f>
        <x:v>Открыть позицию</x:v>
      </x:c>
    </x:row>
    <x:row r="363" ht="28" customHeight="1">
      <x:c r="A363" s="16" t="str">
        <x:v>Назаровская ГРЭС</x:v>
      </x:c>
      <x:c r="B363" s="16" t="str">
        <x:v>2000539555-V311</x:v>
      </x:c>
      <x:c r="C363" s="16" t="str">
        <x:v>КЛАПАН 15КЧ18П DN20 PN16 Р/П МУФТ А</x:v>
      </x:c>
      <x:c r="D363" s="16" t="str">
        <x:v>ЧугунАрмат (кр.затв)</x:v>
      </x:c>
      <x:c r="E363" s="16" t="str">
        <x:v>ШТ</x:v>
      </x:c>
      <x:c r="F363" s="21" t="n">
        <x:v>27</x:v>
      </x:c>
      <x:c r="G363" s="17" t="n">
        <x:v>204.52079999999998</x:v>
      </x:c>
      <x:c r="H363" s="17" t="n">
        <x:f>G363*F363</x:f>
        <x:v>5522.061599999999</x:v>
      </x:c>
      <x:c r="I363" s="22" t="str">
        <x:f>HYPERLINK("https://etp-aktiv.ru/catalog/materialy/truboprovodnaya-armatura-i-komplektuyushchie/2000539555-V311/","Открыть позицию")</x:f>
        <x:v>Открыть позицию</x:v>
      </x:c>
    </x:row>
    <x:row r="364" ht="28" customHeight="1">
      <x:c r="A364" s="16" t="str">
        <x:v>Назаровская ГРЭС</x:v>
      </x:c>
      <x:c r="B364" s="16" t="str">
        <x:v>2000539560-V311</x:v>
      </x:c>
      <x:c r="C364" s="16" t="str">
        <x:v>КЛАПАН 15КЧ18П1 DN20 PN16 МАХ МУФТ D</x:v>
      </x:c>
      <x:c r="D364" s="16" t="str">
        <x:v>ЧугунАрмат (кр.затв)</x:v>
      </x:c>
      <x:c r="E364" s="16" t="str">
        <x:v>ШТ</x:v>
      </x:c>
      <x:c r="F364" s="21" t="n">
        <x:v>2</x:v>
      </x:c>
      <x:c r="G364" s="17" t="n">
        <x:v>124.39119999999998</x:v>
      </x:c>
      <x:c r="H364" s="17" t="n">
        <x:f>G364*F364</x:f>
        <x:v>248.78239999999997</x:v>
      </x:c>
      <x:c r="I364" s="22" t="str">
        <x:f>HYPERLINK("https://etp-aktiv.ru/catalog/materialy/truboprovodnaya-armatura-i-komplektuyushchie/2000539560-V311/","Открыть позицию")</x:f>
        <x:v>Открыть позицию</x:v>
      </x:c>
    </x:row>
    <x:row r="365" ht="28" customHeight="1">
      <x:c r="A365" s="16" t="str">
        <x:v>Назаровская ГРЭС</x:v>
      </x:c>
      <x:c r="B365" s="16" t="str">
        <x:v>2000526300-V311</x:v>
      </x:c>
      <x:c r="C365" s="16" t="str">
        <x:v>КЛАПАН МЕМБРАННЫЙ 3СТ 41АСБ ВШ-3/40М</x:v>
      </x:c>
      <x:c r="D365" s="16" t="str">
        <x:v>ЗЧ компрессоров</x:v>
      </x:c>
      <x:c r="E365" s="16" t="str">
        <x:v>ШТ</x:v>
      </x:c>
      <x:c r="F365" s="21" t="n">
        <x:v>1</x:v>
      </x:c>
      <x:c r="G365" s="17" t="n">
        <x:v>16332.75</x:v>
      </x:c>
      <x:c r="H365" s="17" t="n">
        <x:f>G365*F365</x:f>
        <x:v>16332.75</x:v>
      </x:c>
      <x:c r="I365" s="22" t="str">
        <x:f>HYPERLINK("https://etp-aktiv.ru/catalog/materialy/zapasnye-chasti-promyshlennogo-oborudovaniya/2000526300-V311/","Открыть позицию")</x:f>
        <x:v>Открыть позицию</x:v>
      </x:c>
    </x:row>
    <x:row r="366" ht="28" customHeight="1">
      <x:c r="A366" s="16" t="str">
        <x:v>Назаровская ГРЭС</x:v>
      </x:c>
      <x:c r="B366" s="16" t="str">
        <x:v>2000533808-V311</x:v>
      </x:c>
      <x:c r="C366" s="16" t="str">
        <x:v>КОЛЕСО 806.15.103.50 НАСОСА ПЭ580-185</x:v>
      </x:c>
      <x:c r="D366" s="16" t="str">
        <x:v>ЗЧ к энергетич насос</x:v>
      </x:c>
      <x:c r="E366" s="16" t="str">
        <x:v>ШТ</x:v>
      </x:c>
      <x:c r="F366" s="21" t="n">
        <x:v>9</x:v>
      </x:c>
      <x:c r="G366" s="17" t="n">
        <x:v>42204.375</x:v>
      </x:c>
      <x:c r="H366" s="17" t="n">
        <x:f>G366*F366</x:f>
        <x:v>379839.375</x:v>
      </x:c>
      <x:c r="I366" s="22" t="str">
        <x:f>HYPERLINK("https://etp-aktiv.ru/catalog/materialy/zapasnye-chasti-promyshlennogo-oborudovaniya/2000533808-V311/","Открыть позицию")</x:f>
        <x:v>Открыть позицию</x:v>
      </x:c>
    </x:row>
    <x:row r="367" ht="28" customHeight="1">
      <x:c r="A367" s="16" t="str">
        <x:v>Назаровская ГРЭС</x:v>
      </x:c>
      <x:c r="B367" s="16" t="str">
        <x:v>2000142294-V311</x:v>
      </x:c>
      <x:c r="C367" s="16" t="str">
        <x:v>КОЛЕСО 8КСД6Х3 В127.27</x:v>
      </x:c>
      <x:c r="D367" s="16" t="str">
        <x:v>@ЗЧ насосов</x:v>
      </x:c>
      <x:c r="E367" s="16" t="str">
        <x:v>ШТ</x:v>
      </x:c>
      <x:c r="F367" s="21" t="n">
        <x:v>1</x:v>
      </x:c>
      <x:c r="G367" s="17" t="n">
        <x:v>2011.0968</x:v>
      </x:c>
      <x:c r="H367" s="17" t="n">
        <x:f>G367*F367</x:f>
        <x:v>2011.0968</x:v>
      </x:c>
      <x:c r="I367" s="22" t="str">
        <x:f>HYPERLINK("https://etp-aktiv.ru/catalog/materialy/zapasnye-chasti-promyshlennogo-oborudovaniya/2000142294-V311/","Открыть позицию")</x:f>
        <x:v>Открыть позицию</x:v>
      </x:c>
    </x:row>
    <x:row r="368" ht="28" customHeight="1">
      <x:c r="A368" s="16" t="str">
        <x:v>Назаровская ГРЭС</x:v>
      </x:c>
      <x:c r="B368" s="16" t="str">
        <x:v>2000142296-V311</x:v>
      </x:c>
      <x:c r="C368" s="16" t="str">
        <x:v>КОЛЕСО Н03.649.01.01.001</x:v>
      </x:c>
      <x:c r="D368" s="16" t="str">
        <x:v>ЗЧ к энергетич насос</x:v>
      </x:c>
      <x:c r="E368" s="16" t="str">
        <x:v>ШТ</x:v>
      </x:c>
      <x:c r="F368" s="21" t="n">
        <x:v>2</x:v>
      </x:c>
      <x:c r="G368" s="17" t="n">
        <x:v>79427.368</x:v>
      </x:c>
      <x:c r="H368" s="17" t="n">
        <x:f>G368*F368</x:f>
        <x:v>158854.736</x:v>
      </x:c>
      <x:c r="I368" s="22" t="str">
        <x:f>HYPERLINK("https://etp-aktiv.ru/catalog/materialy/zapasnye-chasti-promyshlennogo-oborudovaniya/2000142296-V311/","Открыть позицию")</x:f>
        <x:v>Открыть позицию</x:v>
      </x:c>
    </x:row>
    <x:row r="369" ht="28" customHeight="1">
      <x:c r="A369" s="16" t="str">
        <x:v>Назаровская ГРЭС</x:v>
      </x:c>
      <x:c r="B369" s="16" t="str">
        <x:v>2000688118-V311</x:v>
      </x:c>
      <x:c r="C369" s="16" t="str">
        <x:v>КОЛЕСО ОПВ5-110-50 1,5 Б-34045СБА</x:v>
      </x:c>
      <x:c r="D369" s="16" t="str">
        <x:v>ЗЧ к энергетич насос</x:v>
      </x:c>
      <x:c r="E369" s="16" t="str">
        <x:v>ШТ</x:v>
      </x:c>
      <x:c r="F369" s="21" t="n">
        <x:v>1</x:v>
      </x:c>
      <x:c r="G369" s="17" t="n">
        <x:v>1187129.601</x:v>
      </x:c>
      <x:c r="H369" s="17" t="n">
        <x:f>G369*F369</x:f>
        <x:v>1187129.601</x:v>
      </x:c>
      <x:c r="I369" s="22" t="str">
        <x:f>HYPERLINK("https://etp-aktiv.ru/catalog/materialy/zapasnye-chasti-promyshlennogo-oborudovaniya/2000688118-V311/","Открыть позицию")</x:f>
        <x:v>Открыть позицию</x:v>
      </x:c>
    </x:row>
    <x:row r="370" ht="28" customHeight="1">
      <x:c r="A370" s="16" t="str">
        <x:v>Назаровская ГРЭС</x:v>
      </x:c>
      <x:c r="B370" s="16" t="str">
        <x:v>2000533956-V311</x:v>
      </x:c>
      <x:c r="C370" s="16" t="str">
        <x:v>КОЛЕСО РАБОЧЕЕ 3071-00-00 НАСОСА 4НДВ</x:v>
      </x:c>
      <x:c r="D370" s="16" t="str">
        <x:v>ЗЧ к химичес насосам</x:v>
      </x:c>
      <x:c r="E370" s="16" t="str">
        <x:v>ШТ</x:v>
      </x:c>
      <x:c r="F370" s="21" t="n">
        <x:v>3</x:v>
      </x:c>
      <x:c r="G370" s="17" t="n">
        <x:v>16351.416</x:v>
      </x:c>
      <x:c r="H370" s="17" t="n">
        <x:f>G370*F370</x:f>
        <x:v>49054.248</x:v>
      </x:c>
      <x:c r="I370" s="22" t="str">
        <x:f>HYPERLINK("https://etp-aktiv.ru/catalog/materialy/zapasnye-chasti-promyshlennogo-oborudovaniya/2000533956-V311/","Открыть позицию")</x:f>
        <x:v>Открыть позицию</x:v>
      </x:c>
    </x:row>
    <x:row r="371" ht="28" customHeight="1">
      <x:c r="A371" s="16" t="str">
        <x:v>Назаровская ГРЭС</x:v>
      </x:c>
      <x:c r="B371" s="16" t="str">
        <x:v>2000533897-V311</x:v>
      </x:c>
      <x:c r="C371" s="16" t="str">
        <x:v>КОЛЕСО РАБОЧЕЕ Н01.38.01.003 К290/30</x:v>
      </x:c>
      <x:c r="D371" s="16" t="str">
        <x:v>ЗЧ к энергетич насос</x:v>
      </x:c>
      <x:c r="E371" s="16" t="str">
        <x:v>ШТ</x:v>
      </x:c>
      <x:c r="F371" s="21" t="n">
        <x:v>2</x:v>
      </x:c>
      <x:c r="G371" s="17" t="n">
        <x:v>12524.068599999999</x:v>
      </x:c>
      <x:c r="H371" s="17" t="n">
        <x:f>G371*F371</x:f>
        <x:v>25048.137199999997</x:v>
      </x:c>
      <x:c r="I371" s="22" t="str">
        <x:f>HYPERLINK("https://etp-aktiv.ru/catalog/materialy/zapasnye-chasti-promyshlennogo-oborudovaniya/2000533897-V311/","Открыть позицию")</x:f>
        <x:v>Открыть позицию</x:v>
      </x:c>
    </x:row>
    <x:row r="372" ht="28" customHeight="1">
      <x:c r="A372" s="16" t="str">
        <x:v>Назаровская ГРЭС</x:v>
      </x:c>
      <x:c r="B372" s="16" t="str">
        <x:v>2000330740-V311</x:v>
      </x:c>
      <x:c r="C372" s="16" t="str">
        <x:v>КОЛЕСО РАБОЧЕЕ ЦНС 6МС6-0129</x:v>
      </x:c>
      <x:c r="D372" s="16" t="str">
        <x:v>ЗЧ к энергетич насос</x:v>
      </x:c>
      <x:c r="E372" s="16" t="str">
        <x:v>ШТ</x:v>
      </x:c>
      <x:c r="F372" s="21" t="n">
        <x:v>0</x:v>
      </x:c>
      <x:c r="G372" s="17" t="n">
        <x:v>4568.9488</x:v>
      </x:c>
      <x:c r="H372" s="17" t="n">
        <x:f>G372*F372</x:f>
        <x:v>0</x:v>
      </x:c>
      <x:c r="I372" s="22" t="str">
        <x:f>HYPERLINK("https://etp-aktiv.ru/catalog/materialy/zapasnye-chasti-promyshlennogo-oborudovaniya/2000330740-V311/","Открыть позицию")</x:f>
        <x:v>Открыть позицию</x:v>
      </x:c>
    </x:row>
    <x:row r="373" ht="28" customHeight="1">
      <x:c r="A373" s="16" t="str">
        <x:v>Назаровская ГРЭС</x:v>
      </x:c>
      <x:c r="B373" s="16" t="str">
        <x:v>2000242299-V311</x:v>
      </x:c>
      <x:c r="C373" s="16" t="str">
        <x:v>КОЛЬЦО 255-01-00-10</x:v>
      </x:c>
      <x:c r="D373" s="16" t="str">
        <x:v>ЗЧ к энергетич насос</x:v>
      </x:c>
      <x:c r="E373" s="16" t="str">
        <x:v>ШТ</x:v>
      </x:c>
      <x:c r="F373" s="21" t="n">
        <x:v>1</x:v>
      </x:c>
      <x:c r="G373" s="17" t="n">
        <x:v>524.9782</x:v>
      </x:c>
      <x:c r="H373" s="17" t="n">
        <x:f>G373*F373</x:f>
        <x:v>524.9782</x:v>
      </x:c>
      <x:c r="I373" s="22" t="str">
        <x:f>HYPERLINK("https://etp-aktiv.ru/catalog/materialy/zapasnye-chasti-promyshlennogo-oborudovaniya/2000242299-V311/","Открыть позицию")</x:f>
        <x:v>Открыть позицию</x:v>
      </x:c>
    </x:row>
    <x:row r="374" ht="28" customHeight="1">
      <x:c r="A374" s="16" t="str">
        <x:v>Назаровская ГРЭС</x:v>
      </x:c>
      <x:c r="B374" s="16" t="str">
        <x:v>2000534169-V311</x:v>
      </x:c>
      <x:c r="C374" s="16" t="str">
        <x:v>КОЛЬЦО УПЛОТ Н03.629.01.01.003 Д630-90</x:v>
      </x:c>
      <x:c r="D374" s="16" t="str">
        <x:v>ЗЧ к энергетич насос</x:v>
      </x:c>
      <x:c r="E374" s="16" t="str">
        <x:v>ШТ</x:v>
      </x:c>
      <x:c r="F374" s="21" t="n">
        <x:v>1</x:v>
      </x:c>
      <x:c r="G374" s="17" t="n">
        <x:v>3143.8668</x:v>
      </x:c>
      <x:c r="H374" s="17" t="n">
        <x:f>G374*F374</x:f>
        <x:v>3143.8668</x:v>
      </x:c>
      <x:c r="I374" s="22" t="str">
        <x:f>HYPERLINK("https://etp-aktiv.ru/catalog/materialy/zapasnye-chasti-promyshlennogo-oborudovaniya/2000534169-V311/","Открыть позицию")</x:f>
        <x:v>Открыть позицию</x:v>
      </x:c>
    </x:row>
    <x:row r="375" ht="28" customHeight="1">
      <x:c r="A375" s="16" t="str">
        <x:v>Назаровская ГРЭС</x:v>
      </x:c>
      <x:c r="B375" s="16" t="str">
        <x:v>2000532274-V311</x:v>
      </x:c>
      <x:c r="C375" s="16" t="str">
        <x:v>КОРПУС ПОДШИПНИКА 110.26.03.01.00-01</x:v>
      </x:c>
      <x:c r="D375" s="16" t="str">
        <x:v>ЗЧ к КВО</x:v>
      </x:c>
      <x:c r="E375" s="16" t="str">
        <x:v>ШТ</x:v>
      </x:c>
      <x:c r="F375" s="21" t="n">
        <x:v>4</x:v>
      </x:c>
      <x:c r="G375" s="17" t="n">
        <x:v>15308.8772</x:v>
      </x:c>
      <x:c r="H375" s="17" t="n">
        <x:f>G375*F375</x:f>
        <x:v>61235.5088</x:v>
      </x:c>
      <x:c r="I375" s="22" t="str">
        <x:f>HYPERLINK("https://etp-aktiv.ru/catalog/materialy/zapasnye-chasti-osnovnogo-ehnergeticheskogo-oborudovaniya/2000532274-V311/","Открыть позицию")</x:f>
        <x:v>Открыть позицию</x:v>
      </x:c>
    </x:row>
    <x:row r="376" ht="28" customHeight="1">
      <x:c r="A376" s="16" t="str">
        <x:v>Назаровская ГРЭС</x:v>
      </x:c>
      <x:c r="B376" s="16" t="str">
        <x:v>2000532275-V311</x:v>
      </x:c>
      <x:c r="C376" s="16" t="str">
        <x:v>КОРПУС ПОДШИПНИКА 110.26.04.01.00</x:v>
      </x:c>
      <x:c r="D376" s="16" t="str">
        <x:v>ЗЧ к КВО</x:v>
      </x:c>
      <x:c r="E376" s="16" t="str">
        <x:v>ШТ</x:v>
      </x:c>
      <x:c r="F376" s="21" t="n">
        <x:v>4</x:v>
      </x:c>
      <x:c r="G376" s="17" t="n">
        <x:v>14952.8446</x:v>
      </x:c>
      <x:c r="H376" s="17" t="n">
        <x:f>G376*F376</x:f>
        <x:v>59811.3784</x:v>
      </x:c>
      <x:c r="I376" s="22" t="str">
        <x:f>HYPERLINK("https://etp-aktiv.ru/catalog/materialy/zapasnye-chasti-osnovnogo-ehnergeticheskogo-oborudovaniya/2000532275-V311/","Открыть позицию")</x:f>
        <x:v>Открыть позицию</x:v>
      </x:c>
    </x:row>
    <x:row r="377" ht="28" customHeight="1">
      <x:c r="A377" s="16" t="str">
        <x:v>Назаровская ГРЭС</x:v>
      </x:c>
      <x:c r="B377" s="16" t="str">
        <x:v>2000652755-V311</x:v>
      </x:c>
      <x:c r="C377" s="16" t="str">
        <x:v>КРУГ 150*20*5*42*32 2724-0044 12A2-45АС6</x:v>
      </x:c>
      <x:c r="D377" s="16" t="str">
        <x:v>Инструмент и спецосн</x:v>
      </x:c>
      <x:c r="E377" s="16" t="str">
        <x:v>ШТ</x:v>
      </x:c>
      <x:c r="F377" s="21" t="n">
        <x:v>2</x:v>
      </x:c>
      <x:c r="G377" s="17" t="n">
        <x:v>2163.0112</x:v>
      </x:c>
      <x:c r="H377" s="17" t="n">
        <x:f>G377*F377</x:f>
        <x:v>4326.0224</x:v>
      </x:c>
      <x:c r="I377" s="22" t="str">
        <x:f>HYPERLINK("https://etp-aktiv.ru/catalog/materialy/instrument-i-specosnastka/2000652755-V311/","Открыть позицию")</x:f>
        <x:v>Открыть позицию</x:v>
      </x:c>
    </x:row>
    <x:row r="378" ht="28" customHeight="1">
      <x:c r="A378" s="16" t="str">
        <x:v>Назаровская ГРЭС</x:v>
      </x:c>
      <x:c r="B378" s="16" t="str">
        <x:v>2000652752-V311</x:v>
      </x:c>
      <x:c r="C378" s="16" t="str">
        <x:v>КРУГ 250*15*5*76 АС4 160/125 В2-01 100%</x:v>
      </x:c>
      <x:c r="D378" s="16" t="str">
        <x:v>Инструмент и спецосн</x:v>
      </x:c>
      <x:c r="E378" s="16" t="str">
        <x:v>ШТ</x:v>
      </x:c>
      <x:c r="F378" s="21" t="n">
        <x:v>1</x:v>
      </x:c>
      <x:c r="G378" s="17" t="n">
        <x:v>4864.14</x:v>
      </x:c>
      <x:c r="H378" s="17" t="n">
        <x:f>G378*F378</x:f>
        <x:v>4864.14</x:v>
      </x:c>
      <x:c r="I378" s="22" t="str">
        <x:f>HYPERLINK("https://etp-aktiv.ru/catalog/materialy/instrument-i-specosnastka/2000652752-V311/","Открыть позицию")</x:f>
        <x:v>Открыть позицию</x:v>
      </x:c>
    </x:row>
    <x:row r="379" ht="28" customHeight="1">
      <x:c r="A379" s="16" t="str">
        <x:v>Назаровская ГРЭС</x:v>
      </x:c>
      <x:c r="B379" s="16" t="str">
        <x:v>2000584682-V311</x:v>
      </x:c>
      <x:c r="C379" s="16" t="str">
        <x:v>КРУГ АБРАЗИВНЫЙ 40*20*13 ПП 24А 40ПС</x:v>
      </x:c>
      <x:c r="D379" s="16" t="str">
        <x:v>Инструмент и спецосн</x:v>
      </x:c>
      <x:c r="E379" s="16" t="str">
        <x:v>ШТ</x:v>
      </x:c>
      <x:c r="F379" s="21" t="n">
        <x:v>26</x:v>
      </x:c>
      <x:c r="G379" s="17" t="n">
        <x:v>24.0706</x:v>
      </x:c>
      <x:c r="H379" s="17" t="n">
        <x:f>G379*F379</x:f>
        <x:v>625.8356</x:v>
      </x:c>
      <x:c r="I379" s="22" t="str">
        <x:f>HYPERLINK("https://etp-aktiv.ru/catalog/materialy/instrument-i-specosnastka/2000584682-V311/","Открыть позицию")</x:f>
        <x:v>Открыть позицию</x:v>
      </x:c>
    </x:row>
    <x:row r="380" ht="28" customHeight="1">
      <x:c r="A380" s="16" t="str">
        <x:v>Назаровская ГРЭС</x:v>
      </x:c>
      <x:c r="B380" s="16" t="str">
        <x:v>2000120108-V311</x:v>
      </x:c>
      <x:c r="C380" s="16" t="str">
        <x:v>КРУГ ЗАЧИСТНОЙ 230*6*22</x:v>
      </x:c>
      <x:c r="D380" s="16" t="str">
        <x:v>Инструмент и спецосн</x:v>
      </x:c>
      <x:c r="E380" s="16" t="str">
        <x:v>ШТ</x:v>
      </x:c>
      <x:c r="F380" s="21" t="n">
        <x:v>3</x:v>
      </x:c>
      <x:c r="G380" s="17" t="n">
        <x:v>84.61919999999999</x:v>
      </x:c>
      <x:c r="H380" s="17" t="n">
        <x:f>G380*F380</x:f>
        <x:v>253.8576</x:v>
      </x:c>
      <x:c r="I380" s="22" t="str">
        <x:f>HYPERLINK("https://etp-aktiv.ru/catalog/materialy/instrument-i-specosnastka/2000120108-V311/","Открыть позицию")</x:f>
        <x:v>Открыть позицию</x:v>
      </x:c>
    </x:row>
    <x:row r="381" ht="28" customHeight="1">
      <x:c r="A381" s="16" t="str">
        <x:v>Назаровская ГРЭС</x:v>
      </x:c>
      <x:c r="B381" s="16" t="str">
        <x:v>2000236403-V311</x:v>
      </x:c>
      <x:c r="C381" s="16" t="str">
        <x:v>КРУГ ОТРЕЗНОЙ 150*6*22 F36-F30</x:v>
      </x:c>
      <x:c r="D381" s="16" t="str">
        <x:v>Инструмент и спецосн</x:v>
      </x:c>
      <x:c r="E381" s="16" t="str">
        <x:v>ШТ</x:v>
      </x:c>
      <x:c r="F381" s="21" t="n">
        <x:v>3</x:v>
      </x:c>
      <x:c r="G381" s="17" t="n">
        <x:v>43.627199999999995</x:v>
      </x:c>
      <x:c r="H381" s="17" t="n">
        <x:f>G381*F381</x:f>
        <x:v>130.8816</x:v>
      </x:c>
      <x:c r="I381" s="22" t="str">
        <x:f>HYPERLINK("https://etp-aktiv.ru/catalog/materialy/instrument-i-specosnastka/2000236403-V311/","Открыть позицию")</x:f>
        <x:v>Открыть позицию</x:v>
      </x:c>
    </x:row>
    <x:row r="382" ht="28" customHeight="1">
      <x:c r="A382" s="16" t="str">
        <x:v>Назаровская ГРЭС</x:v>
      </x:c>
      <x:c r="B382" s="16" t="str">
        <x:v>2000165426-V311</x:v>
      </x:c>
      <x:c r="C382" s="16" t="str">
        <x:v>КРУГ ОТРЕЗНОЙ 230*6*22 13А</x:v>
      </x:c>
      <x:c r="D382" s="16" t="str">
        <x:v>Инструмент и спецосн</x:v>
      </x:c>
      <x:c r="E382" s="16" t="str">
        <x:v>ШТ</x:v>
      </x:c>
      <x:c r="F382" s="21" t="n">
        <x:v>10</x:v>
      </x:c>
      <x:c r="G382" s="17" t="n">
        <x:v>84.3996</x:v>
      </x:c>
      <x:c r="H382" s="17" t="n">
        <x:f>G382*F382</x:f>
        <x:v>843.9960000000001</x:v>
      </x:c>
      <x:c r="I382" s="22" t="str">
        <x:f>HYPERLINK("https://etp-aktiv.ru/catalog/materialy/instrument-i-specosnastka/2000165426-V311/","Открыть позицию")</x:f>
        <x:v>Открыть позицию</x:v>
      </x:c>
    </x:row>
    <x:row r="383" ht="28" customHeight="1">
      <x:c r="A383" s="16" t="str">
        <x:v>Назаровская ГРЭС</x:v>
      </x:c>
      <x:c r="B383" s="16" t="str">
        <x:v>2000142585-V311</x:v>
      </x:c>
      <x:c r="C383" s="16" t="str">
        <x:v>КРУГ ОТРЕЗНОЙ 300*3*32 14А</x:v>
      </x:c>
      <x:c r="D383" s="16" t="str">
        <x:v>Инструмент и спецосн</x:v>
      </x:c>
      <x:c r="E383" s="16" t="str">
        <x:v>ШТ</x:v>
      </x:c>
      <x:c r="F383" s="21" t="n">
        <x:v>41</x:v>
      </x:c>
      <x:c r="G383" s="17" t="n">
        <x:v>58.096399999999996</x:v>
      </x:c>
      <x:c r="H383" s="17" t="n">
        <x:f>G383*F383</x:f>
        <x:v>2381.9523999999997</x:v>
      </x:c>
      <x:c r="I383" s="22" t="str">
        <x:f>HYPERLINK("https://etp-aktiv.ru/catalog/materialy/instrument-i-specosnastka/2000142585-V311/","Открыть позицию")</x:f>
        <x:v>Открыть позицию</x:v>
      </x:c>
    </x:row>
    <x:row r="384" ht="28" customHeight="1">
      <x:c r="A384" s="16" t="str">
        <x:v>Назаровская ГРЭС</x:v>
      </x:c>
      <x:c r="B384" s="16" t="str">
        <x:v>2000138134-V311</x:v>
      </x:c>
      <x:c r="C384" s="16" t="str">
        <x:v>КРУГ ОТРЕЗНОЙ 400*4*32 13А</x:v>
      </x:c>
      <x:c r="D384" s="16" t="str">
        <x:v>Инструмент и спецосн</x:v>
      </x:c>
      <x:c r="E384" s="16" t="str">
        <x:v>ШТ</x:v>
      </x:c>
      <x:c r="F384" s="21" t="n">
        <x:v>3</x:v>
      </x:c>
      <x:c r="G384" s="17" t="n">
        <x:v>136.5546</x:v>
      </x:c>
      <x:c r="H384" s="17" t="n">
        <x:f>G384*F384</x:f>
        <x:v>409.6638</x:v>
      </x:c>
      <x:c r="I384" s="22" t="str">
        <x:f>HYPERLINK("https://etp-aktiv.ru/catalog/materialy/instrument-i-specosnastka/2000138134-V311/","Открыть позицию")</x:f>
        <x:v>Открыть позицию</x:v>
      </x:c>
    </x:row>
    <x:row r="385" ht="28" customHeight="1">
      <x:c r="A385" s="16" t="str">
        <x:v>Назаровская ГРЭС</x:v>
      </x:c>
      <x:c r="B385" s="16" t="str">
        <x:v>2000544125-V311</x:v>
      </x:c>
      <x:c r="C385" s="16" t="str">
        <x:v>КРУГ ШЛ 1 50*10*16 25А 25П 6К1 А1КЛ.</x:v>
      </x:c>
      <x:c r="D385" s="16" t="str">
        <x:v>Инструмент и спецосн</x:v>
      </x:c>
      <x:c r="E385" s="16" t="str">
        <x:v>ШТ</x:v>
      </x:c>
      <x:c r="F385" s="21" t="n">
        <x:v>30</x:v>
      </x:c>
      <x:c r="G385" s="17" t="n">
        <x:v>24.973399999999998</x:v>
      </x:c>
      <x:c r="H385" s="17" t="n">
        <x:f>G385*F385</x:f>
        <x:v>749.202</x:v>
      </x:c>
      <x:c r="I385" s="22" t="str">
        <x:f>HYPERLINK("https://etp-aktiv.ru/catalog/materialy/instrument-i-specosnastka/2000544125-V311/","Открыть позицию")</x:f>
        <x:v>Открыть позицию</x:v>
      </x:c>
    </x:row>
    <x:row r="386" ht="28" customHeight="1">
      <x:c r="A386" s="16" t="str">
        <x:v>Назаровская ГРЭС</x:v>
      </x:c>
      <x:c r="B386" s="16" t="str">
        <x:v>2000544235-V311</x:v>
      </x:c>
      <x:c r="C386" s="16" t="str">
        <x:v>КРУГ ШЛИФОВАЛЬНЫЙ 100*20*20 14А 80</x:v>
      </x:c>
      <x:c r="D386" s="16" t="str">
        <x:v>Инструмент и спецосн</x:v>
      </x:c>
      <x:c r="E386" s="16" t="str">
        <x:v>ШТ</x:v>
      </x:c>
      <x:c r="F386" s="21" t="n">
        <x:v>3</x:v>
      </x:c>
      <x:c r="G386" s="17" t="n">
        <x:v>103.82199999999999</x:v>
      </x:c>
      <x:c r="H386" s="17" t="n">
        <x:f>G386*F386</x:f>
        <x:v>311.46599999999995</x:v>
      </x:c>
      <x:c r="I386" s="22" t="str">
        <x:f>HYPERLINK("https://etp-aktiv.ru/catalog/materialy/instrument-i-specosnastka/2000544235-V311/","Открыть позицию")</x:f>
        <x:v>Открыть позицию</x:v>
      </x:c>
    </x:row>
    <x:row r="387" ht="28" customHeight="1">
      <x:c r="A387" s="16" t="str">
        <x:v>Назаровская ГРЭС</x:v>
      </x:c>
      <x:c r="B387" s="16" t="str">
        <x:v>2000544280-V311</x:v>
      </x:c>
      <x:c r="C387" s="16" t="str">
        <x:v>КРУГ ШЛИФОВАЛЬНЫЙ 300*40*76 25A 40 L 6 V</x:v>
      </x:c>
      <x:c r="D387" s="16" t="str">
        <x:v>Инструмент и спецосн</x:v>
      </x:c>
      <x:c r="E387" s="16" t="str">
        <x:v>ШТ</x:v>
      </x:c>
      <x:c r="F387" s="21" t="n">
        <x:v>3</x:v>
      </x:c>
      <x:c r="G387" s="17" t="n">
        <x:v>714.2368</x:v>
      </x:c>
      <x:c r="H387" s="17" t="n">
        <x:f>G387*F387</x:f>
        <x:v>2142.7104</x:v>
      </x:c>
      <x:c r="I387" s="22" t="str">
        <x:f>HYPERLINK("https://etp-aktiv.ru/catalog/materialy/instrument-i-specosnastka/2000544280-V311/","Открыть позицию")</x:f>
        <x:v>Открыть позицию</x:v>
      </x:c>
    </x:row>
    <x:row r="388" ht="28" customHeight="1">
      <x:c r="A388" s="16" t="str">
        <x:v>Назаровская ГРЭС</x:v>
      </x:c>
      <x:c r="B388" s="16" t="str">
        <x:v>2000544153-V311</x:v>
      </x:c>
      <x:c r="C388" s="16" t="str">
        <x:v>КРУГ ШЛИФОВАЛЬНЫЙ 300*40*76 64C F60 СТ1</x:v>
      </x:c>
      <x:c r="D388" s="16" t="str">
        <x:v>Инструмент и спецосн</x:v>
      </x:c>
      <x:c r="E388" s="16" t="str">
        <x:v>ШТ</x:v>
      </x:c>
      <x:c r="F388" s="21" t="n">
        <x:v>3</x:v>
      </x:c>
      <x:c r="G388" s="17" t="n">
        <x:v>936.6428</x:v>
      </x:c>
      <x:c r="H388" s="17" t="n">
        <x:f>G388*F388</x:f>
        <x:v>2809.9284</x:v>
      </x:c>
      <x:c r="I388" s="22" t="str">
        <x:f>HYPERLINK("https://etp-aktiv.ru/catalog/materialy/instrument-i-specosnastka/2000544153-V311/","Открыть позицию")</x:f>
        <x:v>Открыть позицию</x:v>
      </x:c>
    </x:row>
    <x:row r="389" ht="28" customHeight="1">
      <x:c r="A389" s="16" t="str">
        <x:v>Назаровская ГРЭС</x:v>
      </x:c>
      <x:c r="B389" s="16" t="str">
        <x:v>2000544284-V311</x:v>
      </x:c>
      <x:c r="C389" s="16" t="str">
        <x:v>КРУГ ШЛИФОВАЛЬНЫЙ 350*20*127 64С 40 СМ К</x:v>
      </x:c>
      <x:c r="D389" s="16" t="str">
        <x:v>Инструмент и спецосн</x:v>
      </x:c>
      <x:c r="E389" s="16" t="str">
        <x:v>ШТ</x:v>
      </x:c>
      <x:c r="F389" s="21" t="n">
        <x:v>4</x:v>
      </x:c>
      <x:c r="G389" s="17" t="n">
        <x:v>1918.7184</x:v>
      </x:c>
      <x:c r="H389" s="17" t="n">
        <x:f>G389*F389</x:f>
        <x:v>7674.8736</x:v>
      </x:c>
      <x:c r="I389" s="22" t="str">
        <x:f>HYPERLINK("https://etp-aktiv.ru/catalog/materialy/instrument-i-specosnastka/2000544284-V311/","Открыть позицию")</x:f>
        <x:v>Открыть позицию</x:v>
      </x:c>
    </x:row>
    <x:row r="390" ht="28" customHeight="1">
      <x:c r="A390" s="16" t="str">
        <x:v>Назаровская ГРЭС</x:v>
      </x:c>
      <x:c r="B390" s="16" t="str">
        <x:v>2000544154-V311</x:v>
      </x:c>
      <x:c r="C390" s="16" t="str">
        <x:v>КРУГ ШЛИФОВАЛЬНЫЙ 50*10*16 6Н 64С</x:v>
      </x:c>
      <x:c r="D390" s="16" t="str">
        <x:v>Инструмент и спецосн</x:v>
      </x:c>
      <x:c r="E390" s="16" t="str">
        <x:v>ШТ</x:v>
      </x:c>
      <x:c r="F390" s="21" t="n">
        <x:v>21</x:v>
      </x:c>
      <x:c r="G390" s="17" t="n">
        <x:v>58.4624</x:v>
      </x:c>
      <x:c r="H390" s="17" t="n">
        <x:f>G390*F390</x:f>
        <x:v>1227.7104</x:v>
      </x:c>
      <x:c r="I390" s="22" t="str">
        <x:f>HYPERLINK("https://etp-aktiv.ru/catalog/materialy/instrument-i-specosnastka/2000544154-V311/","Открыть позицию")</x:f>
        <x:v>Открыть позицию</x:v>
      </x:c>
    </x:row>
    <x:row r="391" ht="28" customHeight="1">
      <x:c r="A391" s="16" t="str">
        <x:v>Назаровская ГРЭС</x:v>
      </x:c>
      <x:c r="B391" s="16" t="str">
        <x:v>2000567283-V311</x:v>
      </x:c>
      <x:c r="C391" s="16" t="str">
        <x:v>МАНЖЕТА АЯКЖ.ЦО.01.101-06 НАС НД2,5 100/</x:v>
      </x:c>
      <x:c r="D391" s="16" t="str">
        <x:v>ЗЧ к химичес насосам</x:v>
      </x:c>
      <x:c r="E391" s="16" t="str">
        <x:v>ШТ</x:v>
      </x:c>
      <x:c r="F391" s="21" t="n">
        <x:v>28</x:v>
      </x:c>
      <x:c r="G391" s="17" t="n">
        <x:v>260.775</x:v>
      </x:c>
      <x:c r="H391" s="17" t="n">
        <x:f>G391*F391</x:f>
        <x:v>7301.699999999999</x:v>
      </x:c>
      <x:c r="I391" s="22" t="str">
        <x:f>HYPERLINK("https://etp-aktiv.ru/catalog/materialy/zapasnye-chasti-promyshlennogo-oborudovaniya/2000567283-V311/","Открыть позицию")</x:f>
        <x:v>Открыть позицию</x:v>
      </x:c>
    </x:row>
    <x:row r="392" ht="28" customHeight="1">
      <x:c r="A392" s="16" t="str">
        <x:v>Назаровская ГРЭС</x:v>
      </x:c>
      <x:c r="B392" s="16" t="str">
        <x:v>2000943600-V311</x:v>
      </x:c>
      <x:c r="C392" s="16" t="str">
        <x:v>МАСЛО КОМПРЕССОРНОЕ К2-24</x:v>
      </x:c>
      <x:c r="D392" s="16" t="str">
        <x:v>Масла и смазки</x:v>
      </x:c>
      <x:c r="E392" s="16" t="str">
        <x:v>Т</x:v>
      </x:c>
      <x:c r="F392" s="30" t="n">
        <x:v>0.036</x:v>
      </x:c>
      <x:c r="G392" s="17" t="n">
        <x:v>127020.117</x:v>
      </x:c>
      <x:c r="H392" s="17" t="n">
        <x:f>G392*F392</x:f>
        <x:v>4572.724211999999</x:v>
      </x:c>
      <x:c r="I392" s="22" t="str">
        <x:f>HYPERLINK("https://etp-aktiv.ru/catalog/materialy/gsm/2000943600-V311/","Открыть позицию")</x:f>
        <x:v>Открыть позицию</x:v>
      </x:c>
    </x:row>
    <x:row r="393" ht="28" customHeight="1">
      <x:c r="A393" s="16" t="str">
        <x:v>Назаровская ГРЭС</x:v>
      </x:c>
      <x:c r="B393" s="16" t="str">
        <x:v>2000622886-V311</x:v>
      </x:c>
      <x:c r="C393" s="16" t="str">
        <x:v>МИКРОДВИГАТЕЛЬ VN5-13 ELCO NET4T05ZVN001</x:v>
      </x:c>
      <x:c r="D393" s="16" t="str">
        <x:v>Компл торг-техн обор</x:v>
      </x:c>
      <x:c r="E393" s="16" t="str">
        <x:v>ШТ</x:v>
      </x:c>
      <x:c r="F393" s="21" t="n">
        <x:v>2</x:v>
      </x:c>
      <x:c r="G393" s="17" t="n">
        <x:v>351.2746</x:v>
      </x:c>
      <x:c r="H393" s="17" t="n">
        <x:f>G393*F393</x:f>
        <x:v>702.5492</x:v>
      </x:c>
      <x:c r="I393" s="22" t="str">
        <x:f>HYPERLINK("https://etp-aktiv.ru/catalog/materialy/prochie-materialy/2000622886-V311/","Открыть позицию")</x:f>
        <x:v>Открыть позицию</x:v>
      </x:c>
    </x:row>
    <x:row r="394" ht="28" customHeight="1">
      <x:c r="A394" s="16" t="str">
        <x:v>Назаровская ГРЭС</x:v>
      </x:c>
      <x:c r="B394" s="16" t="str">
        <x:v>2000524068-V311</x:v>
      </x:c>
      <x:c r="C394" s="16" t="str">
        <x:v>МУФТА МЕТАЛЛОРУКАВ-КОРОБКА DKC 6014-25A</x:v>
      </x:c>
      <x:c r="D394" s="16" t="str">
        <x:v>Монтажн изд д/кабел</x:v>
      </x:c>
      <x:c r="E394" s="16" t="str">
        <x:v>ШТ</x:v>
      </x:c>
      <x:c r="F394" s="21" t="n">
        <x:v>0</x:v>
      </x:c>
      <x:c r="G394" s="17" t="n">
        <x:v>212.5728</x:v>
      </x:c>
      <x:c r="H394" s="17" t="n">
        <x:f>G394*F394</x:f>
        <x:v>0</x:v>
      </x:c>
      <x:c r="I394" s="22" t="str">
        <x:f>HYPERLINK("https://etp-aktiv.ru/catalog/materialy/ehlektrotekhnicheskie-materialy/2000524068-V311/","Открыть позицию")</x:f>
        <x:v>Открыть позицию</x:v>
      </x:c>
    </x:row>
    <x:row r="395" ht="28" customHeight="1">
      <x:c r="A395" s="16" t="str">
        <x:v>Назаровская ГРЭС</x:v>
      </x:c>
      <x:c r="B395" s="16" t="str">
        <x:v>2000694211-V311</x:v>
      </x:c>
      <x:c r="C395" s="16" t="str">
        <x:v>МУФТА МУВП К-2618.00.СБ</x:v>
      </x:c>
      <x:c r="D395" s="16" t="str">
        <x:v>ЗЧ вентиляц оборуд</x:v>
      </x:c>
      <x:c r="E395" s="16" t="str">
        <x:v>ШТ</x:v>
      </x:c>
      <x:c r="F395" s="21" t="n">
        <x:v>1</x:v>
      </x:c>
      <x:c r="G395" s="17" t="n">
        <x:v>43748.4436</x:v>
      </x:c>
      <x:c r="H395" s="17" t="n">
        <x:f>G395*F395</x:f>
        <x:v>43748.4436</x:v>
      </x:c>
      <x:c r="I395" s="22" t="str">
        <x:f>HYPERLINK("https://etp-aktiv.ru/catalog/materialy/zapasnye-chasti-promyshlennogo-oborudovaniya/2000694211-V311/","Открыть позицию")</x:f>
        <x:v>Открыть позицию</x:v>
      </x:c>
    </x:row>
    <x:row r="396" ht="28" customHeight="1">
      <x:c r="A396" s="16" t="str">
        <x:v>Назаровская ГРЭС</x:v>
      </x:c>
      <x:c r="B396" s="16" t="str">
        <x:v>2000995772-V311</x:v>
      </x:c>
      <x:c r="C396" s="16" t="str">
        <x:v>МУФТА ПРИВАРН ДАЭ 100.240.000 G3/4 L=40</x:v>
      </x:c>
      <x:c r="D396" s="16" t="str">
        <x:v>ЗЧ противопож оборуд</x:v>
      </x:c>
      <x:c r="E396" s="16" t="str">
        <x:v>ШТ</x:v>
      </x:c>
      <x:c r="F396" s="21" t="n">
        <x:v>10</x:v>
      </x:c>
      <x:c r="G396" s="17" t="n">
        <x:v>119.30380000000001</x:v>
      </x:c>
      <x:c r="H396" s="17" t="n">
        <x:f>G396*F396</x:f>
        <x:v>1193.038</x:v>
      </x:c>
      <x:c r="I396" s="22" t="str">
        <x:f>HYPERLINK("https://etp-aktiv.ru/catalog/materialy/protivopozharnye-materialy/2000995772-V311/","Открыть позицию")</x:f>
        <x:v>Открыть позицию</x:v>
      </x:c>
    </x:row>
    <x:row r="397" ht="28" customHeight="1">
      <x:c r="A397" s="16" t="str">
        <x:v>Назаровская ГРЭС</x:v>
      </x:c>
      <x:c r="B397" s="16" t="str">
        <x:v>2000498893-V311</x:v>
      </x:c>
      <x:c r="C397" s="16" t="str">
        <x:v>МУФТА ПРИВАРНАЯ МП G1/2 L=40</x:v>
      </x:c>
      <x:c r="D397" s="16" t="str">
        <x:v>ЗЧ противопож оборуд</x:v>
      </x:c>
      <x:c r="E397" s="16" t="str">
        <x:v>ШТ</x:v>
      </x:c>
      <x:c r="F397" s="21" t="n">
        <x:v>3</x:v>
      </x:c>
      <x:c r="G397" s="17" t="n">
        <x:v>54.0826</x:v>
      </x:c>
      <x:c r="H397" s="17" t="n">
        <x:f>G397*F397</x:f>
        <x:v>162.24779999999998</x:v>
      </x:c>
      <x:c r="I397" s="22" t="str">
        <x:f>HYPERLINK("https://etp-aktiv.ru/catalog/materialy/protivopozharnye-materialy/2000498893-V311/","Открыть позицию")</x:f>
        <x:v>Открыть позицию</x:v>
      </x:c>
    </x:row>
    <x:row r="398" ht="28" customHeight="1">
      <x:c r="A398" s="16" t="str">
        <x:v>Назаровская ГРЭС</x:v>
      </x:c>
      <x:c r="B398" s="16" t="str">
        <x:v>2000543367-V311</x:v>
      </x:c>
      <x:c r="C398" s="16" t="str">
        <x:v>НАБОР ЗВЕЗДОЧЕК 446100 9ПР</x:v>
      </x:c>
      <x:c r="D398" s="16" t="str">
        <x:v>Инструмент и спецосн</x:v>
      </x:c>
      <x:c r="E398" s="16" t="str">
        <x:v>ШТ</x:v>
      </x:c>
      <x:c r="F398" s="21" t="n">
        <x:v>10</x:v>
      </x:c>
      <x:c r="G398" s="17" t="n">
        <x:v>653.1270000000001</x:v>
      </x:c>
      <x:c r="H398" s="17" t="n">
        <x:f>G398*F398</x:f>
        <x:v>6531.27</x:v>
      </x:c>
      <x:c r="I398" s="22" t="str">
        <x:f>HYPERLINK("https://etp-aktiv.ru/catalog/materialy/instrument-i-specosnastka/2000543367-V311/","Открыть позицию")</x:f>
        <x:v>Открыть позицию</x:v>
      </x:c>
    </x:row>
    <x:row r="399" ht="28" customHeight="1">
      <x:c r="A399" s="16" t="str">
        <x:v>Назаровская ГРЭС</x:v>
      </x:c>
      <x:c r="B399" s="16" t="str">
        <x:v>2000831174-V311</x:v>
      </x:c>
      <x:c r="C399" s="16" t="str">
        <x:v>НАБОР НАПИЛЬНИКОВ КОБАЛЬТ 247-750 200ММ</x:v>
      </x:c>
      <x:c r="D399" s="16" t="str">
        <x:v>Инструмент и спецосн</x:v>
      </x:c>
      <x:c r="E399" s="16" t="str">
        <x:v>ШТ</x:v>
      </x:c>
      <x:c r="F399" s="21" t="n">
        <x:v>1</x:v>
      </x:c>
      <x:c r="G399" s="17" t="n">
        <x:v>649.0156000000001</x:v>
      </x:c>
      <x:c r="H399" s="17" t="n">
        <x:f>G399*F399</x:f>
        <x:v>649.0156000000001</x:v>
      </x:c>
      <x:c r="I399" s="22" t="str">
        <x:f>HYPERLINK("https://etp-aktiv.ru/catalog/materialy/instrument-i-specosnastka/2000831174-V311/","Открыть позицию")</x:f>
        <x:v>Открыть позицию</x:v>
      </x:c>
    </x:row>
    <x:row r="400" ht="28" customHeight="1">
      <x:c r="A400" s="16" t="str">
        <x:v>Назаровская ГРЭС</x:v>
      </x:c>
      <x:c r="B400" s="16" t="str">
        <x:v>5000064131-V311</x:v>
      </x:c>
      <x:c r="C400" s="16" t="str">
        <x:v>НАСОС ЦЕНТР ГНОМ 100-25ТР 12,5/380/2900</x:v>
      </x:c>
      <x:c r="D400" s="16" t="str">
        <x:v>НасосПогружныеЭнерге</x:v>
      </x:c>
      <x:c r="E400" s="16" t="str">
        <x:v>ШТ</x:v>
      </x:c>
      <x:c r="F400" s="21" t="n">
        <x:v>2</x:v>
      </x:c>
      <x:c r="G400" s="17" t="n">
        <x:v>56958.75</x:v>
      </x:c>
      <x:c r="H400" s="17" t="n">
        <x:f>G400*F400</x:f>
        <x:v>113917.5</x:v>
      </x:c>
      <x:c r="I400" s="22" t="str">
        <x:f>HYPERLINK("https://etp-aktiv.ru/catalog/materialy/nasosno-kompressornoe-oborudovanie/5000064131-V311/","Открыть позицию")</x:f>
        <x:v>Открыть позицию</x:v>
      </x:c>
    </x:row>
    <x:row r="401" ht="28" customHeight="1">
      <x:c r="A401" s="16" t="str">
        <x:v>Назаровская ГРЭС</x:v>
      </x:c>
      <x:c r="B401" s="16" t="str">
        <x:v>2000522135-V311</x:v>
      </x:c>
      <x:c r="C401" s="16" t="str">
        <x:v>НАСОС ЦИРКУЛЯЦИОННЫЙ UPC 25-60 180</x:v>
      </x:c>
      <x:c r="D401" s="16" t="str">
        <x:v>ЗЧ к инструмен насос</x:v>
      </x:c>
      <x:c r="E401" s="16" t="str">
        <x:v>ШТ</x:v>
      </x:c>
      <x:c r="F401" s="21" t="n">
        <x:v>2</x:v>
      </x:c>
      <x:c r="G401" s="17" t="n">
        <x:v>3985.3983999999996</x:v>
      </x:c>
      <x:c r="H401" s="17" t="n">
        <x:f>G401*F401</x:f>
        <x:v>7970.796799999999</x:v>
      </x:c>
      <x:c r="I401" s="22" t="str">
        <x:f>HYPERLINK("https://etp-aktiv.ru/catalog/materialy/nasosno-kompressornoe-oborudovanie/2000522135-V311/","Открыть позицию")</x:f>
        <x:v>Открыть позицию</x:v>
      </x:c>
    </x:row>
    <x:row r="402" ht="28" customHeight="1">
      <x:c r="A402" s="16" t="str">
        <x:v>Назаровская ГРЭС</x:v>
      </x:c>
      <x:c r="B402" s="16" t="str">
        <x:v>2000294659-V311</x:v>
      </x:c>
      <x:c r="C402" s="16" t="str">
        <x:v>ОЧИСТИТЕЛЬ ДВИГАТЕЛЯ HI-GEAR 5377 454Г</x:v>
      </x:c>
      <x:c r="D402" s="16" t="str">
        <x:v>Проч химич материалы</x:v>
      </x:c>
      <x:c r="E402" s="16" t="str">
        <x:v>ШТ</x:v>
      </x:c>
      <x:c r="F402" s="21" t="n">
        <x:v>7</x:v>
      </x:c>
      <x:c r="G402" s="17" t="n">
        <x:v>655.8231999999999</x:v>
      </x:c>
      <x:c r="H402" s="17" t="n">
        <x:f>G402*F402</x:f>
        <x:v>4590.7624</x:v>
      </x:c>
      <x:c r="I402" s="22" t="str">
        <x:f>HYPERLINK("https://etp-aktiv.ru/catalog/materialy/himicheskaya-produkciya/2000294659-V311/","Открыть позицию")</x:f>
        <x:v>Открыть позицию</x:v>
      </x:c>
    </x:row>
    <x:row r="403" ht="28" customHeight="1">
      <x:c r="A403" s="16" t="str">
        <x:v>Назаровская ГРЭС</x:v>
      </x:c>
      <x:c r="B403" s="16" t="str">
        <x:v>2000544091-V311</x:v>
      </x:c>
      <x:c r="C403" s="16" t="str">
        <x:v>ПАСТА АЛМАЗНАЯ АСМ 100Г 7/5 НОМ</x:v>
      </x:c>
      <x:c r="D403" s="16" t="str">
        <x:v>Инструмент и спецосн</x:v>
      </x:c>
      <x:c r="E403" s="16" t="str">
        <x:v>ШТ</x:v>
      </x:c>
      <x:c r="F403" s="21" t="n">
        <x:v>2</x:v>
      </x:c>
      <x:c r="G403" s="17" t="n">
        <x:v>238.3392</x:v>
      </x:c>
      <x:c r="H403" s="17" t="n">
        <x:f>G403*F403</x:f>
        <x:v>476.6784</x:v>
      </x:c>
      <x:c r="I403" s="22" t="str">
        <x:f>HYPERLINK("https://etp-aktiv.ru/catalog/materialy/instrument-i-specosnastka/2000544091-V311/","Открыть позицию")</x:f>
        <x:v>Открыть позицию</x:v>
      </x:c>
    </x:row>
    <x:row r="404" ht="28" customHeight="1">
      <x:c r="A404" s="16" t="str">
        <x:v>Назаровская ГРЭС</x:v>
      </x:c>
      <x:c r="B404" s="16" t="str">
        <x:v>2000645615-V311</x:v>
      </x:c>
      <x:c r="C404" s="16" t="str">
        <x:v>ПАСТА АЛМАЗНАЯ АСМ 28/20 НОМ</x:v>
      </x:c>
      <x:c r="D404" s="16" t="str">
        <x:v>Инструмент и спецосн</x:v>
      </x:c>
      <x:c r="E404" s="16" t="str">
        <x:v>Г</x:v>
      </x:c>
      <x:c r="F404" s="21" t="n">
        <x:v>530</x:v>
      </x:c>
      <x:c r="G404" s="17" t="n">
        <x:v>4.087</x:v>
      </x:c>
      <x:c r="H404" s="17" t="n">
        <x:f>G404*F404</x:f>
        <x:v>2166.1099999999997</x:v>
      </x:c>
      <x:c r="I404" s="22" t="str">
        <x:f>HYPERLINK("https://etp-aktiv.ru/catalog/materialy/instrument-i-specosnastka/2000645615-V311/","Открыть позицию")</x:f>
        <x:v>Открыть позицию</x:v>
      </x:c>
    </x:row>
    <x:row r="405" ht="28" customHeight="1">
      <x:c r="A405" s="16" t="str">
        <x:v>Назаровская ГРЭС</x:v>
      </x:c>
      <x:c r="B405" s="16" t="str">
        <x:v>2000544090-V311</x:v>
      </x:c>
      <x:c r="C405" s="16" t="str">
        <x:v>ПАСТА АЛМАЗНАЯ АСМ 7/5</x:v>
      </x:c>
      <x:c r="D405" s="16" t="str">
        <x:v>Инструмент и спецосн</x:v>
      </x:c>
      <x:c r="E405" s="16" t="str">
        <x:v>КГ</x:v>
      </x:c>
      <x:c r="F405" s="30" t="n">
        <x:v>0.3</x:v>
      </x:c>
      <x:c r="G405" s="17" t="n">
        <x:v>1237.08</x:v>
      </x:c>
      <x:c r="H405" s="17" t="n">
        <x:f>G405*F405</x:f>
        <x:v>371.12399999999997</x:v>
      </x:c>
      <x:c r="I405" s="22" t="str">
        <x:f>HYPERLINK("https://etp-aktiv.ru/catalog/materialy/instrument-i-specosnastka/2000544090-V311/","Открыть позицию")</x:f>
        <x:v>Открыть позицию</x:v>
      </x:c>
    </x:row>
    <x:row r="406" ht="28" customHeight="1">
      <x:c r="A406" s="16" t="str">
        <x:v>Назаровская ГРЭС</x:v>
      </x:c>
      <x:c r="B406" s="16" t="str">
        <x:v>2000199861-V311</x:v>
      </x:c>
      <x:c r="C406" s="16" t="str">
        <x:v>ПИКА-ЗУБИЛО 24*70ММ 1200</x:v>
      </x:c>
      <x:c r="D406" s="16" t="str">
        <x:v>Инструмент и спецосн</x:v>
      </x:c>
      <x:c r="E406" s="16" t="str">
        <x:v>ШТ</x:v>
      </x:c>
      <x:c r="F406" s="21" t="n">
        <x:v>3</x:v>
      </x:c>
      <x:c r="G406" s="17" t="n">
        <x:v>993.9096</x:v>
      </x:c>
      <x:c r="H406" s="17" t="n">
        <x:f>G406*F406</x:f>
        <x:v>2981.7288</x:v>
      </x:c>
      <x:c r="I406" s="22" t="str">
        <x:f>HYPERLINK("https://etp-aktiv.ru/catalog/materialy/instrument-i-specosnastka/2000199861-V311/","Открыть позицию")</x:f>
        <x:v>Открыть позицию</x:v>
      </x:c>
    </x:row>
    <x:row r="407" ht="28" customHeight="1">
      <x:c r="A407" s="16" t="str">
        <x:v>Назаровская ГРЭС</x:v>
      </x:c>
      <x:c r="B407" s="16" t="str">
        <x:v>2000199865-V311</x:v>
      </x:c>
      <x:c r="C407" s="16" t="str">
        <x:v>ПИКА-ЗУБИЛО 24*70ММ 700</x:v>
      </x:c>
      <x:c r="D407" s="16" t="str">
        <x:v>Инструмент и спецосн</x:v>
      </x:c>
      <x:c r="E407" s="16" t="str">
        <x:v>ШТ</x:v>
      </x:c>
      <x:c r="F407" s="21" t="n">
        <x:v>5</x:v>
      </x:c>
      <x:c r="G407" s="17" t="n">
        <x:v>624.4936</x:v>
      </x:c>
      <x:c r="H407" s="17" t="n">
        <x:f>G407*F407</x:f>
        <x:v>3122.468</x:v>
      </x:c>
      <x:c r="I407" s="22" t="str">
        <x:f>HYPERLINK("https://etp-aktiv.ru/catalog/materialy/instrument-i-specosnastka/2000199865-V311/","Открыть позицию")</x:f>
        <x:v>Открыть позицию</x:v>
      </x:c>
    </x:row>
    <x:row r="408" ht="28" customHeight="1">
      <x:c r="A408" s="16" t="str">
        <x:v>Назаровская ГРЭС</x:v>
      </x:c>
      <x:c r="B408" s="16" t="str">
        <x:v>2000003267-V311</x:v>
      </x:c>
      <x:c r="C408" s="16" t="str">
        <x:v>ПОДШИПНИК 112</x:v>
      </x:c>
      <x:c r="D408" s="16" t="str">
        <x:v>Подшипники</x:v>
      </x:c>
      <x:c r="E408" s="16" t="str">
        <x:v>ШТ</x:v>
      </x:c>
      <x:c r="F408" s="21" t="n">
        <x:v>15</x:v>
      </x:c>
      <x:c r="G408" s="17" t="n">
        <x:v>178.13219999999998</x:v>
      </x:c>
      <x:c r="H408" s="17" t="n">
        <x:f>G408*F408</x:f>
        <x:v>2671.9829999999997</x:v>
      </x:c>
      <x:c r="I408" s="22" t="str">
        <x:f>HYPERLINK("https://etp-aktiv.ru/catalog/materialy/podshipniki/2000003267-V311/","Открыть позицию")</x:f>
        <x:v>Открыть позицию</x:v>
      </x:c>
    </x:row>
    <x:row r="409" ht="28" customHeight="1">
      <x:c r="A409" s="16" t="str">
        <x:v>Назаровская ГРЭС</x:v>
      </x:c>
      <x:c r="B409" s="16" t="str">
        <x:v>2000034255-V311</x:v>
      </x:c>
      <x:c r="C409" s="16" t="str">
        <x:v>ПОДШИПНИК 11312</x:v>
      </x:c>
      <x:c r="D409" s="16" t="str">
        <x:v>Подшипники</x:v>
      </x:c>
      <x:c r="E409" s="16" t="str">
        <x:v>ШТ</x:v>
      </x:c>
      <x:c r="F409" s="21" t="n">
        <x:v>6</x:v>
      </x:c>
      <x:c r="G409" s="17" t="n">
        <x:v>604.7174</x:v>
      </x:c>
      <x:c r="H409" s="17" t="n">
        <x:f>G409*F409</x:f>
        <x:v>3628.3044</x:v>
      </x:c>
      <x:c r="I409" s="22" t="str">
        <x:f>HYPERLINK("https://etp-aktiv.ru/catalog/materialy/podshipniki/2000034255-V311/","Открыть позицию")</x:f>
        <x:v>Открыть позицию</x:v>
      </x:c>
    </x:row>
    <x:row r="410" ht="28" customHeight="1">
      <x:c r="A410" s="16" t="str">
        <x:v>Назаровская ГРЭС</x:v>
      </x:c>
      <x:c r="B410" s="16" t="str">
        <x:v>2000116673-V311</x:v>
      </x:c>
      <x:c r="C410" s="16" t="str">
        <x:v>ПОДШИПНИК 126</x:v>
      </x:c>
      <x:c r="D410" s="16" t="str">
        <x:v>Подшипники</x:v>
      </x:c>
      <x:c r="E410" s="16" t="str">
        <x:v>ШТ</x:v>
      </x:c>
      <x:c r="F410" s="21" t="n">
        <x:v>1</x:v>
      </x:c>
      <x:c r="G410" s="17" t="n">
        <x:v>1249.3775999999998</x:v>
      </x:c>
      <x:c r="H410" s="17" t="n">
        <x:f>G410*F410</x:f>
        <x:v>1249.3775999999998</x:v>
      </x:c>
      <x:c r="I410" s="22" t="str">
        <x:f>HYPERLINK("https://etp-aktiv.ru/catalog/materialy/podshipniki/2000116673-V311/","Открыть позицию")</x:f>
        <x:v>Открыть позицию</x:v>
      </x:c>
    </x:row>
    <x:row r="411" ht="28" customHeight="1">
      <x:c r="A411" s="16" t="str">
        <x:v>Назаровская ГРЭС</x:v>
      </x:c>
      <x:c r="B411" s="16" t="str">
        <x:v>2000127178-V311</x:v>
      </x:c>
      <x:c r="C411" s="16" t="str">
        <x:v>ПОДШИПНИК 130</x:v>
      </x:c>
      <x:c r="D411" s="16" t="str">
        <x:v>Подшипники</x:v>
      </x:c>
      <x:c r="E411" s="16" t="str">
        <x:v>ШТ</x:v>
      </x:c>
      <x:c r="F411" s="21" t="n">
        <x:v>41</x:v>
      </x:c>
      <x:c r="G411" s="17" t="n">
        <x:v>1213.8878</x:v>
      </x:c>
      <x:c r="H411" s="17" t="n">
        <x:f>G411*F411</x:f>
        <x:v>49769.3998</x:v>
      </x:c>
      <x:c r="I411" s="22" t="str">
        <x:f>HYPERLINK("https://etp-aktiv.ru/catalog/materialy/podshipniki/2000127178-V311/","Открыть позицию")</x:f>
        <x:v>Открыть позицию</x:v>
      </x:c>
    </x:row>
    <x:row r="412" ht="28" customHeight="1">
      <x:c r="A412" s="16" t="str">
        <x:v>Назаровская ГРЭС</x:v>
      </x:c>
      <x:c r="B412" s="16" t="str">
        <x:v>2000116435-V311</x:v>
      </x:c>
      <x:c r="C412" s="16" t="str">
        <x:v>ПОДШИПНИК 1309</x:v>
      </x:c>
      <x:c r="D412" s="16" t="str">
        <x:v>Подшипники</x:v>
      </x:c>
      <x:c r="E412" s="16" t="str">
        <x:v>ШТ</x:v>
      </x:c>
      <x:c r="F412" s="21" t="n">
        <x:v>2</x:v>
      </x:c>
      <x:c r="G412" s="17" t="n">
        <x:v>503.982</x:v>
      </x:c>
      <x:c r="H412" s="17" t="n">
        <x:f>G412*F412</x:f>
        <x:v>1007.964</x:v>
      </x:c>
      <x:c r="I412" s="22" t="str">
        <x:f>HYPERLINK("https://etp-aktiv.ru/catalog/materialy/podshipniki/2000116435-V311/","Открыть позицию")</x:f>
        <x:v>Открыть позицию</x:v>
      </x:c>
    </x:row>
    <x:row r="413" ht="28" customHeight="1">
      <x:c r="A413" s="16" t="str">
        <x:v>Назаровская ГРЭС</x:v>
      </x:c>
      <x:c r="B413" s="16" t="str">
        <x:v>2000116488-V311</x:v>
      </x:c>
      <x:c r="C413" s="16" t="str">
        <x:v>ПОДШИПНИК 1311</x:v>
      </x:c>
      <x:c r="D413" s="16" t="str">
        <x:v>Подшипники</x:v>
      </x:c>
      <x:c r="E413" s="16" t="str">
        <x:v>ШТ</x:v>
      </x:c>
      <x:c r="F413" s="21" t="n">
        <x:v>1</x:v>
      </x:c>
      <x:c r="G413" s="17" t="n">
        <x:v>839.97</x:v>
      </x:c>
      <x:c r="H413" s="17" t="n">
        <x:f>G413*F413</x:f>
        <x:v>839.97</x:v>
      </x:c>
      <x:c r="I413" s="22" t="str">
        <x:f>HYPERLINK("https://etp-aktiv.ru/catalog/materialy/podshipniki/2000116488-V311/","Открыть позицию")</x:f>
        <x:v>Открыть позицию</x:v>
      </x:c>
    </x:row>
    <x:row r="414" ht="28" customHeight="1">
      <x:c r="A414" s="16" t="str">
        <x:v>Назаровская ГРЭС</x:v>
      </x:c>
      <x:c r="B414" s="16" t="str">
        <x:v>2000454029-V311</x:v>
      </x:c>
      <x:c r="C414" s="16" t="str">
        <x:v>ПОДШИПНИК 1318</x:v>
      </x:c>
      <x:c r="D414" s="16" t="str">
        <x:v>Подшипники</x:v>
      </x:c>
      <x:c r="E414" s="16" t="str">
        <x:v>ШТ</x:v>
      </x:c>
      <x:c r="F414" s="21" t="n">
        <x:v>1</x:v>
      </x:c>
      <x:c r="G414" s="17" t="n">
        <x:v>759.9745999999999</x:v>
      </x:c>
      <x:c r="H414" s="17" t="n">
        <x:f>G414*F414</x:f>
        <x:v>759.9745999999999</x:v>
      </x:c>
      <x:c r="I414" s="22" t="str">
        <x:f>HYPERLINK("https://etp-aktiv.ru/catalog/materialy/podshipniki/2000454029-V311/","Открыть позицию")</x:f>
        <x:v>Открыть позицию</x:v>
      </x:c>
    </x:row>
    <x:row r="415" ht="28" customHeight="1">
      <x:c r="A415" s="16" t="str">
        <x:v>Назаровская ГРЭС</x:v>
      </x:c>
      <x:c r="B415" s="16" t="str">
        <x:v>2000556515-V311</x:v>
      </x:c>
      <x:c r="C415" s="16" t="str">
        <x:v>ПОДШИПНИК 1507</x:v>
      </x:c>
      <x:c r="D415" s="16" t="str">
        <x:v>Подшипники</x:v>
      </x:c>
      <x:c r="E415" s="16" t="str">
        <x:v>ШТ</x:v>
      </x:c>
      <x:c r="F415" s="21" t="n">
        <x:v>1</x:v>
      </x:c>
      <x:c r="G415" s="17" t="n">
        <x:v>88.63300000000001</x:v>
      </x:c>
      <x:c r="H415" s="17" t="n">
        <x:f>G415*F415</x:f>
        <x:v>88.63300000000001</x:v>
      </x:c>
      <x:c r="I415" s="22" t="str">
        <x:f>HYPERLINK("https://etp-aktiv.ru/catalog/materialy/podshipniki/2000556515-V311/","Открыть позицию")</x:f>
        <x:v>Открыть позицию</x:v>
      </x:c>
    </x:row>
    <x:row r="416" ht="28" customHeight="1">
      <x:c r="A416" s="16" t="str">
        <x:v>Назаровская ГРЭС</x:v>
      </x:c>
      <x:c r="B416" s="16" t="str">
        <x:v>2000116315-V311</x:v>
      </x:c>
      <x:c r="C416" s="16" t="str">
        <x:v>ПОДШИПНИК 180102</x:v>
      </x:c>
      <x:c r="D416" s="16" t="str">
        <x:v>Подшипники</x:v>
      </x:c>
      <x:c r="E416" s="16" t="str">
        <x:v>ШТ</x:v>
      </x:c>
      <x:c r="F416" s="21" t="n">
        <x:v>6</x:v>
      </x:c>
      <x:c r="G416" s="17" t="n">
        <x:v>45.75</x:v>
      </x:c>
      <x:c r="H416" s="17" t="n">
        <x:f>G416*F416</x:f>
        <x:v>274.5</x:v>
      </x:c>
      <x:c r="I416" s="22" t="str">
        <x:f>HYPERLINK("https://etp-aktiv.ru/catalog/materialy/podshipniki/2000116315-V311/","Открыть позицию")</x:f>
        <x:v>Открыть позицию</x:v>
      </x:c>
    </x:row>
    <x:row r="417" ht="28" customHeight="1">
      <x:c r="A417" s="16" t="str">
        <x:v>Назаровская ГРЭС</x:v>
      </x:c>
      <x:c r="B417" s="16" t="str">
        <x:v>2000452363-V311</x:v>
      </x:c>
      <x:c r="C417" s="16" t="str">
        <x:v>ПОДШИПНИК 180110</x:v>
      </x:c>
      <x:c r="D417" s="16" t="str">
        <x:v>Подшипники</x:v>
      </x:c>
      <x:c r="E417" s="16" t="str">
        <x:v>ШТ</x:v>
      </x:c>
      <x:c r="F417" s="21" t="n">
        <x:v>2</x:v>
      </x:c>
      <x:c r="G417" s="17" t="n">
        <x:v>95.1966</x:v>
      </x:c>
      <x:c r="H417" s="17" t="n">
        <x:f>G417*F417</x:f>
        <x:v>190.3932</x:v>
      </x:c>
      <x:c r="I417" s="22" t="str">
        <x:f>HYPERLINK("https://etp-aktiv.ru/catalog/materialy/podshipniki/2000452363-V311/","Открыть позицию")</x:f>
        <x:v>Открыть позицию</x:v>
      </x:c>
    </x:row>
    <x:row r="418" ht="28" customHeight="1">
      <x:c r="A418" s="16" t="str">
        <x:v>Назаровская ГРЭС</x:v>
      </x:c>
      <x:c r="B418" s="16" t="str">
        <x:v>2000116342-V311</x:v>
      </x:c>
      <x:c r="C418" s="16" t="str">
        <x:v>ПОДШИПНИК 180207</x:v>
      </x:c>
      <x:c r="D418" s="16" t="str">
        <x:v>Подшипники</x:v>
      </x:c>
      <x:c r="E418" s="16" t="str">
        <x:v>ШТ</x:v>
      </x:c>
      <x:c r="F418" s="21" t="n">
        <x:v>1</x:v>
      </x:c>
      <x:c r="G418" s="17" t="n">
        <x:v>84.3996</x:v>
      </x:c>
      <x:c r="H418" s="17" t="n">
        <x:f>G418*F418</x:f>
        <x:v>84.3996</x:v>
      </x:c>
      <x:c r="I418" s="22" t="str">
        <x:f>HYPERLINK("https://etp-aktiv.ru/catalog/materialy/podshipniki/2000116342-V311/","Открыть позицию")</x:f>
        <x:v>Открыть позицию</x:v>
      </x:c>
    </x:row>
    <x:row r="419" ht="28" customHeight="1">
      <x:c r="A419" s="16" t="str">
        <x:v>Назаровская ГРЭС</x:v>
      </x:c>
      <x:c r="B419" s="16" t="str">
        <x:v>2000116484-V311</x:v>
      </x:c>
      <x:c r="C419" s="16" t="str">
        <x:v>ПОДШИПНИК 180312</x:v>
      </x:c>
      <x:c r="D419" s="16" t="str">
        <x:v>Подшипники</x:v>
      </x:c>
      <x:c r="E419" s="16" t="str">
        <x:v>ШТ</x:v>
      </x:c>
      <x:c r="F419" s="21" t="n">
        <x:v>8</x:v>
      </x:c>
      <x:c r="G419" s="17" t="n">
        <x:v>297.5458</x:v>
      </x:c>
      <x:c r="H419" s="17" t="n">
        <x:f>G419*F419</x:f>
        <x:v>2380.3664</x:v>
      </x:c>
      <x:c r="I419" s="22" t="str">
        <x:f>HYPERLINK("https://etp-aktiv.ru/catalog/materialy/podshipniki/2000116484-V311/","Открыть позицию")</x:f>
        <x:v>Открыть позицию</x:v>
      </x:c>
    </x:row>
    <x:row r="420" ht="28" customHeight="1">
      <x:c r="A420" s="16" t="str">
        <x:v>Назаровская ГРЭС</x:v>
      </x:c>
      <x:c r="B420" s="16" t="str">
        <x:v>2000131416-V311</x:v>
      </x:c>
      <x:c r="C420" s="16" t="str">
        <x:v>ПОДШИПНИК 180313</x:v>
      </x:c>
      <x:c r="D420" s="16" t="str">
        <x:v>Подшипники</x:v>
      </x:c>
      <x:c r="E420" s="16" t="str">
        <x:v>ШТ</x:v>
      </x:c>
      <x:c r="F420" s="21" t="n">
        <x:v>0</x:v>
      </x:c>
      <x:c r="G420" s="17" t="n">
        <x:v>183.6466</x:v>
      </x:c>
      <x:c r="H420" s="17" t="n">
        <x:f>G420*F420</x:f>
        <x:v>0</x:v>
      </x:c>
      <x:c r="I420" s="22" t="str">
        <x:f>HYPERLINK("https://etp-aktiv.ru/catalog/materialy/podshipniki/2000131416-V311/","Открыть позицию")</x:f>
        <x:v>Открыть позицию</x:v>
      </x:c>
    </x:row>
    <x:row r="421" ht="28" customHeight="1">
      <x:c r="A421" s="16" t="str">
        <x:v>Назаровская ГРЭС</x:v>
      </x:c>
      <x:c r="B421" s="16" t="str">
        <x:v>2000171895-V311</x:v>
      </x:c>
      <x:c r="C421" s="16" t="str">
        <x:v>ПОДШИПНИК 180405</x:v>
      </x:c>
      <x:c r="D421" s="16" t="str">
        <x:v>Подшипники</x:v>
      </x:c>
      <x:c r="E421" s="16" t="str">
        <x:v>ШТ</x:v>
      </x:c>
      <x:c r="F421" s="21" t="n">
        <x:v>1</x:v>
      </x:c>
      <x:c r="G421" s="17" t="n">
        <x:v>197.2984</x:v>
      </x:c>
      <x:c r="H421" s="17" t="n">
        <x:f>G421*F421</x:f>
        <x:v>197.2984</x:v>
      </x:c>
      <x:c r="I421" s="22" t="str">
        <x:f>HYPERLINK("https://etp-aktiv.ru/catalog/materialy/podshipniki/2000171895-V311/","Открыть позицию")</x:f>
        <x:v>Открыть позицию</x:v>
      </x:c>
    </x:row>
    <x:row r="422" ht="28" customHeight="1">
      <x:c r="A422" s="16" t="str">
        <x:v>Назаровская ГРЭС</x:v>
      </x:c>
      <x:c r="B422" s="16" t="str">
        <x:v>2000127212-V311</x:v>
      </x:c>
      <x:c r="C422" s="16" t="str">
        <x:v>ПОДШИПНИК 180604</x:v>
      </x:c>
      <x:c r="D422" s="16" t="str">
        <x:v>Подшипники</x:v>
      </x:c>
      <x:c r="E422" s="16" t="str">
        <x:v>ШТ</x:v>
      </x:c>
      <x:c r="F422" s="21" t="n">
        <x:v>5</x:v>
      </x:c>
      <x:c r="G422" s="17" t="n">
        <x:v>51.996399999999994</x:v>
      </x:c>
      <x:c r="H422" s="17" t="n">
        <x:f>G422*F422</x:f>
        <x:v>259.98199999999997</x:v>
      </x:c>
      <x:c r="I422" s="22" t="str">
        <x:f>HYPERLINK("https://etp-aktiv.ru/catalog/materialy/podshipniki/2000127212-V311/","Открыть позицию")</x:f>
        <x:v>Открыть позицию</x:v>
      </x:c>
    </x:row>
    <x:row r="423" ht="28" customHeight="1">
      <x:c r="A423" s="16" t="str">
        <x:v>Назаровская ГРЭС</x:v>
      </x:c>
      <x:c r="B423" s="16" t="str">
        <x:v>2000116404-V311</x:v>
      </x:c>
      <x:c r="C423" s="16" t="str">
        <x:v>ПОДШИПНИК 180606</x:v>
      </x:c>
      <x:c r="D423" s="16" t="str">
        <x:v>Подшипники</x:v>
      </x:c>
      <x:c r="E423" s="16" t="str">
        <x:v>ШТ</x:v>
      </x:c>
      <x:c r="F423" s="21" t="n">
        <x:v>6</x:v>
      </x:c>
      <x:c r="G423" s="17" t="n">
        <x:v>122.0488</x:v>
      </x:c>
      <x:c r="H423" s="17" t="n">
        <x:f>G423*F423</x:f>
        <x:v>732.2927999999999</x:v>
      </x:c>
      <x:c r="I423" s="22" t="str">
        <x:f>HYPERLINK("https://etp-aktiv.ru/catalog/materialy/podshipniki/2000116404-V311/","Открыть позицию")</x:f>
        <x:v>Открыть позицию</x:v>
      </x:c>
    </x:row>
    <x:row r="424" ht="28" customHeight="1">
      <x:c r="A424" s="16" t="str">
        <x:v>Назаровская ГРЭС</x:v>
      </x:c>
      <x:c r="B424" s="16" t="str">
        <x:v>2000116455-V311</x:v>
      </x:c>
      <x:c r="C424" s="16" t="str">
        <x:v>ПОДШИПНИК 180609</x:v>
      </x:c>
      <x:c r="D424" s="16" t="str">
        <x:v>Подшипники</x:v>
      </x:c>
      <x:c r="E424" s="16" t="str">
        <x:v>ШТ</x:v>
      </x:c>
      <x:c r="F424" s="21" t="n">
        <x:v>1</x:v>
      </x:c>
      <x:c r="G424" s="17" t="n">
        <x:v>332.8282</x:v>
      </x:c>
      <x:c r="H424" s="17" t="n">
        <x:f>G424*F424</x:f>
        <x:v>332.8282</x:v>
      </x:c>
      <x:c r="I424" s="22" t="str">
        <x:f>HYPERLINK("https://etp-aktiv.ru/catalog/materialy/podshipniki/2000116455-V311/","Открыть позицию")</x:f>
        <x:v>Открыть позицию</x:v>
      </x:c>
    </x:row>
    <x:row r="425" ht="28" customHeight="1">
      <x:c r="A425" s="16" t="str">
        <x:v>Назаровская ГРЭС</x:v>
      </x:c>
      <x:c r="B425" s="16" t="str">
        <x:v>2000116495-V311</x:v>
      </x:c>
      <x:c r="C425" s="16" t="str">
        <x:v>ПОДШИПНИК 180610</x:v>
      </x:c>
      <x:c r="D425" s="16" t="str">
        <x:v>Подшипники</x:v>
      </x:c>
      <x:c r="E425" s="16" t="str">
        <x:v>ШТ</x:v>
      </x:c>
      <x:c r="F425" s="21" t="n">
        <x:v>1</x:v>
      </x:c>
      <x:c r="G425" s="17" t="n">
        <x:v>368.9524</x:v>
      </x:c>
      <x:c r="H425" s="17" t="n">
        <x:f>G425*F425</x:f>
        <x:v>368.9524</x:v>
      </x:c>
      <x:c r="I425" s="22" t="str">
        <x:f>HYPERLINK("https://etp-aktiv.ru/catalog/materialy/podshipniki/2000116495-V311/","Открыть позицию")</x:f>
        <x:v>Открыть позицию</x:v>
      </x:c>
    </x:row>
    <x:row r="426" ht="28" customHeight="1">
      <x:c r="A426" s="16" t="str">
        <x:v>Назаровская ГРЭС</x:v>
      </x:c>
      <x:c r="B426" s="16" t="str">
        <x:v>2000072695-V311</x:v>
      </x:c>
      <x:c r="C426" s="16" t="str">
        <x:v>ПОДШИПНИК 1941052АУ</x:v>
      </x:c>
      <x:c r="D426" s="16" t="str">
        <x:v>Подшипники</x:v>
      </x:c>
      <x:c r="E426" s="16" t="str">
        <x:v>ШТ</x:v>
      </x:c>
      <x:c r="F426" s="21" t="n">
        <x:v>5</x:v>
      </x:c>
      <x:c r="G426" s="17" t="n">
        <x:v>157.2702</x:v>
      </x:c>
      <x:c r="H426" s="17" t="n">
        <x:f>G426*F426</x:f>
        <x:v>786.3509999999999</x:v>
      </x:c>
      <x:c r="I426" s="22" t="str">
        <x:f>HYPERLINK("https://etp-aktiv.ru/catalog/materialy/podshipniki/2000072695-V311/","Открыть позицию")</x:f>
        <x:v>Открыть позицию</x:v>
      </x:c>
    </x:row>
    <x:row r="427" ht="28" customHeight="1">
      <x:c r="A427" s="16" t="str">
        <x:v>Назаровская ГРЭС</x:v>
      </x:c>
      <x:c r="B427" s="16" t="str">
        <x:v>2000116564-V311</x:v>
      </x:c>
      <x:c r="C427" s="16" t="str">
        <x:v>ПОДШИПНИК 2007124</x:v>
      </x:c>
      <x:c r="D427" s="16" t="str">
        <x:v>Подшипники</x:v>
      </x:c>
      <x:c r="E427" s="16" t="str">
        <x:v>ШТ</x:v>
      </x:c>
      <x:c r="F427" s="21" t="n">
        <x:v>0</x:v>
      </x:c>
      <x:c r="G427" s="17" t="n">
        <x:v>398.20799999999997</x:v>
      </x:c>
      <x:c r="H427" s="17" t="n">
        <x:f>G427*F427</x:f>
        <x:v>0</x:v>
      </x:c>
      <x:c r="I427" s="22" t="str">
        <x:f>HYPERLINK("https://etp-aktiv.ru/catalog/materialy/podshipniki/2000116564-V311/","Открыть позицию")</x:f>
        <x:v>Открыть позицию</x:v>
      </x:c>
    </x:row>
    <x:row r="428" ht="28" customHeight="1">
      <x:c r="A428" s="16" t="str">
        <x:v>Назаровская ГРЭС</x:v>
      </x:c>
      <x:c r="B428" s="16" t="str">
        <x:v>2000116330-V311</x:v>
      </x:c>
      <x:c r="C428" s="16" t="str">
        <x:v>ПОДШИПНИК 206</x:v>
      </x:c>
      <x:c r="D428" s="16" t="str">
        <x:v>Подшипники</x:v>
      </x:c>
      <x:c r="E428" s="16" t="str">
        <x:v>ШТ</x:v>
      </x:c>
      <x:c r="F428" s="21" t="n">
        <x:v>4</x:v>
      </x:c>
      <x:c r="G428" s="17" t="n">
        <x:v>60.79259999999999</x:v>
      </x:c>
      <x:c r="H428" s="17" t="n">
        <x:f>G428*F428</x:f>
        <x:v>243.17039999999997</x:v>
      </x:c>
      <x:c r="I428" s="22" t="str">
        <x:f>HYPERLINK("https://etp-aktiv.ru/catalog/materialy/podshipniki/2000116330-V311/","Открыть позицию")</x:f>
        <x:v>Открыть позицию</x:v>
      </x:c>
    </x:row>
    <x:row r="429" ht="28" customHeight="1">
      <x:c r="A429" s="16" t="str">
        <x:v>Назаровская ГРЭС</x:v>
      </x:c>
      <x:c r="B429" s="16" t="str">
        <x:v>2000116541-V311</x:v>
      </x:c>
      <x:c r="C429" s="16" t="str">
        <x:v>ПОДШИПНИК 215</x:v>
      </x:c>
      <x:c r="D429" s="16" t="str">
        <x:v>Подшипники</x:v>
      </x:c>
      <x:c r="E429" s="16" t="str">
        <x:v>ШТ</x:v>
      </x:c>
      <x:c r="F429" s="21" t="n">
        <x:v>2</x:v>
      </x:c>
      <x:c r="G429" s="17" t="n">
        <x:v>481.9732</x:v>
      </x:c>
      <x:c r="H429" s="17" t="n">
        <x:f>G429*F429</x:f>
        <x:v>963.9464</x:v>
      </x:c>
      <x:c r="I429" s="22" t="str">
        <x:f>HYPERLINK("https://etp-aktiv.ru/catalog/materialy/podshipniki/2000116541-V311/","Открыть позицию")</x:f>
        <x:v>Открыть позицию</x:v>
      </x:c>
    </x:row>
    <x:row r="430" ht="28" customHeight="1">
      <x:c r="A430" s="16" t="str">
        <x:v>Назаровская ГРЭС</x:v>
      </x:c>
      <x:c r="B430" s="16" t="str">
        <x:v>2000015559-V311</x:v>
      </x:c>
      <x:c r="C430" s="16" t="str">
        <x:v>ПОДШИПНИК 22230 CC/W33</x:v>
      </x:c>
      <x:c r="D430" s="16" t="str">
        <x:v>Подшипники</x:v>
      </x:c>
      <x:c r="E430" s="16" t="str">
        <x:v>ШТ</x:v>
      </x:c>
      <x:c r="F430" s="21" t="n">
        <x:v>12</x:v>
      </x:c>
      <x:c r="G430" s="17" t="n">
        <x:v>5097.196599999999</x:v>
      </x:c>
      <x:c r="H430" s="17" t="n">
        <x:f>G430*F430</x:f>
        <x:v>61166.35919999999</x:v>
      </x:c>
      <x:c r="I430" s="22" t="str">
        <x:f>HYPERLINK("https://etp-aktiv.ru/catalog/materialy/podshipniki/2000015559-V311/","Открыть позицию")</x:f>
        <x:v>Открыть позицию</x:v>
      </x:c>
    </x:row>
    <x:row r="431" ht="28" customHeight="1">
      <x:c r="A431" s="16" t="str">
        <x:v>Назаровская ГРЭС</x:v>
      </x:c>
      <x:c r="B431" s="16" t="str">
        <x:v>2000116440-V311</x:v>
      </x:c>
      <x:c r="C431" s="16" t="str">
        <x:v>ПОДШИПНИК 2309</x:v>
      </x:c>
      <x:c r="D431" s="16" t="str">
        <x:v>Подшипники</x:v>
      </x:c>
      <x:c r="E431" s="16" t="str">
        <x:v>ШТ</x:v>
      </x:c>
      <x:c r="F431" s="21" t="n">
        <x:v>2</x:v>
      </x:c>
      <x:c r="G431" s="17" t="n">
        <x:v>244.12199999999999</x:v>
      </x:c>
      <x:c r="H431" s="17" t="n">
        <x:f>G431*F431</x:f>
        <x:v>488.24399999999997</x:v>
      </x:c>
      <x:c r="I431" s="22" t="str">
        <x:f>HYPERLINK("https://etp-aktiv.ru/catalog/materialy/podshipniki/2000116440-V311/","Открыть позицию")</x:f>
        <x:v>Открыть позицию</x:v>
      </x:c>
    </x:row>
    <x:row r="432" ht="28" customHeight="1">
      <x:c r="A432" s="16" t="str">
        <x:v>Назаровская ГРЭС</x:v>
      </x:c>
      <x:c r="B432" s="16" t="str">
        <x:v>2000115345-V311</x:v>
      </x:c>
      <x:c r="C432" s="16" t="str">
        <x:v>ПОДШИПНИК 2311</x:v>
      </x:c>
      <x:c r="D432" s="16" t="str">
        <x:v>Подшипники</x:v>
      </x:c>
      <x:c r="E432" s="16" t="str">
        <x:v>ШТ</x:v>
      </x:c>
      <x:c r="F432" s="21" t="n">
        <x:v>1</x:v>
      </x:c>
      <x:c r="G432" s="17" t="n">
        <x:v>359.0704</x:v>
      </x:c>
      <x:c r="H432" s="17" t="n">
        <x:f>G432*F432</x:f>
        <x:v>359.0704</x:v>
      </x:c>
      <x:c r="I432" s="22" t="str">
        <x:f>HYPERLINK("https://etp-aktiv.ru/catalog/materialy/podshipniki/2000115345-V311/","Открыть позицию")</x:f>
        <x:v>Открыть позицию</x:v>
      </x:c>
    </x:row>
    <x:row r="433" ht="28" customHeight="1">
      <x:c r="A433" s="16" t="str">
        <x:v>Назаровская ГРЭС</x:v>
      </x:c>
      <x:c r="B433" s="16" t="str">
        <x:v>2000116520-V311</x:v>
      </x:c>
      <x:c r="C433" s="16" t="str">
        <x:v>ПОДШИПНИК 2312</x:v>
      </x:c>
      <x:c r="D433" s="16" t="str">
        <x:v>Подшипники</x:v>
      </x:c>
      <x:c r="E433" s="16" t="str">
        <x:v>ШТ</x:v>
      </x:c>
      <x:c r="F433" s="21" t="n">
        <x:v>2</x:v>
      </x:c>
      <x:c r="G433" s="17" t="n">
        <x:v>456.62159999999994</x:v>
      </x:c>
      <x:c r="H433" s="17" t="n">
        <x:f>G433*F433</x:f>
        <x:v>913.2431999999999</x:v>
      </x:c>
      <x:c r="I433" s="22" t="str">
        <x:f>HYPERLINK("https://etp-aktiv.ru/catalog/materialy/podshipniki/2000116520-V311/","Открыть позицию")</x:f>
        <x:v>Открыть позицию</x:v>
      </x:c>
    </x:row>
    <x:row r="434" ht="28" customHeight="1">
      <x:c r="A434" s="16" t="str">
        <x:v>Назаровская ГРЭС</x:v>
      </x:c>
      <x:c r="B434" s="16" t="str">
        <x:v>2000556589-V311</x:v>
      </x:c>
      <x:c r="C434" s="16" t="str">
        <x:v>ПОДШИПНИК 23134CCK/W33+H3134</x:v>
      </x:c>
      <x:c r="D434" s="16" t="str">
        <x:v>Подшипники</x:v>
      </x:c>
      <x:c r="E434" s="16" t="str">
        <x:v>ШТ</x:v>
      </x:c>
      <x:c r="F434" s="21" t="n">
        <x:v>30</x:v>
      </x:c>
      <x:c r="G434" s="17" t="n">
        <x:v>9762.928</x:v>
      </x:c>
      <x:c r="H434" s="17" t="n">
        <x:f>G434*F434</x:f>
        <x:v>292887.83999999997</x:v>
      </x:c>
      <x:c r="I434" s="22" t="str">
        <x:f>HYPERLINK("https://etp-aktiv.ru/catalog/materialy/podshipniki/2000556589-V311/","Открыть позицию")</x:f>
        <x:v>Открыть позицию</x:v>
      </x:c>
    </x:row>
    <x:row r="435" ht="28" customHeight="1">
      <x:c r="A435" s="16" t="str">
        <x:v>Назаровская ГРЭС</x:v>
      </x:c>
      <x:c r="B435" s="16" t="str">
        <x:v>2000127184-V311</x:v>
      </x:c>
      <x:c r="C435" s="16" t="str">
        <x:v>ПОДШИПНИК 2316</x:v>
      </x:c>
      <x:c r="D435" s="16" t="str">
        <x:v>Подшипники</x:v>
      </x:c>
      <x:c r="E435" s="16" t="str">
        <x:v>ШТ</x:v>
      </x:c>
      <x:c r="F435" s="21" t="n">
        <x:v>1</x:v>
      </x:c>
      <x:c r="G435" s="17" t="n">
        <x:v>473.2624</x:v>
      </x:c>
      <x:c r="H435" s="17" t="n">
        <x:f>G435*F435</x:f>
        <x:v>473.2624</x:v>
      </x:c>
      <x:c r="I435" s="22" t="str">
        <x:f>HYPERLINK("https://etp-aktiv.ru/catalog/materialy/podshipniki/2000127184-V311/","Открыть позицию")</x:f>
        <x:v>Открыть позицию</x:v>
      </x:c>
    </x:row>
    <x:row r="436" ht="28" customHeight="1">
      <x:c r="A436" s="16" t="str">
        <x:v>Назаровская ГРЭС</x:v>
      </x:c>
      <x:c r="B436" s="16" t="str">
        <x:v>2000034389-V311</x:v>
      </x:c>
      <x:c r="C436" s="16" t="str">
        <x:v>ПОДШИПНИК 270213</x:v>
      </x:c>
      <x:c r="D436" s="16" t="str">
        <x:v>Подшипники</x:v>
      </x:c>
      <x:c r="E436" s="16" t="str">
        <x:v>ШТ</x:v>
      </x:c>
      <x:c r="F436" s="21" t="n">
        <x:v>1</x:v>
      </x:c>
      <x:c r="G436" s="17" t="n">
        <x:v>193.0162</x:v>
      </x:c>
      <x:c r="H436" s="17" t="n">
        <x:f>G436*F436</x:f>
        <x:v>193.0162</x:v>
      </x:c>
      <x:c r="I436" s="22" t="str">
        <x:f>HYPERLINK("https://etp-aktiv.ru/catalog/materialy/podshipniki/2000034389-V311/","Открыть позицию")</x:f>
        <x:v>Открыть позицию</x:v>
      </x:c>
    </x:row>
    <x:row r="437" ht="28" customHeight="1">
      <x:c r="A437" s="16" t="str">
        <x:v>Назаровская ГРЭС</x:v>
      </x:c>
      <x:c r="B437" s="16" t="str">
        <x:v>2000116629-V311</x:v>
      </x:c>
      <x:c r="C437" s="16" t="str">
        <x:v>ПОДШИПНИК 27313</x:v>
      </x:c>
      <x:c r="D437" s="16" t="str">
        <x:v>Подшипники</x:v>
      </x:c>
      <x:c r="E437" s="16" t="str">
        <x:v>ШТ</x:v>
      </x:c>
      <x:c r="F437" s="21" t="n">
        <x:v>0</x:v>
      </x:c>
      <x:c r="G437" s="17" t="n">
        <x:v>351.6406</x:v>
      </x:c>
      <x:c r="H437" s="17" t="n">
        <x:f>G437*F437</x:f>
        <x:v>0</x:v>
      </x:c>
      <x:c r="I437" s="22" t="str">
        <x:f>HYPERLINK("https://etp-aktiv.ru/catalog/materialy/podshipniki/2000116629-V311/","Открыть позицию")</x:f>
        <x:v>Открыть позицию</x:v>
      </x:c>
    </x:row>
    <x:row r="438" ht="28" customHeight="1">
      <x:c r="A438" s="16" t="str">
        <x:v>Назаровская ГРЭС</x:v>
      </x:c>
      <x:c r="B438" s="16" t="str">
        <x:v>2000116501-V311</x:v>
      </x:c>
      <x:c r="C438" s="16" t="str">
        <x:v>ПОДШИПНИК 27911</x:v>
      </x:c>
      <x:c r="D438" s="16" t="str">
        <x:v>Подшипники</x:v>
      </x:c>
      <x:c r="E438" s="16" t="str">
        <x:v>ШТ</x:v>
      </x:c>
      <x:c r="F438" s="21" t="n">
        <x:v>3</x:v>
      </x:c>
      <x:c r="G438" s="17" t="n">
        <x:v>440.8348</x:v>
      </x:c>
      <x:c r="H438" s="17" t="n">
        <x:f>G438*F438</x:f>
        <x:v>1322.5043999999998</x:v>
      </x:c>
      <x:c r="I438" s="22" t="str">
        <x:f>HYPERLINK("https://etp-aktiv.ru/catalog/materialy/podshipniki/2000116501-V311/","Открыть позицию")</x:f>
        <x:v>Открыть позицию</x:v>
      </x:c>
    </x:row>
    <x:row r="439" ht="28" customHeight="1">
      <x:c r="A439" s="16" t="str">
        <x:v>Назаровская ГРЭС</x:v>
      </x:c>
      <x:c r="B439" s="16" t="str">
        <x:v>2000006074-V311</x:v>
      </x:c>
      <x:c r="C439" s="16" t="str">
        <x:v>ПОДШИПНИК 292213</x:v>
      </x:c>
      <x:c r="D439" s="16" t="str">
        <x:v>Подшипники</x:v>
      </x:c>
      <x:c r="E439" s="16" t="str">
        <x:v>ШТ</x:v>
      </x:c>
      <x:c r="F439" s="21" t="n">
        <x:v>5</x:v>
      </x:c>
      <x:c r="G439" s="17" t="n">
        <x:v>182.0362</x:v>
      </x:c>
      <x:c r="H439" s="17" t="n">
        <x:f>G439*F439</x:f>
        <x:v>910.181</x:v>
      </x:c>
      <x:c r="I439" s="22" t="str">
        <x:f>HYPERLINK("https://etp-aktiv.ru/catalog/materialy/podshipniki/2000006074-V311/","Открыть позицию")</x:f>
        <x:v>Открыть позицию</x:v>
      </x:c>
    </x:row>
    <x:row r="440" ht="28" customHeight="1">
      <x:c r="A440" s="16" t="str">
        <x:v>Назаровская ГРЭС</x:v>
      </x:c>
      <x:c r="B440" s="16" t="str">
        <x:v>2000034410-V311</x:v>
      </x:c>
      <x:c r="C440" s="16" t="str">
        <x:v>ПОДШИПНИК 30204</x:v>
      </x:c>
      <x:c r="D440" s="16" t="str">
        <x:v>Подшипники</x:v>
      </x:c>
      <x:c r="E440" s="16" t="str">
        <x:v>ШТ</x:v>
      </x:c>
      <x:c r="F440" s="21" t="n">
        <x:v>1</x:v>
      </x:c>
      <x:c r="G440" s="17" t="n">
        <x:v>43.92</x:v>
      </x:c>
      <x:c r="H440" s="17" t="n">
        <x:f>G440*F440</x:f>
        <x:v>43.92</x:v>
      </x:c>
      <x:c r="I440" s="22" t="str">
        <x:f>HYPERLINK("https://etp-aktiv.ru/catalog/materialy/podshipniki/2000034410-V311/","Открыть позицию")</x:f>
        <x:v>Открыть позицию</x:v>
      </x:c>
    </x:row>
    <x:row r="441" ht="28" customHeight="1">
      <x:c r="A441" s="16" t="str">
        <x:v>Назаровская ГРЭС</x:v>
      </x:c>
      <x:c r="B441" s="16" t="str">
        <x:v>2000483165-V311</x:v>
      </x:c>
      <x:c r="C441" s="16" t="str">
        <x:v>ПОДШИПНИК 30214</x:v>
      </x:c>
      <x:c r="D441" s="16" t="str">
        <x:v>Подшипники</x:v>
      </x:c>
      <x:c r="E441" s="16" t="str">
        <x:v>ШТ</x:v>
      </x:c>
      <x:c r="F441" s="21" t="n">
        <x:v>9</x:v>
      </x:c>
      <x:c r="G441" s="17" t="n">
        <x:v>649.0156000000001</x:v>
      </x:c>
      <x:c r="H441" s="17" t="n">
        <x:f>G441*F441</x:f>
        <x:v>5841.1404</x:v>
      </x:c>
      <x:c r="I441" s="22" t="str">
        <x:f>HYPERLINK("https://etp-aktiv.ru/catalog/materialy/podshipniki/2000483165-V311/","Открыть позицию")</x:f>
        <x:v>Открыть позицию</x:v>
      </x:c>
    </x:row>
    <x:row r="442" ht="28" customHeight="1">
      <x:c r="A442" s="16" t="str">
        <x:v>Назаровская ГРЭС</x:v>
      </x:c>
      <x:c r="B442" s="16" t="str">
        <x:v>2000116327-V311</x:v>
      </x:c>
      <x:c r="C442" s="16" t="str">
        <x:v>ПОДШИПНИК 304</x:v>
      </x:c>
      <x:c r="D442" s="16" t="str">
        <x:v>Подшипники</x:v>
      </x:c>
      <x:c r="E442" s="16" t="str">
        <x:v>ШТ</x:v>
      </x:c>
      <x:c r="F442" s="21" t="n">
        <x:v>35</x:v>
      </x:c>
      <x:c r="G442" s="17" t="n">
        <x:v>43.9566</x:v>
      </x:c>
      <x:c r="H442" s="17" t="n">
        <x:f>G442*F442</x:f>
        <x:v>1538.481</x:v>
      </x:c>
      <x:c r="I442" s="22" t="str">
        <x:f>HYPERLINK("https://etp-aktiv.ru/catalog/materialy/podshipniki/2000116327-V311/","Открыть позицию")</x:f>
        <x:v>Открыть позицию</x:v>
      </x:c>
    </x:row>
    <x:row r="443" ht="28" customHeight="1">
      <x:c r="A443" s="16" t="str">
        <x:v>Назаровская ГРЭС</x:v>
      </x:c>
      <x:c r="B443" s="16" t="str">
        <x:v>2000116385-V311</x:v>
      </x:c>
      <x:c r="C443" s="16" t="str">
        <x:v>ПОДШИПНИК 308</x:v>
      </x:c>
      <x:c r="D443" s="16" t="str">
        <x:v>Подшипники</x:v>
      </x:c>
      <x:c r="E443" s="16" t="str">
        <x:v>ШТ</x:v>
      </x:c>
      <x:c r="F443" s="21" t="n">
        <x:v>3</x:v>
      </x:c>
      <x:c r="G443" s="17" t="n">
        <x:v>136.579</x:v>
      </x:c>
      <x:c r="H443" s="17" t="n">
        <x:f>G443*F443</x:f>
        <x:v>409.737</x:v>
      </x:c>
      <x:c r="I443" s="22" t="str">
        <x:f>HYPERLINK("https://etp-aktiv.ru/catalog/materialy/podshipniki/2000116385-V311/","Открыть позицию")</x:f>
        <x:v>Открыть позицию</x:v>
      </x:c>
    </x:row>
    <x:row r="444" ht="28" customHeight="1">
      <x:c r="A444" s="16" t="str">
        <x:v>Назаровская ГРЭС</x:v>
      </x:c>
      <x:c r="B444" s="16" t="str">
        <x:v>2000174223-V311</x:v>
      </x:c>
      <x:c r="C444" s="16" t="str">
        <x:v>ПОДШИПНИК 32208</x:v>
      </x:c>
      <x:c r="D444" s="16" t="str">
        <x:v>Подшипники</x:v>
      </x:c>
      <x:c r="E444" s="16" t="str">
        <x:v>ШТ</x:v>
      </x:c>
      <x:c r="F444" s="21" t="n">
        <x:v>4</x:v>
      </x:c>
      <x:c r="G444" s="17" t="n">
        <x:v>151.2678</x:v>
      </x:c>
      <x:c r="H444" s="17" t="n">
        <x:f>G444*F444</x:f>
        <x:v>605.0712</x:v>
      </x:c>
      <x:c r="I444" s="22" t="str">
        <x:f>HYPERLINK("https://etp-aktiv.ru/catalog/materialy/podshipniki/2000174223-V311/","Открыть позицию")</x:f>
        <x:v>Открыть позицию</x:v>
      </x:c>
    </x:row>
    <x:row r="445" ht="28" customHeight="1">
      <x:c r="A445" s="16" t="str">
        <x:v>Назаровская ГРЭС</x:v>
      </x:c>
      <x:c r="B445" s="16" t="str">
        <x:v>2000034435-V311</x:v>
      </x:c>
      <x:c r="C445" s="16" t="str">
        <x:v>ПОДШИПНИК 32217</x:v>
      </x:c>
      <x:c r="D445" s="16" t="str">
        <x:v>Подшипники</x:v>
      </x:c>
      <x:c r="E445" s="16" t="str">
        <x:v>ШТ</x:v>
      </x:c>
      <x:c r="F445" s="21" t="n">
        <x:v>0</x:v>
      </x:c>
      <x:c r="G445" s="17" t="n">
        <x:v>269.6932</x:v>
      </x:c>
      <x:c r="H445" s="17" t="n">
        <x:f>G445*F445</x:f>
        <x:v>0</x:v>
      </x:c>
      <x:c r="I445" s="22" t="str">
        <x:f>HYPERLINK("https://etp-aktiv.ru/catalog/materialy/podshipniki/2000034435-V311/","Открыть позицию")</x:f>
        <x:v>Открыть позицию</x:v>
      </x:c>
    </x:row>
    <x:row r="446" ht="28" customHeight="1">
      <x:c r="A446" s="16" t="str">
        <x:v>Назаровская ГРЭС</x:v>
      </x:c>
      <x:c r="B446" s="16" t="str">
        <x:v>2000556533-V311</x:v>
      </x:c>
      <x:c r="C446" s="16" t="str">
        <x:v>ПОДШИПНИК 32238</x:v>
      </x:c>
      <x:c r="D446" s="16" t="str">
        <x:v>Подшипники</x:v>
      </x:c>
      <x:c r="E446" s="16" t="str">
        <x:v>ШТ</x:v>
      </x:c>
      <x:c r="F446" s="21" t="n">
        <x:v>4</x:v>
      </x:c>
      <x:c r="G446" s="17" t="n">
        <x:v>7321.8544</x:v>
      </x:c>
      <x:c r="H446" s="17" t="n">
        <x:f>G446*F446</x:f>
        <x:v>29287.4176</x:v>
      </x:c>
      <x:c r="I446" s="22" t="str">
        <x:f>HYPERLINK("https://etp-aktiv.ru/catalog/materialy/podshipniki/2000556533-V311/","Открыть позицию")</x:f>
        <x:v>Открыть позицию</x:v>
      </x:c>
    </x:row>
    <x:row r="447" ht="28" customHeight="1">
      <x:c r="A447" s="16" t="str">
        <x:v>Назаровская ГРЭС</x:v>
      </x:c>
      <x:c r="B447" s="16" t="str">
        <x:v>2000013215-V311</x:v>
      </x:c>
      <x:c r="C447" s="16" t="str">
        <x:v>ПОДШИПНИК 32240</x:v>
      </x:c>
      <x:c r="D447" s="16" t="str">
        <x:v>Подшипники</x:v>
      </x:c>
      <x:c r="E447" s="16" t="str">
        <x:v>ШТ</x:v>
      </x:c>
      <x:c r="F447" s="21" t="n">
        <x:v>0</x:v>
      </x:c>
      <x:c r="G447" s="17" t="n">
        <x:v>3393.7960000000003</x:v>
      </x:c>
      <x:c r="H447" s="17" t="n">
        <x:f>G447*F447</x:f>
        <x:v>0</x:v>
      </x:c>
      <x:c r="I447" s="22" t="str">
        <x:f>HYPERLINK("https://etp-aktiv.ru/catalog/materialy/podshipniki/2000013215-V311/","Открыть позицию")</x:f>
        <x:v>Открыть позицию</x:v>
      </x:c>
    </x:row>
    <x:row r="448" ht="28" customHeight="1">
      <x:c r="A448" s="16" t="str">
        <x:v>Назаровская ГРЭС</x:v>
      </x:c>
      <x:c r="B448" s="16" t="str">
        <x:v>2000116536-V311</x:v>
      </x:c>
      <x:c r="C448" s="16" t="str">
        <x:v>ПОДШИПНИК 32312</x:v>
      </x:c>
      <x:c r="D448" s="16" t="str">
        <x:v>Подшипники</x:v>
      </x:c>
      <x:c r="E448" s="16" t="str">
        <x:v>ШТ</x:v>
      </x:c>
      <x:c r="F448" s="21" t="n">
        <x:v>3</x:v>
      </x:c>
      <x:c r="G448" s="17" t="n">
        <x:v>501.6274</x:v>
      </x:c>
      <x:c r="H448" s="17" t="n">
        <x:f>G448*F448</x:f>
        <x:v>1504.8822</x:v>
      </x:c>
      <x:c r="I448" s="22" t="str">
        <x:f>HYPERLINK("https://etp-aktiv.ru/catalog/materialy/podshipniki/2000116536-V311/","Открыть позицию")</x:f>
        <x:v>Открыть позицию</x:v>
      </x:c>
    </x:row>
    <x:row r="449" ht="28" customHeight="1">
      <x:c r="A449" s="16" t="str">
        <x:v>Назаровская ГРЭС</x:v>
      </x:c>
      <x:c r="B449" s="16" t="str">
        <x:v>2000116599-V311</x:v>
      </x:c>
      <x:c r="C449" s="16" t="str">
        <x:v>ПОДШИПНИК 3610</x:v>
      </x:c>
      <x:c r="D449" s="16" t="str">
        <x:v>Подшипники</x:v>
      </x:c>
      <x:c r="E449" s="16" t="str">
        <x:v>ШТ</x:v>
      </x:c>
      <x:c r="F449" s="21" t="n">
        <x:v>2</x:v>
      </x:c>
      <x:c r="G449" s="17" t="n">
        <x:v>724.375</x:v>
      </x:c>
      <x:c r="H449" s="17" t="n">
        <x:f>G449*F449</x:f>
        <x:v>1448.75</x:v>
      </x:c>
      <x:c r="I449" s="22" t="str">
        <x:f>HYPERLINK("https://etp-aktiv.ru/catalog/materialy/podshipniki/2000116599-V311/","Открыть позицию")</x:f>
        <x:v>Открыть позицию</x:v>
      </x:c>
    </x:row>
    <x:row r="450" ht="28" customHeight="1">
      <x:c r="A450" s="16" t="str">
        <x:v>Назаровская ГРЭС</x:v>
      </x:c>
      <x:c r="B450" s="16" t="str">
        <x:v>2000116184-V311</x:v>
      </x:c>
      <x:c r="C450" s="16" t="str">
        <x:v>ПОДШИПНИК 3616</x:v>
      </x:c>
      <x:c r="D450" s="16" t="str">
        <x:v>Подшипники</x:v>
      </x:c>
      <x:c r="E450" s="16" t="str">
        <x:v>ШТ</x:v>
      </x:c>
      <x:c r="F450" s="21" t="n">
        <x:v>3</x:v>
      </x:c>
      <x:c r="G450" s="17" t="n">
        <x:v>1562.6126</x:v>
      </x:c>
      <x:c r="H450" s="17" t="n">
        <x:f>G450*F450</x:f>
        <x:v>4687.837799999999</x:v>
      </x:c>
      <x:c r="I450" s="22" t="str">
        <x:f>HYPERLINK("https://etp-aktiv.ru/catalog/materialy/podshipniki/2000116184-V311/","Открыть позицию")</x:f>
        <x:v>Открыть позицию</x:v>
      </x:c>
    </x:row>
    <x:row r="451" ht="28" customHeight="1">
      <x:c r="A451" s="16" t="str">
        <x:v>Назаровская ГРЭС</x:v>
      </x:c>
      <x:c r="B451" s="16" t="str">
        <x:v>2000034471-V311</x:v>
      </x:c>
      <x:c r="C451" s="16" t="str">
        <x:v>ПОДШИПНИК 405</x:v>
      </x:c>
      <x:c r="D451" s="16" t="str">
        <x:v>Подшипники</x:v>
      </x:c>
      <x:c r="E451" s="16" t="str">
        <x:v>ШТ</x:v>
      </x:c>
      <x:c r="F451" s="21" t="n">
        <x:v>7</x:v>
      </x:c>
      <x:c r="G451" s="17" t="n">
        <x:v>139.0556</x:v>
      </x:c>
      <x:c r="H451" s="17" t="n">
        <x:f>G451*F451</x:f>
        <x:v>973.3892</x:v>
      </x:c>
      <x:c r="I451" s="22" t="str">
        <x:f>HYPERLINK("https://etp-aktiv.ru/catalog/materialy/podshipniki/2000034471-V311/","Открыть позицию")</x:f>
        <x:v>Открыть позицию</x:v>
      </x:c>
    </x:row>
    <x:row r="452" ht="28" customHeight="1">
      <x:c r="A452" s="16" t="str">
        <x:v>Назаровская ГРЭС</x:v>
      </x:c>
      <x:c r="B452" s="16" t="str">
        <x:v>2000116489-V311</x:v>
      </x:c>
      <x:c r="C452" s="16" t="str">
        <x:v>ПОДШИПНИК 410</x:v>
      </x:c>
      <x:c r="D452" s="16" t="str">
        <x:v>Подшипники</x:v>
      </x:c>
      <x:c r="E452" s="16" t="str">
        <x:v>ШТ</x:v>
      </x:c>
      <x:c r="F452" s="21" t="n">
        <x:v>8</x:v>
      </x:c>
      <x:c r="G452" s="17" t="n">
        <x:v>391.4858</x:v>
      </x:c>
      <x:c r="H452" s="17" t="n">
        <x:f>G452*F452</x:f>
        <x:v>3131.8864</x:v>
      </x:c>
      <x:c r="I452" s="22" t="str">
        <x:f>HYPERLINK("https://etp-aktiv.ru/catalog/materialy/podshipniki/2000116489-V311/","Открыть позицию")</x:f>
        <x:v>Открыть позицию</x:v>
      </x:c>
    </x:row>
    <x:row r="453" ht="28" customHeight="1">
      <x:c r="A453" s="16" t="str">
        <x:v>Назаровская ГРЭС</x:v>
      </x:c>
      <x:c r="B453" s="16" t="str">
        <x:v>2000010690-V311</x:v>
      </x:c>
      <x:c r="C453" s="16" t="str">
        <x:v>ПОДШИПНИК 415</x:v>
      </x:c>
      <x:c r="D453" s="16" t="str">
        <x:v>Подшипники</x:v>
      </x:c>
      <x:c r="E453" s="16" t="str">
        <x:v>ШТ</x:v>
      </x:c>
      <x:c r="F453" s="21" t="n">
        <x:v>4</x:v>
      </x:c>
      <x:c r="G453" s="17" t="n">
        <x:v>1458.2782</x:v>
      </x:c>
      <x:c r="H453" s="17" t="n">
        <x:f>G453*F453</x:f>
        <x:v>5833.1128</x:v>
      </x:c>
      <x:c r="I453" s="22" t="str">
        <x:f>HYPERLINK("https://etp-aktiv.ru/catalog/materialy/podshipniki/2000010690-V311/","Открыть позицию")</x:f>
        <x:v>Открыть позицию</x:v>
      </x:c>
    </x:row>
    <x:row r="454" ht="28" customHeight="1">
      <x:c r="A454" s="16" t="str">
        <x:v>Назаровская ГРЭС</x:v>
      </x:c>
      <x:c r="B454" s="16" t="str">
        <x:v>2000116512-V311</x:v>
      </x:c>
      <x:c r="C454" s="16" t="str">
        <x:v>ПОДШИПНИК 42207</x:v>
      </x:c>
      <x:c r="D454" s="16" t="str">
        <x:v>Подшипники</x:v>
      </x:c>
      <x:c r="E454" s="16" t="str">
        <x:v>ШТ</x:v>
      </x:c>
      <x:c r="F454" s="21" t="n">
        <x:v>2</x:v>
      </x:c>
      <x:c r="G454" s="17" t="n">
        <x:v>119.5234</x:v>
      </x:c>
      <x:c r="H454" s="17" t="n">
        <x:f>G454*F454</x:f>
        <x:v>239.0468</x:v>
      </x:c>
      <x:c r="I454" s="22" t="str">
        <x:f>HYPERLINK("https://etp-aktiv.ru/catalog/materialy/podshipniki/2000116512-V311/","Открыть позицию")</x:f>
        <x:v>Открыть позицию</x:v>
      </x:c>
    </x:row>
    <x:row r="455" ht="28" customHeight="1">
      <x:c r="A455" s="16" t="str">
        <x:v>Назаровская ГРЭС</x:v>
      </x:c>
      <x:c r="B455" s="16" t="str">
        <x:v>2000008186-V311</x:v>
      </x:c>
      <x:c r="C455" s="16" t="str">
        <x:v>ПОДШИПНИК 46312</x:v>
      </x:c>
      <x:c r="D455" s="16" t="str">
        <x:v>Подшипники</x:v>
      </x:c>
      <x:c r="E455" s="16" t="str">
        <x:v>ШТ</x:v>
      </x:c>
      <x:c r="F455" s="21" t="n">
        <x:v>4</x:v>
      </x:c>
      <x:c r="G455" s="17" t="n">
        <x:v>1063.6936</x:v>
      </x:c>
      <x:c r="H455" s="17" t="n">
        <x:f>G455*F455</x:f>
        <x:v>4254.7744</x:v>
      </x:c>
      <x:c r="I455" s="22" t="str">
        <x:f>HYPERLINK("https://etp-aktiv.ru/catalog/materialy/podshipniki/2000008186-V311/","Открыть позицию")</x:f>
        <x:v>Открыть позицию</x:v>
      </x:c>
    </x:row>
    <x:row r="456" ht="28" customHeight="1">
      <x:c r="A456" s="16" t="str">
        <x:v>Назаровская ГРЭС</x:v>
      </x:c>
      <x:c r="B456" s="16" t="str">
        <x:v>2000116338-V311</x:v>
      </x:c>
      <x:c r="C456" s="16" t="str">
        <x:v>ПОДШИПНИК 50207</x:v>
      </x:c>
      <x:c r="D456" s="16" t="str">
        <x:v>Подшипники</x:v>
      </x:c>
      <x:c r="E456" s="16" t="str">
        <x:v>ШТ</x:v>
      </x:c>
      <x:c r="F456" s="21" t="n">
        <x:v>0</x:v>
      </x:c>
      <x:c r="G456" s="17" t="n">
        <x:v>24.948999999999998</x:v>
      </x:c>
      <x:c r="H456" s="17" t="n">
        <x:f>G456*F456</x:f>
        <x:v>0</x:v>
      </x:c>
      <x:c r="I456" s="22" t="str">
        <x:f>HYPERLINK("https://etp-aktiv.ru/catalog/materialy/podshipniki/2000116338-V311/","Открыть позицию")</x:f>
        <x:v>Открыть позицию</x:v>
      </x:c>
    </x:row>
    <x:row r="457" ht="28" customHeight="1">
      <x:c r="A457" s="16" t="str">
        <x:v>Назаровская ГРЭС</x:v>
      </x:c>
      <x:c r="B457" s="16" t="str">
        <x:v>2000034519-V311</x:v>
      </x:c>
      <x:c r="C457" s="16" t="str">
        <x:v>ПОДШИПНИК 50308</x:v>
      </x:c>
      <x:c r="D457" s="16" t="str">
        <x:v>Подшипники</x:v>
      </x:c>
      <x:c r="E457" s="16" t="str">
        <x:v>ШТ</x:v>
      </x:c>
      <x:c r="F457" s="21" t="n">
        <x:v>1</x:v>
      </x:c>
      <x:c r="G457" s="17" t="n">
        <x:v>151.93880000000001</x:v>
      </x:c>
      <x:c r="H457" s="17" t="n">
        <x:f>G457*F457</x:f>
        <x:v>151.93880000000001</x:v>
      </x:c>
      <x:c r="I457" s="22" t="str">
        <x:f>HYPERLINK("https://etp-aktiv.ru/catalog/materialy/podshipniki/2000034519-V311/","Открыть позицию")</x:f>
        <x:v>Открыть позицию</x:v>
      </x:c>
    </x:row>
    <x:row r="458" ht="28" customHeight="1">
      <x:c r="A458" s="16" t="str">
        <x:v>Назаровская ГРЭС</x:v>
      </x:c>
      <x:c r="B458" s="16" t="str">
        <x:v>2000005826-V311</x:v>
      </x:c>
      <x:c r="C458" s="16" t="str">
        <x:v>ПОДШИПНИК 50407</x:v>
      </x:c>
      <x:c r="D458" s="16" t="str">
        <x:v>Подшипники</x:v>
      </x:c>
      <x:c r="E458" s="16" t="str">
        <x:v>ШТ</x:v>
      </x:c>
      <x:c r="F458" s="21" t="n">
        <x:v>8</x:v>
      </x:c>
      <x:c r="G458" s="17" t="n">
        <x:v>271.145</x:v>
      </x:c>
      <x:c r="H458" s="17" t="n">
        <x:f>G458*F458</x:f>
        <x:v>2169.16</x:v>
      </x:c>
      <x:c r="I458" s="22" t="str">
        <x:f>HYPERLINK("https://etp-aktiv.ru/catalog/materialy/podshipniki/2000005826-V311/","Открыть позицию")</x:f>
        <x:v>Открыть позицию</x:v>
      </x:c>
    </x:row>
    <x:row r="459" ht="28" customHeight="1">
      <x:c r="A459" s="16" t="str">
        <x:v>Назаровская ГРЭС</x:v>
      </x:c>
      <x:c r="B459" s="16" t="str">
        <x:v>2000073076-V311</x:v>
      </x:c>
      <x:c r="C459" s="16" t="str">
        <x:v>ПОДШИПНИК 6-210</x:v>
      </x:c>
      <x:c r="D459" s="16" t="str">
        <x:v>Подшипники</x:v>
      </x:c>
      <x:c r="E459" s="16" t="str">
        <x:v>ШТ</x:v>
      </x:c>
      <x:c r="F459" s="21" t="n">
        <x:v>2</x:v>
      </x:c>
      <x:c r="G459" s="17" t="n">
        <x:v>114.50919999999999</x:v>
      </x:c>
      <x:c r="H459" s="17" t="n">
        <x:f>G459*F459</x:f>
        <x:v>229.01839999999999</x:v>
      </x:c>
      <x:c r="I459" s="22" t="str">
        <x:f>HYPERLINK("https://etp-aktiv.ru/catalog/materialy/podshipniki/2000073076-V311/","Открыть позицию")</x:f>
        <x:v>Открыть позицию</x:v>
      </x:c>
    </x:row>
    <x:row r="460" ht="28" customHeight="1">
      <x:c r="A460" s="16" t="str">
        <x:v>Назаровская ГРЭС</x:v>
      </x:c>
      <x:c r="B460" s="16" t="str">
        <x:v>2000512240-V311</x:v>
      </x:c>
      <x:c r="C460" s="16" t="str">
        <x:v>ПОДШИПНИК 6-214Ш2У</x:v>
      </x:c>
      <x:c r="D460" s="16" t="str">
        <x:v>Подшипники</x:v>
      </x:c>
      <x:c r="E460" s="16" t="str">
        <x:v>ШТ</x:v>
      </x:c>
      <x:c r="F460" s="21" t="n">
        <x:v>1</x:v>
      </x:c>
      <x:c r="G460" s="17" t="n">
        <x:v>196.48100000000002</x:v>
      </x:c>
      <x:c r="H460" s="17" t="n">
        <x:f>G460*F460</x:f>
        <x:v>196.48100000000002</x:v>
      </x:c>
      <x:c r="I460" s="22" t="str">
        <x:f>HYPERLINK("https://etp-aktiv.ru/catalog/materialy/podshipniki/2000512240-V311/","Открыть позицию")</x:f>
        <x:v>Открыть позицию</x:v>
      </x:c>
    </x:row>
    <x:row r="461" ht="28" customHeight="1">
      <x:c r="A461" s="16" t="str">
        <x:v>Назаровская ГРЭС</x:v>
      </x:c>
      <x:c r="B461" s="16" t="str">
        <x:v>2000316251-V311</x:v>
      </x:c>
      <x:c r="C461" s="16" t="str">
        <x:v>ПОДШИПНИК 60112</x:v>
      </x:c>
      <x:c r="D461" s="16" t="str">
        <x:v>Подшипники</x:v>
      </x:c>
      <x:c r="E461" s="16" t="str">
        <x:v>ШТ</x:v>
      </x:c>
      <x:c r="F461" s="21" t="n">
        <x:v>3</x:v>
      </x:c>
      <x:c r="G461" s="17" t="n">
        <x:v>103.28519999999999</x:v>
      </x:c>
      <x:c r="H461" s="17" t="n">
        <x:f>G461*F461</x:f>
        <x:v>309.8556</x:v>
      </x:c>
      <x:c r="I461" s="22" t="str">
        <x:f>HYPERLINK("https://etp-aktiv.ru/catalog/materialy/podshipniki/2000316251-V311/","Открыть позицию")</x:f>
        <x:v>Открыть позицию</x:v>
      </x:c>
    </x:row>
    <x:row r="462" ht="28" customHeight="1">
      <x:c r="A462" s="16" t="str">
        <x:v>Назаровская ГРЭС</x:v>
      </x:c>
      <x:c r="B462" s="16" t="str">
        <x:v>2000116416-V311</x:v>
      </x:c>
      <x:c r="C462" s="16" t="str">
        <x:v>ПОДШИПНИК 60208</x:v>
      </x:c>
      <x:c r="D462" s="16" t="str">
        <x:v>Подшипники</x:v>
      </x:c>
      <x:c r="E462" s="16" t="str">
        <x:v>ШТ</x:v>
      </x:c>
      <x:c r="F462" s="21" t="n">
        <x:v>2</x:v>
      </x:c>
      <x:c r="G462" s="17" t="n">
        <x:v>57.644999999999996</x:v>
      </x:c>
      <x:c r="H462" s="17" t="n">
        <x:f>G462*F462</x:f>
        <x:v>115.28999999999999</x:v>
      </x:c>
      <x:c r="I462" s="22" t="str">
        <x:f>HYPERLINK("https://etp-aktiv.ru/catalog/materialy/podshipniki/2000116416-V311/","Открыть позицию")</x:f>
        <x:v>Открыть позицию</x:v>
      </x:c>
    </x:row>
    <x:row r="463" ht="28" customHeight="1">
      <x:c r="A463" s="16" t="str">
        <x:v>Назаровская ГРЭС</x:v>
      </x:c>
      <x:c r="B463" s="16" t="str">
        <x:v>2000575150-V311</x:v>
      </x:c>
      <x:c r="C463" s="16" t="str">
        <x:v>ПОДШИПНИК 6024-2RS1 SKF</x:v>
      </x:c>
      <x:c r="D463" s="16" t="str">
        <x:v>Подшипники</x:v>
      </x:c>
      <x:c r="E463" s="16" t="str">
        <x:v>ШТ</x:v>
      </x:c>
      <x:c r="F463" s="21" t="n">
        <x:v>2</x:v>
      </x:c>
      <x:c r="G463" s="17" t="n">
        <x:v>1428.437</x:v>
      </x:c>
      <x:c r="H463" s="17" t="n">
        <x:f>G463*F463</x:f>
        <x:v>2856.874</x:v>
      </x:c>
      <x:c r="I463" s="22" t="str">
        <x:f>HYPERLINK("https://etp-aktiv.ru/catalog/materialy/podshipniki/2000575150-V311/","Открыть позицию")</x:f>
        <x:v>Открыть позицию</x:v>
      </x:c>
    </x:row>
    <x:row r="464" ht="28" customHeight="1">
      <x:c r="A464" s="16" t="str">
        <x:v>Назаровская ГРЭС</x:v>
      </x:c>
      <x:c r="B464" s="16" t="str">
        <x:v>2000183350-V311</x:v>
      </x:c>
      <x:c r="C464" s="16" t="str">
        <x:v>ПОДШИПНИК 6030</x:v>
      </x:c>
      <x:c r="D464" s="16" t="str">
        <x:v>Подшипники</x:v>
      </x:c>
      <x:c r="E464" s="16" t="str">
        <x:v>ШТ</x:v>
      </x:c>
      <x:c r="F464" s="21" t="n">
        <x:v>10</x:v>
      </x:c>
      <x:c r="G464" s="17" t="n">
        <x:v>448.4964</x:v>
      </x:c>
      <x:c r="H464" s="17" t="n">
        <x:f>G464*F464</x:f>
        <x:v>4484.964</x:v>
      </x:c>
      <x:c r="I464" s="22" t="str">
        <x:f>HYPERLINK("https://etp-aktiv.ru/catalog/materialy/podshipniki/2000183350-V311/","Открыть позицию")</x:f>
        <x:v>Открыть позицию</x:v>
      </x:c>
    </x:row>
    <x:row r="465" ht="28" customHeight="1">
      <x:c r="A465" s="16" t="str">
        <x:v>Назаровская ГРЭС</x:v>
      </x:c>
      <x:c r="B465" s="16" t="str">
        <x:v>2000115324-V311</x:v>
      </x:c>
      <x:c r="C465" s="16" t="str">
        <x:v>ПОДШИПНИК 60304</x:v>
      </x:c>
      <x:c r="D465" s="16" t="str">
        <x:v>Подшипники</x:v>
      </x:c>
      <x:c r="E465" s="16" t="str">
        <x:v>ШТ</x:v>
      </x:c>
      <x:c r="F465" s="21" t="n">
        <x:v>16</x:v>
      </x:c>
      <x:c r="G465" s="17" t="n">
        <x:v>57.059400000000004</x:v>
      </x:c>
      <x:c r="H465" s="17" t="n">
        <x:f>G465*F465</x:f>
        <x:v>912.9504000000001</x:v>
      </x:c>
      <x:c r="I465" s="22" t="str">
        <x:f>HYPERLINK("https://etp-aktiv.ru/catalog/materialy/podshipniki/2000115324-V311/","Открыть позицию")</x:f>
        <x:v>Открыть позицию</x:v>
      </x:c>
    </x:row>
    <x:row r="466" ht="28" customHeight="1">
      <x:c r="A466" s="16" t="str">
        <x:v>Назаровская ГРЭС</x:v>
      </x:c>
      <x:c r="B466" s="16" t="str">
        <x:v>2000116346-V311</x:v>
      </x:c>
      <x:c r="C466" s="16" t="str">
        <x:v>ПОДШИПНИК 60306</x:v>
      </x:c>
      <x:c r="D466" s="16" t="str">
        <x:v>Подшипники</x:v>
      </x:c>
      <x:c r="E466" s="16" t="str">
        <x:v>ШТ</x:v>
      </x:c>
      <x:c r="F466" s="21" t="n">
        <x:v>13</x:v>
      </x:c>
      <x:c r="G466" s="17" t="n">
        <x:v>33.9038</x:v>
      </x:c>
      <x:c r="H466" s="17" t="n">
        <x:f>G466*F466</x:f>
        <x:v>440.7494</x:v>
      </x:c>
      <x:c r="I466" s="22" t="str">
        <x:f>HYPERLINK("https://etp-aktiv.ru/catalog/materialy/podshipniki/2000116346-V311/","Открыть позицию")</x:f>
        <x:v>Открыть позицию</x:v>
      </x:c>
    </x:row>
    <x:row r="467" ht="28" customHeight="1">
      <x:c r="A467" s="16" t="str">
        <x:v>Назаровская ГРЭС</x:v>
      </x:c>
      <x:c r="B467" s="16" t="str">
        <x:v>2000116474-V311</x:v>
      </x:c>
      <x:c r="C467" s="16" t="str">
        <x:v>ПОДШИПНИК 60312</x:v>
      </x:c>
      <x:c r="D467" s="16" t="str">
        <x:v>Подшипники</x:v>
      </x:c>
      <x:c r="E467" s="16" t="str">
        <x:v>ШТ</x:v>
      </x:c>
      <x:c r="F467" s="21" t="n">
        <x:v>1</x:v>
      </x:c>
      <x:c r="G467" s="17" t="n">
        <x:v>344.5036</x:v>
      </x:c>
      <x:c r="H467" s="17" t="n">
        <x:f>G467*F467</x:f>
        <x:v>344.5036</x:v>
      </x:c>
      <x:c r="I467" s="22" t="str">
        <x:f>HYPERLINK("https://etp-aktiv.ru/catalog/materialy/podshipniki/2000116474-V311/","Открыть позицию")</x:f>
        <x:v>Открыть позицию</x:v>
      </x:c>
    </x:row>
    <x:row r="468" ht="28" customHeight="1">
      <x:c r="A468" s="16" t="str">
        <x:v>Назаровская ГРЭС</x:v>
      </x:c>
      <x:c r="B468" s="16" t="str">
        <x:v>2000174862-V311</x:v>
      </x:c>
      <x:c r="C468" s="16" t="str">
        <x:v>ПОДШИПНИК 60318</x:v>
      </x:c>
      <x:c r="D468" s="16" t="str">
        <x:v>Подшипники</x:v>
      </x:c>
      <x:c r="E468" s="16" t="str">
        <x:v>ШТ</x:v>
      </x:c>
      <x:c r="F468" s="21" t="n">
        <x:v>11</x:v>
      </x:c>
      <x:c r="G468" s="17" t="n">
        <x:v>1253.9404</x:v>
      </x:c>
      <x:c r="H468" s="17" t="n">
        <x:f>G468*F468</x:f>
        <x:v>13793.3444</x:v>
      </x:c>
      <x:c r="I468" s="22" t="str">
        <x:f>HYPERLINK("https://etp-aktiv.ru/catalog/materialy/podshipniki/2000174862-V311/","Открыть позицию")</x:f>
        <x:v>Открыть позицию</x:v>
      </x:c>
    </x:row>
    <x:row r="469" ht="28" customHeight="1">
      <x:c r="A469" s="16" t="str">
        <x:v>Назаровская ГРЭС</x:v>
      </x:c>
      <x:c r="B469" s="16" t="str">
        <x:v>2000556642-V311</x:v>
      </x:c>
      <x:c r="C469" s="16" t="str">
        <x:v>ПОДШИПНИК 61906-2RS</x:v>
      </x:c>
      <x:c r="D469" s="16" t="str">
        <x:v>Подшипники</x:v>
      </x:c>
      <x:c r="E469" s="16" t="str">
        <x:v>ШТ</x:v>
      </x:c>
      <x:c r="F469" s="21" t="n">
        <x:v>2</x:v>
      </x:c>
      <x:c r="G469" s="17" t="n">
        <x:v>34.318599999999996</x:v>
      </x:c>
      <x:c r="H469" s="17" t="n">
        <x:f>G469*F469</x:f>
        <x:v>68.63719999999999</x:v>
      </x:c>
      <x:c r="I469" s="22" t="str">
        <x:f>HYPERLINK("https://etp-aktiv.ru/catalog/materialy/podshipniki/2000556642-V311/","Открыть позицию")</x:f>
        <x:v>Открыть позицию</x:v>
      </x:c>
    </x:row>
    <x:row r="470" ht="28" customHeight="1">
      <x:c r="A470" s="16" t="str">
        <x:v>Назаровская ГРЭС</x:v>
      </x:c>
      <x:c r="B470" s="16" t="str">
        <x:v>2000034565-V311</x:v>
      </x:c>
      <x:c r="C470" s="16" t="str">
        <x:v>ПОДШИПНИК 6201</x:v>
      </x:c>
      <x:c r="D470" s="16" t="str">
        <x:v>Подшипники</x:v>
      </x:c>
      <x:c r="E470" s="16" t="str">
        <x:v>ШТ</x:v>
      </x:c>
      <x:c r="F470" s="21" t="n">
        <x:v>1</x:v>
      </x:c>
      <x:c r="G470" s="17" t="n">
        <x:v>7.198</x:v>
      </x:c>
      <x:c r="H470" s="17" t="n">
        <x:f>G470*F470</x:f>
        <x:v>7.198</x:v>
      </x:c>
      <x:c r="I470" s="22" t="str">
        <x:f>HYPERLINK("https://etp-aktiv.ru/catalog/materialy/podshipniki/2000034565-V311/","Открыть позицию")</x:f>
        <x:v>Открыть позицию</x:v>
      </x:c>
    </x:row>
    <x:row r="471" ht="28" customHeight="1">
      <x:c r="A471" s="16" t="str">
        <x:v>Назаровская ГРЭС</x:v>
      </x:c>
      <x:c r="B471" s="16" t="str">
        <x:v>2000034566-V311</x:v>
      </x:c>
      <x:c r="C471" s="16" t="str">
        <x:v>ПОДШИПНИК 6202</x:v>
      </x:c>
      <x:c r="D471" s="16" t="str">
        <x:v>Подшипники</x:v>
      </x:c>
      <x:c r="E471" s="16" t="str">
        <x:v>ШТ</x:v>
      </x:c>
      <x:c r="F471" s="21" t="n">
        <x:v>3</x:v>
      </x:c>
      <x:c r="G471" s="17" t="n">
        <x:v>32.8424</x:v>
      </x:c>
      <x:c r="H471" s="17" t="n">
        <x:f>G471*F471</x:f>
        <x:v>98.5272</x:v>
      </x:c>
      <x:c r="I471" s="22" t="str">
        <x:f>HYPERLINK("https://etp-aktiv.ru/catalog/materialy/podshipniki/2000034566-V311/","Открыть позицию")</x:f>
        <x:v>Открыть позицию</x:v>
      </x:c>
    </x:row>
    <x:row r="472" ht="28" customHeight="1">
      <x:c r="A472" s="16" t="str">
        <x:v>Назаровская ГРЭС</x:v>
      </x:c>
      <x:c r="B472" s="16" t="str">
        <x:v>2000218728-V311</x:v>
      </x:c>
      <x:c r="C472" s="16" t="str">
        <x:v>ПОДШИПНИК 6205</x:v>
      </x:c>
      <x:c r="D472" s="16" t="str">
        <x:v>Подшипники</x:v>
      </x:c>
      <x:c r="E472" s="16" t="str">
        <x:v>ШТ</x:v>
      </x:c>
      <x:c r="F472" s="21" t="n">
        <x:v>2</x:v>
      </x:c>
      <x:c r="G472" s="17" t="n">
        <x:v>52.7284</x:v>
      </x:c>
      <x:c r="H472" s="17" t="n">
        <x:f>G472*F472</x:f>
        <x:v>105.4568</x:v>
      </x:c>
      <x:c r="I472" s="22" t="str">
        <x:f>HYPERLINK("https://etp-aktiv.ru/catalog/materialy/podshipniki/2000218728-V311/","Открыть позицию")</x:f>
        <x:v>Открыть позицию</x:v>
      </x:c>
    </x:row>
    <x:row r="473" ht="28" customHeight="1">
      <x:c r="A473" s="16" t="str">
        <x:v>Назаровская ГРЭС</x:v>
      </x:c>
      <x:c r="B473" s="16" t="str">
        <x:v>2000599167-V311</x:v>
      </x:c>
      <x:c r="C473" s="16" t="str">
        <x:v>ПОДШИПНИК 6206-2RSR</x:v>
      </x:c>
      <x:c r="D473" s="16" t="str">
        <x:v>Подшипники</x:v>
      </x:c>
      <x:c r="E473" s="16" t="str">
        <x:v>ШТ</x:v>
      </x:c>
      <x:c r="F473" s="21" t="n">
        <x:v>1</x:v>
      </x:c>
      <x:c r="G473" s="17" t="n">
        <x:v>142.9718</x:v>
      </x:c>
      <x:c r="H473" s="17" t="n">
        <x:f>G473*F473</x:f>
        <x:v>142.9718</x:v>
      </x:c>
      <x:c r="I473" s="22" t="str">
        <x:f>HYPERLINK("https://etp-aktiv.ru/catalog/materialy/podshipniki/2000599167-V311/","Открыть позицию")</x:f>
        <x:v>Открыть позицию</x:v>
      </x:c>
    </x:row>
    <x:row r="474" ht="28" customHeight="1">
      <x:c r="A474" s="16" t="str">
        <x:v>Назаровская ГРЭС</x:v>
      </x:c>
      <x:c r="B474" s="16" t="str">
        <x:v>2000245317-V311</x:v>
      </x:c>
      <x:c r="C474" s="16" t="str">
        <x:v>ПОДШИПНИК 6206ZZ</x:v>
      </x:c>
      <x:c r="D474" s="16" t="str">
        <x:v>Подшипники</x:v>
      </x:c>
      <x:c r="E474" s="16" t="str">
        <x:v>ШТ</x:v>
      </x:c>
      <x:c r="F474" s="21" t="n">
        <x:v>1</x:v>
      </x:c>
      <x:c r="G474" s="17" t="n">
        <x:v>62.1468</x:v>
      </x:c>
      <x:c r="H474" s="17" t="n">
        <x:f>G474*F474</x:f>
        <x:v>62.1468</x:v>
      </x:c>
      <x:c r="I474" s="22" t="str">
        <x:f>HYPERLINK("https://etp-aktiv.ru/catalog/materialy/podshipniki/2000245317-V311/","Открыть позицию")</x:f>
        <x:v>Открыть позицию</x:v>
      </x:c>
    </x:row>
    <x:row r="475" ht="28" customHeight="1">
      <x:c r="A475" s="16" t="str">
        <x:v>Назаровская ГРЭС</x:v>
      </x:c>
      <x:c r="B475" s="16" t="str">
        <x:v>2000556519-V311</x:v>
      </x:c>
      <x:c r="C475" s="16" t="str">
        <x:v>ПОДШИПНИК 6213</x:v>
      </x:c>
      <x:c r="D475" s="16" t="str">
        <x:v>Подшипники</x:v>
      </x:c>
      <x:c r="E475" s="16" t="str">
        <x:v>ШТ</x:v>
      </x:c>
      <x:c r="F475" s="21" t="n">
        <x:v>6</x:v>
      </x:c>
      <x:c r="G475" s="17" t="n">
        <x:v>197.2618</x:v>
      </x:c>
      <x:c r="H475" s="17" t="n">
        <x:f>G475*F475</x:f>
        <x:v>1183.5708</x:v>
      </x:c>
      <x:c r="I475" s="22" t="str">
        <x:f>HYPERLINK("https://etp-aktiv.ru/catalog/materialy/podshipniki/2000556519-V311/","Открыть позицию")</x:f>
        <x:v>Открыть позицию</x:v>
      </x:c>
    </x:row>
    <x:row r="476" ht="28" customHeight="1">
      <x:c r="A476" s="16" t="str">
        <x:v>Назаровская ГРЭС</x:v>
      </x:c>
      <x:c r="B476" s="16" t="str">
        <x:v>2000005991-V311</x:v>
      </x:c>
      <x:c r="C476" s="16" t="str">
        <x:v>ПОДШИПНИК 6218</x:v>
      </x:c>
      <x:c r="D476" s="16" t="str">
        <x:v>Подшипники</x:v>
      </x:c>
      <x:c r="E476" s="16" t="str">
        <x:v>ШТ</x:v>
      </x:c>
      <x:c r="F476" s="21" t="n">
        <x:v>1</x:v>
      </x:c>
      <x:c r="G476" s="17" t="n">
        <x:v>251.67379999999997</x:v>
      </x:c>
      <x:c r="H476" s="17" t="n">
        <x:f>G476*F476</x:f>
        <x:v>251.67379999999997</x:v>
      </x:c>
      <x:c r="I476" s="22" t="str">
        <x:f>HYPERLINK("https://etp-aktiv.ru/catalog/materialy/podshipniki/2000005991-V311/","Открыть позицию")</x:f>
        <x:v>Открыть позицию</x:v>
      </x:c>
    </x:row>
    <x:row r="477" ht="28" customHeight="1">
      <x:c r="A477" s="16" t="str">
        <x:v>Назаровская ГРЭС</x:v>
      </x:c>
      <x:c r="B477" s="16" t="str">
        <x:v>2000002355-V311</x:v>
      </x:c>
      <x:c r="C477" s="16" t="str">
        <x:v>ПОДШИПНИК 6303</x:v>
      </x:c>
      <x:c r="D477" s="16" t="str">
        <x:v>Подшипники</x:v>
      </x:c>
      <x:c r="E477" s="16" t="str">
        <x:v>ШТ</x:v>
      </x:c>
      <x:c r="F477" s="21" t="n">
        <x:v>2</x:v>
      </x:c>
      <x:c r="G477" s="17" t="n">
        <x:v>74.0174</x:v>
      </x:c>
      <x:c r="H477" s="17" t="n">
        <x:f>G477*F477</x:f>
        <x:v>148.0348</x:v>
      </x:c>
      <x:c r="I477" s="22" t="str">
        <x:f>HYPERLINK("https://etp-aktiv.ru/catalog/materialy/podshipniki/2000002355-V311/","Открыть позицию")</x:f>
        <x:v>Открыть позицию</x:v>
      </x:c>
    </x:row>
    <x:row r="478" ht="28" customHeight="1">
      <x:c r="A478" s="16" t="str">
        <x:v>Назаровская ГРЭС</x:v>
      </x:c>
      <x:c r="B478" s="16" t="str">
        <x:v>2000143844-V311</x:v>
      </x:c>
      <x:c r="C478" s="16" t="str">
        <x:v>ПОДШИПНИК 6306</x:v>
      </x:c>
      <x:c r="D478" s="16" t="str">
        <x:v>Подшипники</x:v>
      </x:c>
      <x:c r="E478" s="16" t="str">
        <x:v>ШТ</x:v>
      </x:c>
      <x:c r="F478" s="21" t="n">
        <x:v>1</x:v>
      </x:c>
      <x:c r="G478" s="17" t="n">
        <x:v>160.63739999999999</x:v>
      </x:c>
      <x:c r="H478" s="17" t="n">
        <x:f>G478*F478</x:f>
        <x:v>160.63739999999999</x:v>
      </x:c>
      <x:c r="I478" s="22" t="str">
        <x:f>HYPERLINK("https://etp-aktiv.ru/catalog/materialy/podshipniki/2000143844-V311/","Открыть позицию")</x:f>
        <x:v>Открыть позицию</x:v>
      </x:c>
    </x:row>
    <x:row r="479" ht="28" customHeight="1">
      <x:c r="A479" s="16" t="str">
        <x:v>Назаровская ГРЭС</x:v>
      </x:c>
      <x:c r="B479" s="16" t="str">
        <x:v>2000458459-V311</x:v>
      </x:c>
      <x:c r="C479" s="16" t="str">
        <x:v>ПОДШИПНИК 6306 2Z</x:v>
      </x:c>
      <x:c r="D479" s="16" t="str">
        <x:v>Подшипники</x:v>
      </x:c>
      <x:c r="E479" s="16" t="str">
        <x:v>ШТ</x:v>
      </x:c>
      <x:c r="F479" s="21" t="n">
        <x:v>2</x:v>
      </x:c>
      <x:c r="G479" s="17" t="n">
        <x:v>279.8436</x:v>
      </x:c>
      <x:c r="H479" s="17" t="n">
        <x:f>G479*F479</x:f>
        <x:v>559.6872</x:v>
      </x:c>
      <x:c r="I479" s="22" t="str">
        <x:f>HYPERLINK("https://etp-aktiv.ru/catalog/materialy/podshipniki/2000458459-V311/","Открыть позицию")</x:f>
        <x:v>Открыть позицию</x:v>
      </x:c>
    </x:row>
    <x:row r="480" ht="28" customHeight="1">
      <x:c r="A480" s="16" t="str">
        <x:v>Назаровская ГРЭС</x:v>
      </x:c>
      <x:c r="B480" s="16" t="str">
        <x:v>2000599185-V311</x:v>
      </x:c>
      <x:c r="C480" s="16" t="str">
        <x:v>ПОДШИПНИК 6306-Z</x:v>
      </x:c>
      <x:c r="D480" s="16" t="str">
        <x:v>Подшипники</x:v>
      </x:c>
      <x:c r="E480" s="16" t="str">
        <x:v>ШТ</x:v>
      </x:c>
      <x:c r="F480" s="21" t="n">
        <x:v>2</x:v>
      </x:c>
      <x:c r="G480" s="17" t="n">
        <x:v>66.5632</x:v>
      </x:c>
      <x:c r="H480" s="17" t="n">
        <x:f>G480*F480</x:f>
        <x:v>133.1264</x:v>
      </x:c>
      <x:c r="I480" s="22" t="str">
        <x:f>HYPERLINK("https://etp-aktiv.ru/catalog/materialy/podshipniki/2000599185-V311/","Открыть позицию")</x:f>
        <x:v>Открыть позицию</x:v>
      </x:c>
    </x:row>
    <x:row r="481" ht="28" customHeight="1">
      <x:c r="A481" s="16" t="str">
        <x:v>Назаровская ГРЭС</x:v>
      </x:c>
      <x:c r="B481" s="16" t="str">
        <x:v>2000127397-V311</x:v>
      </x:c>
      <x:c r="C481" s="16" t="str">
        <x:v>ПОДШИПНИК 6308</x:v>
      </x:c>
      <x:c r="D481" s="16" t="str">
        <x:v>Подшипники</x:v>
      </x:c>
      <x:c r="E481" s="16" t="str">
        <x:v>ШТ</x:v>
      </x:c>
      <x:c r="F481" s="21" t="n">
        <x:v>12</x:v>
      </x:c>
      <x:c r="G481" s="17" t="n">
        <x:v>105.37140000000001</x:v>
      </x:c>
      <x:c r="H481" s="17" t="n">
        <x:f>G481*F481</x:f>
        <x:v>1264.4568000000002</x:v>
      </x:c>
      <x:c r="I481" s="22" t="str">
        <x:f>HYPERLINK("https://etp-aktiv.ru/catalog/materialy/podshipniki/2000127397-V311/","Открыть позицию")</x:f>
        <x:v>Открыть позицию</x:v>
      </x:c>
    </x:row>
    <x:row r="482" ht="28" customHeight="1">
      <x:c r="A482" s="16" t="str">
        <x:v>Назаровская ГРЭС</x:v>
      </x:c>
      <x:c r="B482" s="16" t="str">
        <x:v>2000556650-V311</x:v>
      </x:c>
      <x:c r="C482" s="16" t="str">
        <x:v>ПОДШИПНИК 6308 2RS</x:v>
      </x:c>
      <x:c r="D482" s="16" t="str">
        <x:v>Подшипники</x:v>
      </x:c>
      <x:c r="E482" s="16" t="str">
        <x:v>ШТ</x:v>
      </x:c>
      <x:c r="F482" s="21" t="n">
        <x:v>4</x:v>
      </x:c>
      <x:c r="G482" s="17" t="n">
        <x:v>127.64859999999999</x:v>
      </x:c>
      <x:c r="H482" s="17" t="n">
        <x:f>G482*F482</x:f>
        <x:v>510.59439999999995</x:v>
      </x:c>
      <x:c r="I482" s="22" t="str">
        <x:f>HYPERLINK("https://etp-aktiv.ru/catalog/materialy/podshipniki/2000556650-V311/","Открыть позицию")</x:f>
        <x:v>Открыть позицию</x:v>
      </x:c>
    </x:row>
    <x:row r="483" ht="28" customHeight="1">
      <x:c r="A483" s="16" t="str">
        <x:v>Назаровская ГРЭС</x:v>
      </x:c>
      <x:c r="B483" s="16" t="str">
        <x:v>2000006321-V311</x:v>
      </x:c>
      <x:c r="C483" s="16" t="str">
        <x:v>ПОДШИПНИК 6310</x:v>
      </x:c>
      <x:c r="D483" s="16" t="str">
        <x:v>Подшипники</x:v>
      </x:c>
      <x:c r="E483" s="16" t="str">
        <x:v>ШТ</x:v>
      </x:c>
      <x:c r="F483" s="21" t="n">
        <x:v>0</x:v>
      </x:c>
      <x:c r="G483" s="17" t="n">
        <x:v>96.502</x:v>
      </x:c>
      <x:c r="H483" s="17" t="n">
        <x:f>G483*F483</x:f>
        <x:v>0</x:v>
      </x:c>
      <x:c r="I483" s="22" t="str">
        <x:f>HYPERLINK("https://etp-aktiv.ru/catalog/materialy/podshipniki/2000006321-V311/","Открыть позицию")</x:f>
        <x:v>Открыть позицию</x:v>
      </x:c>
    </x:row>
    <x:row r="484" ht="28" customHeight="1">
      <x:c r="A484" s="16" t="str">
        <x:v>Назаровская ГРЭС</x:v>
      </x:c>
      <x:c r="B484" s="16" t="str">
        <x:v>2000710925-V311</x:v>
      </x:c>
      <x:c r="C484" s="16" t="str">
        <x:v>ПОДШИПНИК 6310 2RZ</x:v>
      </x:c>
      <x:c r="D484" s="16" t="str">
        <x:v>Подшипники</x:v>
      </x:c>
      <x:c r="E484" s="16" t="str">
        <x:v>ШТ</x:v>
      </x:c>
      <x:c r="F484" s="21" t="n">
        <x:v>3</x:v>
      </x:c>
      <x:c r="G484" s="17" t="n">
        <x:v>201.2512</x:v>
      </x:c>
      <x:c r="H484" s="17" t="n">
        <x:f>G484*F484</x:f>
        <x:v>603.7536</x:v>
      </x:c>
      <x:c r="I484" s="22" t="str">
        <x:f>HYPERLINK("https://etp-aktiv.ru/catalog/materialy/podshipniki/2000710925-V311/","Открыть позицию")</x:f>
        <x:v>Открыть позицию</x:v>
      </x:c>
    </x:row>
    <x:row r="485" ht="28" customHeight="1">
      <x:c r="A485" s="16" t="str">
        <x:v>Назаровская ГРЭС</x:v>
      </x:c>
      <x:c r="B485" s="16" t="str">
        <x:v>2000556520-V311</x:v>
      </x:c>
      <x:c r="C485" s="16" t="str">
        <x:v>ПОДШИПНИК 6316</x:v>
      </x:c>
      <x:c r="D485" s="16" t="str">
        <x:v>Подшипники</x:v>
      </x:c>
      <x:c r="E485" s="16" t="str">
        <x:v>ШТ</x:v>
      </x:c>
      <x:c r="F485" s="21" t="n">
        <x:v>1</x:v>
      </x:c>
      <x:c r="G485" s="17" t="n">
        <x:v>280.9294</x:v>
      </x:c>
      <x:c r="H485" s="17" t="n">
        <x:f>G485*F485</x:f>
        <x:v>280.9294</x:v>
      </x:c>
      <x:c r="I485" s="22" t="str">
        <x:f>HYPERLINK("https://etp-aktiv.ru/catalog/materialy/podshipniki/2000556520-V311/","Открыть позицию")</x:f>
        <x:v>Открыть позицию</x:v>
      </x:c>
    </x:row>
    <x:row r="486" ht="28" customHeight="1">
      <x:c r="A486" s="16" t="str">
        <x:v>Назаровская ГРЭС</x:v>
      </x:c>
      <x:c r="B486" s="16" t="str">
        <x:v>2000116698-V311</x:v>
      </x:c>
      <x:c r="C486" s="16" t="str">
        <x:v>ПОДШИПНИК 6320</x:v>
      </x:c>
      <x:c r="D486" s="16" t="str">
        <x:v>Подшипники</x:v>
      </x:c>
      <x:c r="E486" s="16" t="str">
        <x:v>ШТ</x:v>
      </x:c>
      <x:c r="F486" s="21" t="n">
        <x:v>2</x:v>
      </x:c>
      <x:c r="G486" s="17" t="n">
        <x:v>3703.1392</x:v>
      </x:c>
      <x:c r="H486" s="17" t="n">
        <x:f>G486*F486</x:f>
        <x:v>7406.2784</x:v>
      </x:c>
      <x:c r="I486" s="22" t="str">
        <x:f>HYPERLINK("https://etp-aktiv.ru/catalog/materialy/podshipniki/2000116698-V311/","Открыть позицию")</x:f>
        <x:v>Открыть позицию</x:v>
      </x:c>
    </x:row>
    <x:row r="487" ht="28" customHeight="1">
      <x:c r="A487" s="16" t="str">
        <x:v>Назаровская ГРЭС</x:v>
      </x:c>
      <x:c r="B487" s="16" t="str">
        <x:v>2000604858-V311</x:v>
      </x:c>
      <x:c r="C487" s="16" t="str">
        <x:v>ПОДШИПНИК 6330 NSK</x:v>
      </x:c>
      <x:c r="D487" s="16" t="str">
        <x:v>Подшипники</x:v>
      </x:c>
      <x:c r="E487" s="16" t="str">
        <x:v>ШТ</x:v>
      </x:c>
      <x:c r="F487" s="21" t="n">
        <x:v>1</x:v>
      </x:c>
      <x:c r="G487" s="17" t="n">
        <x:v>19300.7782</x:v>
      </x:c>
      <x:c r="H487" s="17" t="n">
        <x:f>G487*F487</x:f>
        <x:v>19300.7782</x:v>
      </x:c>
      <x:c r="I487" s="22" t="str">
        <x:f>HYPERLINK("https://etp-aktiv.ru/catalog/materialy/podshipniki/2000604858-V311/","Открыть позицию")</x:f>
        <x:v>Открыть позицию</x:v>
      </x:c>
    </x:row>
    <x:row r="488" ht="28" customHeight="1">
      <x:c r="A488" s="16" t="str">
        <x:v>Назаровская ГРЭС</x:v>
      </x:c>
      <x:c r="B488" s="16" t="str">
        <x:v>2000274862-V311</x:v>
      </x:c>
      <x:c r="C488" s="16" t="str">
        <x:v>ПОДШИПНИК 6409</x:v>
      </x:c>
      <x:c r="D488" s="16" t="str">
        <x:v>Подшипники</x:v>
      </x:c>
      <x:c r="E488" s="16" t="str">
        <x:v>ШТ</x:v>
      </x:c>
      <x:c r="F488" s="21" t="n">
        <x:v>10</x:v>
      </x:c>
      <x:c r="G488" s="17" t="n">
        <x:v>228.5914</x:v>
      </x:c>
      <x:c r="H488" s="17" t="n">
        <x:f>G488*F488</x:f>
        <x:v>2285.9139999999998</x:v>
      </x:c>
      <x:c r="I488" s="22" t="str">
        <x:f>HYPERLINK("https://etp-aktiv.ru/catalog/materialy/podshipniki/2000274862-V311/","Открыть позицию")</x:f>
        <x:v>Открыть позицию</x:v>
      </x:c>
    </x:row>
    <x:row r="489" ht="28" customHeight="1">
      <x:c r="A489" s="16" t="str">
        <x:v>Назаровская ГРЭС</x:v>
      </x:c>
      <x:c r="B489" s="16" t="str">
        <x:v>2000556665-V311</x:v>
      </x:c>
      <x:c r="C489" s="16" t="str">
        <x:v>ПОДШИПНИК 66409 А</x:v>
      </x:c>
      <x:c r="D489" s="16" t="str">
        <x:v>Подшипники</x:v>
      </x:c>
      <x:c r="E489" s="16" t="str">
        <x:v>ШТ</x:v>
      </x:c>
      <x:c r="F489" s="21" t="n">
        <x:v>2</x:v>
      </x:c>
      <x:c r="G489" s="17" t="n">
        <x:v>1008.7936</x:v>
      </x:c>
      <x:c r="H489" s="17" t="n">
        <x:f>G489*F489</x:f>
        <x:v>2017.5872</x:v>
      </x:c>
      <x:c r="I489" s="22" t="str">
        <x:f>HYPERLINK("https://etp-aktiv.ru/catalog/materialy/podshipniki/2000556665-V311/","Открыть позицию")</x:f>
        <x:v>Открыть позицию</x:v>
      </x:c>
    </x:row>
    <x:row r="490" ht="28" customHeight="1">
      <x:c r="A490" s="16" t="str">
        <x:v>Назаровская ГРЭС</x:v>
      </x:c>
      <x:c r="B490" s="16" t="str">
        <x:v>2000115333-V311</x:v>
      </x:c>
      <x:c r="C490" s="16" t="str">
        <x:v>ПОДШИПНИК 664913</x:v>
      </x:c>
      <x:c r="D490" s="16" t="str">
        <x:v>Подшипники</x:v>
      </x:c>
      <x:c r="E490" s="16" t="str">
        <x:v>ШТ</x:v>
      </x:c>
      <x:c r="F490" s="21" t="n">
        <x:v>9</x:v>
      </x:c>
      <x:c r="G490" s="17" t="n">
        <x:v>43.797999999999995</x:v>
      </x:c>
      <x:c r="H490" s="17" t="n">
        <x:f>G490*F490</x:f>
        <x:v>394.18199999999996</x:v>
      </x:c>
      <x:c r="I490" s="22" t="str">
        <x:f>HYPERLINK("https://etp-aktiv.ru/catalog/materialy/podshipniki/2000115333-V311/","Открыть позицию")</x:f>
        <x:v>Открыть позицию</x:v>
      </x:c>
    </x:row>
    <x:row r="491" ht="28" customHeight="1">
      <x:c r="A491" s="16" t="str">
        <x:v>Назаровская ГРЭС</x:v>
      </x:c>
      <x:c r="B491" s="16" t="str">
        <x:v>2000116498-V311</x:v>
      </x:c>
      <x:c r="C491" s="16" t="str">
        <x:v>ПОДШИПНИК 7212</x:v>
      </x:c>
      <x:c r="D491" s="16" t="str">
        <x:v>Подшипники</x:v>
      </x:c>
      <x:c r="E491" s="16" t="str">
        <x:v>ШТ</x:v>
      </x:c>
      <x:c r="F491" s="21" t="n">
        <x:v>1</x:v>
      </x:c>
      <x:c r="G491" s="17" t="n">
        <x:v>184.35420000000002</x:v>
      </x:c>
      <x:c r="H491" s="17" t="n">
        <x:f>G491*F491</x:f>
        <x:v>184.35420000000002</x:v>
      </x:c>
      <x:c r="I491" s="22" t="str">
        <x:f>HYPERLINK("https://etp-aktiv.ru/catalog/materialy/podshipniki/2000116498-V311/","Открыть позицию")</x:f>
        <x:v>Открыть позицию</x:v>
      </x:c>
    </x:row>
    <x:row r="492" ht="28" customHeight="1">
      <x:c r="A492" s="16" t="str">
        <x:v>Назаровская ГРЭС</x:v>
      </x:c>
      <x:c r="B492" s="16" t="str">
        <x:v>2000116547-V311</x:v>
      </x:c>
      <x:c r="C492" s="16" t="str">
        <x:v>ПОДШИПНИК 7216</x:v>
      </x:c>
      <x:c r="D492" s="16" t="str">
        <x:v>Подшипники</x:v>
      </x:c>
      <x:c r="E492" s="16" t="str">
        <x:v>ШТ</x:v>
      </x:c>
      <x:c r="F492" s="21" t="n">
        <x:v>1</x:v>
      </x:c>
      <x:c r="G492" s="17" t="n">
        <x:v>282.7838</x:v>
      </x:c>
      <x:c r="H492" s="17" t="n">
        <x:f>G492*F492</x:f>
        <x:v>282.7838</x:v>
      </x:c>
      <x:c r="I492" s="22" t="str">
        <x:f>HYPERLINK("https://etp-aktiv.ru/catalog/materialy/podshipniki/2000116547-V311/","Открыть позицию")</x:f>
        <x:v>Открыть позицию</x:v>
      </x:c>
    </x:row>
    <x:row r="493" ht="28" customHeight="1">
      <x:c r="A493" s="16" t="str">
        <x:v>Назаровская ГРЭС</x:v>
      </x:c>
      <x:c r="B493" s="16" t="str">
        <x:v>2000115332-V311</x:v>
      </x:c>
      <x:c r="C493" s="16" t="str">
        <x:v>ПОДШИПНИК 7310</x:v>
      </x:c>
      <x:c r="D493" s="16" t="str">
        <x:v>Подшипники</x:v>
      </x:c>
      <x:c r="E493" s="16" t="str">
        <x:v>ШТ</x:v>
      </x:c>
      <x:c r="F493" s="21" t="n">
        <x:v>4</x:v>
      </x:c>
      <x:c r="G493" s="17" t="n">
        <x:v>309.0016</x:v>
      </x:c>
      <x:c r="H493" s="17" t="n">
        <x:f>G493*F493</x:f>
        <x:v>1236.0064</x:v>
      </x:c>
      <x:c r="I493" s="22" t="str">
        <x:f>HYPERLINK("https://etp-aktiv.ru/catalog/materialy/podshipniki/2000115332-V311/","Открыть позицию")</x:f>
        <x:v>Открыть позицию</x:v>
      </x:c>
    </x:row>
    <x:row r="494" ht="28" customHeight="1">
      <x:c r="A494" s="16" t="str">
        <x:v>Назаровская ГРЭС</x:v>
      </x:c>
      <x:c r="B494" s="16" t="str">
        <x:v>2000116457-V311</x:v>
      </x:c>
      <x:c r="C494" s="16" t="str">
        <x:v>ПОДШИПНИК 7312</x:v>
      </x:c>
      <x:c r="D494" s="16" t="str">
        <x:v>Подшипники</x:v>
      </x:c>
      <x:c r="E494" s="16" t="str">
        <x:v>ШТ</x:v>
      </x:c>
      <x:c r="F494" s="21" t="n">
        <x:v>1</x:v>
      </x:c>
      <x:c r="G494" s="17" t="n">
        <x:v>804.3216</x:v>
      </x:c>
      <x:c r="H494" s="17" t="n">
        <x:f>G494*F494</x:f>
        <x:v>804.3216</x:v>
      </x:c>
      <x:c r="I494" s="22" t="str">
        <x:f>HYPERLINK("https://etp-aktiv.ru/catalog/materialy/podshipniki/2000116457-V311/","Открыть позицию")</x:f>
        <x:v>Открыть позицию</x:v>
      </x:c>
    </x:row>
    <x:row r="495" ht="28" customHeight="1">
      <x:c r="A495" s="16" t="str">
        <x:v>Назаровская ГРЭС</x:v>
      </x:c>
      <x:c r="B495" s="16" t="str">
        <x:v>2000116630-V311</x:v>
      </x:c>
      <x:c r="C495" s="16" t="str">
        <x:v>ПОДШИПНИК 7522</x:v>
      </x:c>
      <x:c r="D495" s="16" t="str">
        <x:v>Подшипники</x:v>
      </x:c>
      <x:c r="E495" s="16" t="str">
        <x:v>ШТ</x:v>
      </x:c>
      <x:c r="F495" s="21" t="n">
        <x:v>0</x:v>
      </x:c>
      <x:c r="G495" s="17" t="n">
        <x:v>1230.1992</x:v>
      </x:c>
      <x:c r="H495" s="17" t="n">
        <x:f>G495*F495</x:f>
        <x:v>0</x:v>
      </x:c>
      <x:c r="I495" s="22" t="str">
        <x:f>HYPERLINK("https://etp-aktiv.ru/catalog/materialy/podshipniki/2000116630-V311/","Открыть позицию")</x:f>
        <x:v>Открыть позицию</x:v>
      </x:c>
    </x:row>
    <x:row r="496" ht="28" customHeight="1">
      <x:c r="A496" s="16" t="str">
        <x:v>Назаровская ГРЭС</x:v>
      </x:c>
      <x:c r="B496" s="16" t="str">
        <x:v>2000116659-V311</x:v>
      </x:c>
      <x:c r="C496" s="16" t="str">
        <x:v>ПОДШИПНИК 7526</x:v>
      </x:c>
      <x:c r="D496" s="16" t="str">
        <x:v>Подшипники</x:v>
      </x:c>
      <x:c r="E496" s="16" t="str">
        <x:v>ШТ</x:v>
      </x:c>
      <x:c r="F496" s="21" t="n">
        <x:v>4</x:v>
      </x:c>
      <x:c r="G496" s="17" t="n">
        <x:v>2469.1336</x:v>
      </x:c>
      <x:c r="H496" s="17" t="n">
        <x:f>G496*F496</x:f>
        <x:v>9876.5344</x:v>
      </x:c>
      <x:c r="I496" s="22" t="str">
        <x:f>HYPERLINK("https://etp-aktiv.ru/catalog/materialy/podshipniki/2000116659-V311/","Открыть позицию")</x:f>
        <x:v>Открыть позицию</x:v>
      </x:c>
    </x:row>
    <x:row r="497" ht="28" customHeight="1">
      <x:c r="A497" s="16" t="str">
        <x:v>Назаровская ГРЭС</x:v>
      </x:c>
      <x:c r="B497" s="16" t="str">
        <x:v>2000604104-V311</x:v>
      </x:c>
      <x:c r="C497" s="16" t="str">
        <x:v>ПОДШИПНИК 7540А</x:v>
      </x:c>
      <x:c r="D497" s="16" t="str">
        <x:v>Подшипники</x:v>
      </x:c>
      <x:c r="E497" s="16" t="str">
        <x:v>ШТ</x:v>
      </x:c>
      <x:c r="F497" s="21" t="n">
        <x:v>1</x:v>
      </x:c>
      <x:c r="G497" s="17" t="n">
        <x:v>11895.2806</x:v>
      </x:c>
      <x:c r="H497" s="17" t="n">
        <x:f>G497*F497</x:f>
        <x:v>11895.2806</x:v>
      </x:c>
      <x:c r="I497" s="22" t="str">
        <x:f>HYPERLINK("https://etp-aktiv.ru/catalog/materialy/podshipniki/2000604104-V311/","Открыть позицию")</x:f>
        <x:v>Открыть позицию</x:v>
      </x:c>
    </x:row>
    <x:row r="498" ht="28" customHeight="1">
      <x:c r="A498" s="16" t="str">
        <x:v>Назаровская ГРЭС</x:v>
      </x:c>
      <x:c r="B498" s="16" t="str">
        <x:v>2000116386-V311</x:v>
      </x:c>
      <x:c r="C498" s="16" t="str">
        <x:v>ПОДШИПНИК 7607</x:v>
      </x:c>
      <x:c r="D498" s="16" t="str">
        <x:v>Подшипники</x:v>
      </x:c>
      <x:c r="E498" s="16" t="str">
        <x:v>ШТ</x:v>
      </x:c>
      <x:c r="F498" s="21" t="n">
        <x:v>0</x:v>
      </x:c>
      <x:c r="G498" s="17" t="n">
        <x:v>103.72439999999999</x:v>
      </x:c>
      <x:c r="H498" s="17" t="n">
        <x:f>G498*F498</x:f>
        <x:v>0</x:v>
      </x:c>
      <x:c r="I498" s="22" t="str">
        <x:f>HYPERLINK("https://etp-aktiv.ru/catalog/materialy/podshipniki/2000116386-V311/","Открыть позицию")</x:f>
        <x:v>Открыть позицию</x:v>
      </x:c>
    </x:row>
    <x:row r="499" ht="28" customHeight="1">
      <x:c r="A499" s="16" t="str">
        <x:v>Назаровская ГРЭС</x:v>
      </x:c>
      <x:c r="B499" s="16" t="str">
        <x:v>2000115341-V311</x:v>
      </x:c>
      <x:c r="C499" s="16" t="str">
        <x:v>ПОДШИПНИК 7613</x:v>
      </x:c>
      <x:c r="D499" s="16" t="str">
        <x:v>Подшипники</x:v>
      </x:c>
      <x:c r="E499" s="16" t="str">
        <x:v>ШТ</x:v>
      </x:c>
      <x:c r="F499" s="21" t="n">
        <x:v>6</x:v>
      </x:c>
      <x:c r="G499" s="17" t="n">
        <x:v>521.5134</x:v>
      </x:c>
      <x:c r="H499" s="17" t="n">
        <x:f>G499*F499</x:f>
        <x:v>3129.0804000000003</x:v>
      </x:c>
      <x:c r="I499" s="22" t="str">
        <x:f>HYPERLINK("https://etp-aktiv.ru/catalog/materialy/podshipniki/2000115341-V311/","Открыть позицию")</x:f>
        <x:v>Открыть позицию</x:v>
      </x:c>
    </x:row>
    <x:row r="500" ht="28" customHeight="1">
      <x:c r="A500" s="16" t="str">
        <x:v>Назаровская ГРЭС</x:v>
      </x:c>
      <x:c r="B500" s="16" t="str">
        <x:v>2000116636-V311</x:v>
      </x:c>
      <x:c r="C500" s="16" t="str">
        <x:v>ПОДШИПНИК 7618</x:v>
      </x:c>
      <x:c r="D500" s="16" t="str">
        <x:v>Подшипники</x:v>
      </x:c>
      <x:c r="E500" s="16" t="str">
        <x:v>ШТ</x:v>
      </x:c>
      <x:c r="F500" s="21" t="n">
        <x:v>12</x:v>
      </x:c>
      <x:c r="G500" s="17" t="n">
        <x:v>1824.2415999999998</x:v>
      </x:c>
      <x:c r="H500" s="17" t="n">
        <x:f>G500*F500</x:f>
        <x:v>21890.8992</x:v>
      </x:c>
      <x:c r="I500" s="22" t="str">
        <x:f>HYPERLINK("https://etp-aktiv.ru/catalog/materialy/podshipniki/2000116636-V311/","Открыть позицию")</x:f>
        <x:v>Открыть позицию</x:v>
      </x:c>
    </x:row>
    <x:row r="501" ht="28" customHeight="1">
      <x:c r="A501" s="16" t="str">
        <x:v>Назаровская ГРЭС</x:v>
      </x:c>
      <x:c r="B501" s="16" t="str">
        <x:v>2000175113-V311</x:v>
      </x:c>
      <x:c r="C501" s="16" t="str">
        <x:v>ПОДШИПНИК 76306Е</x:v>
      </x:c>
      <x:c r="D501" s="16" t="str">
        <x:v>Подшипники</x:v>
      </x:c>
      <x:c r="E501" s="16" t="str">
        <x:v>ШТ</x:v>
      </x:c>
      <x:c r="F501" s="21" t="n">
        <x:v>26</x:v>
      </x:c>
      <x:c r="G501" s="17" t="n">
        <x:v>214.6834</x:v>
      </x:c>
      <x:c r="H501" s="17" t="n">
        <x:f>G501*F501</x:f>
        <x:v>5581.7684</x:v>
      </x:c>
      <x:c r="I501" s="22" t="str">
        <x:f>HYPERLINK("https://etp-aktiv.ru/catalog/materialy/podshipniki/2000175113-V311/","Открыть позицию")</x:f>
        <x:v>Открыть позицию</x:v>
      </x:c>
    </x:row>
    <x:row r="502" ht="28" customHeight="1">
      <x:c r="A502" s="16" t="str">
        <x:v>Назаровская ГРЭС</x:v>
      </x:c>
      <x:c r="B502" s="16" t="str">
        <x:v>2000175114-V311</x:v>
      </x:c>
      <x:c r="C502" s="16" t="str">
        <x:v>ПОДШИПНИК 76307Е</x:v>
      </x:c>
      <x:c r="D502" s="16" t="str">
        <x:v>Подшипники</x:v>
      </x:c>
      <x:c r="E502" s="16" t="str">
        <x:v>ШТ</x:v>
      </x:c>
      <x:c r="F502" s="21" t="n">
        <x:v>26</x:v>
      </x:c>
      <x:c r="G502" s="17" t="n">
        <x:v>202.6298</x:v>
      </x:c>
      <x:c r="H502" s="17" t="n">
        <x:f>G502*F502</x:f>
        <x:v>5268.3748</x:v>
      </x:c>
      <x:c r="I502" s="22" t="str">
        <x:f>HYPERLINK("https://etp-aktiv.ru/catalog/materialy/podshipniki/2000175114-V311/","Открыть позицию")</x:f>
        <x:v>Открыть позицию</x:v>
      </x:c>
    </x:row>
    <x:row r="503" ht="28" customHeight="1">
      <x:c r="A503" s="16" t="str">
        <x:v>Назаровская ГРЭС</x:v>
      </x:c>
      <x:c r="B503" s="16" t="str">
        <x:v>2000116525-V311</x:v>
      </x:c>
      <x:c r="C503" s="16" t="str">
        <x:v>ПОДШИПНИК 7815</x:v>
      </x:c>
      <x:c r="D503" s="16" t="str">
        <x:v>Подшипники</x:v>
      </x:c>
      <x:c r="E503" s="16" t="str">
        <x:v>ШТ</x:v>
      </x:c>
      <x:c r="F503" s="21" t="n">
        <x:v>0</x:v>
      </x:c>
      <x:c r="G503" s="17" t="n">
        <x:v>268.156</x:v>
      </x:c>
      <x:c r="H503" s="17" t="n">
        <x:f>G503*F503</x:f>
        <x:v>0</x:v>
      </x:c>
      <x:c r="I503" s="22" t="str">
        <x:f>HYPERLINK("https://etp-aktiv.ru/catalog/materialy/podshipniki/2000116525-V311/","Открыть позицию")</x:f>
        <x:v>Открыть позицию</x:v>
      </x:c>
    </x:row>
    <x:row r="504" ht="28" customHeight="1">
      <x:c r="A504" s="16" t="str">
        <x:v>Назаровская ГРЭС</x:v>
      </x:c>
      <x:c r="B504" s="16" t="str">
        <x:v>2000116373-V311</x:v>
      </x:c>
      <x:c r="C504" s="16" t="str">
        <x:v>ПОДШИПНИК 80206</x:v>
      </x:c>
      <x:c r="D504" s="16" t="str">
        <x:v>Подшипники</x:v>
      </x:c>
      <x:c r="E504" s="16" t="str">
        <x:v>ШТ</x:v>
      </x:c>
      <x:c r="F504" s="21" t="n">
        <x:v>5</x:v>
      </x:c>
      <x:c r="G504" s="17" t="n">
        <x:v>29.5362</x:v>
      </x:c>
      <x:c r="H504" s="17" t="n">
        <x:f>G504*F504</x:f>
        <x:v>147.681</x:v>
      </x:c>
      <x:c r="I504" s="22" t="str">
        <x:f>HYPERLINK("https://etp-aktiv.ru/catalog/materialy/podshipniki/2000116373-V311/","Открыть позицию")</x:f>
        <x:v>Открыть позицию</x:v>
      </x:c>
    </x:row>
    <x:row r="505" ht="28" customHeight="1">
      <x:c r="A505" s="16" t="str">
        <x:v>Назаровская ГРЭС</x:v>
      </x:c>
      <x:c r="B505" s="16" t="str">
        <x:v>2000308892-V311</x:v>
      </x:c>
      <x:c r="C505" s="16" t="str">
        <x:v>ПОДШИПНИК 80317</x:v>
      </x:c>
      <x:c r="D505" s="16" t="str">
        <x:v>Подшипники</x:v>
      </x:c>
      <x:c r="E505" s="16" t="str">
        <x:v>ШТ</x:v>
      </x:c>
      <x:c r="F505" s="21" t="n">
        <x:v>4</x:v>
      </x:c>
      <x:c r="G505" s="17" t="n">
        <x:v>410.4568</x:v>
      </x:c>
      <x:c r="H505" s="17" t="n">
        <x:f>G505*F505</x:f>
        <x:v>1641.8272</x:v>
      </x:c>
      <x:c r="I505" s="22" t="str">
        <x:f>HYPERLINK("https://etp-aktiv.ru/catalog/materialy/podshipniki/2000308892-V311/","Открыть позицию")</x:f>
        <x:v>Открыть позицию</x:v>
      </x:c>
    </x:row>
    <x:row r="506" ht="28" customHeight="1">
      <x:c r="A506" s="16" t="str">
        <x:v>Назаровская ГРЭС</x:v>
      </x:c>
      <x:c r="B506" s="16" t="str">
        <x:v>2000127118-V311</x:v>
      </x:c>
      <x:c r="C506" s="16" t="str">
        <x:v>ПОДШИПНИК 807813</x:v>
      </x:c>
      <x:c r="D506" s="16" t="str">
        <x:v>Подшипники</x:v>
      </x:c>
      <x:c r="E506" s="16" t="str">
        <x:v>ШТ</x:v>
      </x:c>
      <x:c r="F506" s="21" t="n">
        <x:v>12</x:v>
      </x:c>
      <x:c r="G506" s="17" t="n">
        <x:v>1469.1484</x:v>
      </x:c>
      <x:c r="H506" s="17" t="n">
        <x:f>G506*F506</x:f>
        <x:v>17629.7808</x:v>
      </x:c>
      <x:c r="I506" s="22" t="str">
        <x:f>HYPERLINK("https://etp-aktiv.ru/catalog/materialy/podshipniki/2000127118-V311/","Открыть позицию")</x:f>
        <x:v>Открыть позицию</x:v>
      </x:c>
    </x:row>
    <x:row r="507" ht="28" customHeight="1">
      <x:c r="A507" s="16" t="str">
        <x:v>Назаровская ГРЭС</x:v>
      </x:c>
      <x:c r="B507" s="16" t="str">
        <x:v>2000116475-V311</x:v>
      </x:c>
      <x:c r="C507" s="16" t="str">
        <x:v>ПОДШИПНИК 8113</x:v>
      </x:c>
      <x:c r="D507" s="16" t="str">
        <x:v>Подшипники</x:v>
      </x:c>
      <x:c r="E507" s="16" t="str">
        <x:v>ШТ</x:v>
      </x:c>
      <x:c r="F507" s="21" t="n">
        <x:v>25</x:v>
      </x:c>
      <x:c r="G507" s="17" t="n">
        <x:v>153.6834</x:v>
      </x:c>
      <x:c r="H507" s="17" t="n">
        <x:f>G507*F507</x:f>
        <x:v>3842.085</x:v>
      </x:c>
      <x:c r="I507" s="22" t="str">
        <x:f>HYPERLINK("https://etp-aktiv.ru/catalog/materialy/podshipniki/2000116475-V311/","Открыть позицию")</x:f>
        <x:v>Открыть позицию</x:v>
      </x:c>
    </x:row>
    <x:row r="508" ht="28" customHeight="1">
      <x:c r="A508" s="16" t="str">
        <x:v>Назаровская ГРЭС</x:v>
      </x:c>
      <x:c r="B508" s="16" t="str">
        <x:v>2000449758-V311</x:v>
      </x:c>
      <x:c r="C508" s="16" t="str">
        <x:v>ПОДШИПНИК 8216</x:v>
      </x:c>
      <x:c r="D508" s="16" t="str">
        <x:v>Подшипники</x:v>
      </x:c>
      <x:c r="E508" s="16" t="str">
        <x:v>ШТ</x:v>
      </x:c>
      <x:c r="F508" s="21" t="n">
        <x:v>2</x:v>
      </x:c>
      <x:c r="G508" s="17" t="n">
        <x:v>180.072</x:v>
      </x:c>
      <x:c r="H508" s="17" t="n">
        <x:f>G508*F508</x:f>
        <x:v>360.144</x:v>
      </x:c>
      <x:c r="I508" s="22" t="str">
        <x:f>HYPERLINK("https://etp-aktiv.ru/catalog/materialy/podshipniki/2000449758-V311/","Открыть позицию")</x:f>
        <x:v>Открыть позицию</x:v>
      </x:c>
    </x:row>
    <x:row r="509" ht="28" customHeight="1">
      <x:c r="A509" s="16" t="str">
        <x:v>Назаровская ГРЭС</x:v>
      </x:c>
      <x:c r="B509" s="16" t="str">
        <x:v>2000340479-V311</x:v>
      </x:c>
      <x:c r="C509" s="16" t="str">
        <x:v>ПОДШИПНИК 8220</x:v>
      </x:c>
      <x:c r="D509" s="16" t="str">
        <x:v>Подшипники</x:v>
      </x:c>
      <x:c r="E509" s="16" t="str">
        <x:v>ШТ</x:v>
      </x:c>
      <x:c r="F509" s="21" t="n">
        <x:v>19</x:v>
      </x:c>
      <x:c r="G509" s="17" t="n">
        <x:v>519.7078</x:v>
      </x:c>
      <x:c r="H509" s="17" t="n">
        <x:f>G509*F509</x:f>
        <x:v>9874.4482</x:v>
      </x:c>
      <x:c r="I509" s="22" t="str">
        <x:f>HYPERLINK("https://etp-aktiv.ru/catalog/materialy/podshipniki/2000340479-V311/","Открыть позицию")</x:f>
        <x:v>Открыть позицию</x:v>
      </x:c>
    </x:row>
    <x:row r="510" ht="28" customHeight="1">
      <x:c r="A510" s="16" t="str">
        <x:v>Назаровская ГРЭС</x:v>
      </x:c>
      <x:c r="B510" s="16" t="str">
        <x:v>2000116718-V311</x:v>
      </x:c>
      <x:c r="C510" s="16" t="str">
        <x:v>ПОДШИПНИК 8230</x:v>
      </x:c>
      <x:c r="D510" s="16" t="str">
        <x:v>Подшипники</x:v>
      </x:c>
      <x:c r="E510" s="16" t="str">
        <x:v>ШТ</x:v>
      </x:c>
      <x:c r="F510" s="21" t="n">
        <x:v>17</x:v>
      </x:c>
      <x:c r="G510" s="17" t="n">
        <x:v>1787.2878</x:v>
      </x:c>
      <x:c r="H510" s="17" t="n">
        <x:f>G510*F510</x:f>
        <x:v>30383.8926</x:v>
      </x:c>
      <x:c r="I510" s="22" t="str">
        <x:f>HYPERLINK("https://etp-aktiv.ru/catalog/materialy/podshipniki/2000116718-V311/","Открыть позицию")</x:f>
        <x:v>Открыть позицию</x:v>
      </x:c>
    </x:row>
    <x:row r="511" ht="28" customHeight="1">
      <x:c r="A511" s="16" t="str">
        <x:v>Назаровская ГРЭС</x:v>
      </x:c>
      <x:c r="B511" s="16" t="str">
        <x:v>2000127388-V311</x:v>
      </x:c>
      <x:c r="C511" s="16" t="str">
        <x:v>ПОДШИПНИК 922205</x:v>
      </x:c>
      <x:c r="D511" s="16" t="str">
        <x:v>Подшипники</x:v>
      </x:c>
      <x:c r="E511" s="16" t="str">
        <x:v>ШТ</x:v>
      </x:c>
      <x:c r="F511" s="21" t="n">
        <x:v>24</x:v>
      </x:c>
      <x:c r="G511" s="17" t="n">
        <x:v>59.755599999999994</x:v>
      </x:c>
      <x:c r="H511" s="17" t="n">
        <x:f>G511*F511</x:f>
        <x:v>1434.1344</x:v>
      </x:c>
      <x:c r="I511" s="22" t="str">
        <x:f>HYPERLINK("https://etp-aktiv.ru/catalog/materialy/podshipniki/2000127388-V311/","Открыть позицию")</x:f>
        <x:v>Открыть позицию</x:v>
      </x:c>
    </x:row>
    <x:row r="512" ht="28" customHeight="1">
      <x:c r="A512" s="16" t="str">
        <x:v>Назаровская ГРЭС</x:v>
      </x:c>
      <x:c r="B512" s="16" t="str">
        <x:v>2000116411-V311</x:v>
      </x:c>
      <x:c r="C512" s="16" t="str">
        <x:v>ПОДШИПНИК 986714</x:v>
      </x:c>
      <x:c r="D512" s="16" t="str">
        <x:v>Подшипники</x:v>
      </x:c>
      <x:c r="E512" s="16" t="str">
        <x:v>ШТ</x:v>
      </x:c>
      <x:c r="F512" s="21" t="n">
        <x:v>5</x:v>
      </x:c>
      <x:c r="G512" s="17" t="n">
        <x:v>146.2048</x:v>
      </x:c>
      <x:c r="H512" s="17" t="n">
        <x:f>G512*F512</x:f>
        <x:v>731.024</x:v>
      </x:c>
      <x:c r="I512" s="22" t="str">
        <x:f>HYPERLINK("https://etp-aktiv.ru/catalog/materialy/podshipniki/2000116411-V311/","Открыть позицию")</x:f>
        <x:v>Открыть позицию</x:v>
      </x:c>
    </x:row>
    <x:row r="513" ht="28" customHeight="1">
      <x:c r="A513" s="16" t="str">
        <x:v>Назаровская ГРЭС</x:v>
      </x:c>
      <x:c r="B513" s="16" t="str">
        <x:v>2000556694-V311</x:v>
      </x:c>
      <x:c r="C513" s="16" t="str">
        <x:v>ПОДШИПНИК NF305 (АНАЛОГ 12305)</x:v>
      </x:c>
      <x:c r="D513" s="16" t="str">
        <x:v>Подшипники</x:v>
      </x:c>
      <x:c r="E513" s="16" t="str">
        <x:v>ШТ</x:v>
      </x:c>
      <x:c r="F513" s="21" t="n">
        <x:v>1</x:v>
      </x:c>
      <x:c r="G513" s="17" t="n">
        <x:v>443.55539999999996</x:v>
      </x:c>
      <x:c r="H513" s="17" t="n">
        <x:f>G513*F513</x:f>
        <x:v>443.55539999999996</x:v>
      </x:c>
      <x:c r="I513" s="22" t="str">
        <x:f>HYPERLINK("https://etp-aktiv.ru/catalog/materialy/podshipniki/2000556694-V311/","Открыть позицию")</x:f>
        <x:v>Открыть позицию</x:v>
      </x:c>
    </x:row>
    <x:row r="514" ht="28" customHeight="1">
      <x:c r="A514" s="16" t="str">
        <x:v>Назаровская ГРЭС</x:v>
      </x:c>
      <x:c r="B514" s="16" t="str">
        <x:v>2000177986-V311</x:v>
      </x:c>
      <x:c r="C514" s="16" t="str">
        <x:v>ПОДШИПНИК П1309Л</x:v>
      </x:c>
      <x:c r="D514" s="16" t="str">
        <x:v>Подшипники</x:v>
      </x:c>
      <x:c r="E514" s="16" t="str">
        <x:v>ШТ</x:v>
      </x:c>
      <x:c r="F514" s="21" t="n">
        <x:v>2</x:v>
      </x:c>
      <x:c r="G514" s="17" t="n">
        <x:v>1286.7218</x:v>
      </x:c>
      <x:c r="H514" s="17" t="n">
        <x:f>G514*F514</x:f>
        <x:v>2573.4436</x:v>
      </x:c>
      <x:c r="I514" s="22" t="str">
        <x:f>HYPERLINK("https://etp-aktiv.ru/catalog/materialy/podshipniki/2000177986-V311/","Открыть позицию")</x:f>
        <x:v>Открыть позицию</x:v>
      </x:c>
    </x:row>
    <x:row r="515" ht="28" customHeight="1">
      <x:c r="A515" s="16" t="str">
        <x:v>Назаровская ГРЭС</x:v>
      </x:c>
      <x:c r="B515" s="16" t="str">
        <x:v>2000604163-V311</x:v>
      </x:c>
      <x:c r="C515" s="16" t="str">
        <x:v>ПОДШИПНИК РОЛИКОВЫЙ КОНИЧЕСКИЙ 32312-А</x:v>
      </x:c>
      <x:c r="D515" s="16" t="str">
        <x:v>Подшипники</x:v>
      </x:c>
      <x:c r="E515" s="16" t="str">
        <x:v>ШТ</x:v>
      </x:c>
      <x:c r="F515" s="21" t="n">
        <x:v>1</x:v>
      </x:c>
      <x:c r="G515" s="17" t="n">
        <x:v>1042.2459999999999</x:v>
      </x:c>
      <x:c r="H515" s="17" t="n">
        <x:f>G515*F515</x:f>
        <x:v>1042.2459999999999</x:v>
      </x:c>
      <x:c r="I515" s="22" t="str">
        <x:f>HYPERLINK("https://etp-aktiv.ru/catalog/materialy/podshipniki/2000604163-V311/","Открыть позицию")</x:f>
        <x:v>Открыть позицию</x:v>
      </x:c>
    </x:row>
    <x:row r="516" ht="28" customHeight="1">
      <x:c r="A516" s="16" t="str">
        <x:v>Назаровская ГРЭС</x:v>
      </x:c>
      <x:c r="B516" s="16" t="str">
        <x:v>2000581758-V311</x:v>
      </x:c>
      <x:c r="C516" s="16" t="str">
        <x:v>ПОДШИПНИК ШАРНИРНЫЙ ШП-25</x:v>
      </x:c>
      <x:c r="D516" s="16" t="str">
        <x:v>Подшипники</x:v>
      </x:c>
      <x:c r="E516" s="16" t="str">
        <x:v>ШТ</x:v>
      </x:c>
      <x:c r="F516" s="21" t="n">
        <x:v>10</x:v>
      </x:c>
      <x:c r="G516" s="17" t="n">
        <x:v>32.5984</x:v>
      </x:c>
      <x:c r="H516" s="17" t="n">
        <x:f>G516*F516</x:f>
        <x:v>325.984</x:v>
      </x:c>
      <x:c r="I516" s="22" t="str">
        <x:f>HYPERLINK("https://etp-aktiv.ru/catalog/materialy/podshipniki/2000581758-V311/","Открыть позицию")</x:f>
        <x:v>Открыть позицию</x:v>
      </x:c>
    </x:row>
    <x:row r="517" ht="28" customHeight="1">
      <x:c r="A517" s="16" t="str">
        <x:v>Назаровская ГРЭС</x:v>
      </x:c>
      <x:c r="B517" s="16" t="str">
        <x:v>2000572261-V311</x:v>
      </x:c>
      <x:c r="C517" s="16" t="str">
        <x:v>ПОРОШОК КАРБИД БОРА М14 ГОСТ5744-85</x:v>
      </x:c>
      <x:c r="D517" s="16" t="str">
        <x:v>Инструмент и спецосн</x:v>
      </x:c>
      <x:c r="E517" s="16" t="str">
        <x:v>КГ</x:v>
      </x:c>
      <x:c r="F517" s="26" t="n">
        <x:v>1.4</x:v>
      </x:c>
      <x:c r="G517" s="17" t="n">
        <x:v>3458.1632</x:v>
      </x:c>
      <x:c r="H517" s="17" t="n">
        <x:f>G517*F517</x:f>
        <x:v>4841.42848</x:v>
      </x:c>
      <x:c r="I517" s="22" t="str">
        <x:f>HYPERLINK("https://etp-aktiv.ru/catalog/materialy/instrument-i-specosnastka/2000572261-V311/","Открыть позицию")</x:f>
        <x:v>Открыть позицию</x:v>
      </x:c>
    </x:row>
    <x:row r="518" ht="28" customHeight="1">
      <x:c r="A518" s="16" t="str">
        <x:v>Назаровская ГРЭС</x:v>
      </x:c>
      <x:c r="B518" s="16" t="str">
        <x:v>2000604888-V311</x:v>
      </x:c>
      <x:c r="C518" s="16" t="str">
        <x:v>ПОРШЕНЬ I СТУП С ВТУЛ СБ.401-7-2 ВШ-2,3</x:v>
      </x:c>
      <x:c r="D518" s="16" t="str">
        <x:v>ЗЧ компрессоров</x:v>
      </x:c>
      <x:c r="E518" s="16" t="str">
        <x:v>ШТ</x:v>
      </x:c>
      <x:c r="F518" s="21" t="n">
        <x:v>1</x:v>
      </x:c>
      <x:c r="G518" s="17" t="n">
        <x:v>9998.1562</x:v>
      </x:c>
      <x:c r="H518" s="17" t="n">
        <x:f>G518*F518</x:f>
        <x:v>9998.1562</x:v>
      </x:c>
      <x:c r="I518" s="22" t="str">
        <x:f>HYPERLINK("https://etp-aktiv.ru/catalog/materialy/zapasnye-chasti-promyshlennogo-oborudovaniya/2000604888-V311/","Открыть позицию")</x:f>
        <x:v>Открыть позицию</x:v>
      </x:c>
    </x:row>
    <x:row r="519" ht="28" customHeight="1">
      <x:c r="A519" s="16" t="str">
        <x:v>Назаровская ГРЭС</x:v>
      </x:c>
      <x:c r="B519" s="16" t="str">
        <x:v>2000149896-V311</x:v>
      </x:c>
      <x:c r="C519" s="16" t="str">
        <x:v>ПРУЖИНА МО2Б-0012</x:v>
      </x:c>
      <x:c r="D519" s="16" t="str">
        <x:v>Инструмент и спецосн</x:v>
      </x:c>
      <x:c r="E519" s="16" t="str">
        <x:v>ШТ</x:v>
      </x:c>
      <x:c r="F519" s="21" t="n">
        <x:v>10</x:v>
      </x:c>
      <x:c r="G519" s="17" t="n">
        <x:v>206.5582</x:v>
      </x:c>
      <x:c r="H519" s="17" t="n">
        <x:f>G519*F519</x:f>
        <x:v>2065.582</x:v>
      </x:c>
      <x:c r="I519" s="22" t="str">
        <x:f>HYPERLINK("https://etp-aktiv.ru/catalog/materialy/instrument-i-specosnastka/2000149896-V311/","Открыть позицию")</x:f>
        <x:v>Открыть позицию</x:v>
      </x:c>
    </x:row>
    <x:row r="520" ht="28" customHeight="1">
      <x:c r="A520" s="16" t="str">
        <x:v>Назаровская ГРЭС</x:v>
      </x:c>
      <x:c r="B520" s="16" t="str">
        <x:v>2000553653-V311</x:v>
      </x:c>
      <x:c r="C520" s="16" t="str">
        <x:v>РЕДУКТОР 6МЦКЦ-107ES-16-11-52-120-Ц УЗ</x:v>
      </x:c>
      <x:c r="D520" s="16" t="str">
        <x:v>Редукторы стандартны</x:v>
      </x:c>
      <x:c r="E520" s="16" t="str">
        <x:v>ШТ</x:v>
      </x:c>
      <x:c r="F520" s="21" t="n">
        <x:v>4</x:v>
      </x:c>
      <x:c r="G520" s="17" t="n">
        <x:v>253397.4282</x:v>
      </x:c>
      <x:c r="H520" s="17" t="n">
        <x:f>G520*F520</x:f>
        <x:v>1013589.7128</x:v>
      </x:c>
      <x:c r="I520" s="22" t="str">
        <x:f>HYPERLINK("https://etp-aktiv.ru/catalog/materialy/reduktory/2000553653-V311/","Открыть позицию")</x:f>
        <x:v>Открыть позицию</x:v>
      </x:c>
    </x:row>
    <x:row r="521" ht="28" customHeight="1">
      <x:c r="A521" s="16" t="str">
        <x:v>Назаровская ГРЭС</x:v>
      </x:c>
      <x:c r="B521" s="16" t="str">
        <x:v>2000393450-V311</x:v>
      </x:c>
      <x:c r="C521" s="16" t="str">
        <x:v>СВЕРЛО 20*238ММ К/ХВ</x:v>
      </x:c>
      <x:c r="D521" s="16" t="str">
        <x:v>Инструмент и спецосн</x:v>
      </x:c>
      <x:c r="E521" s="16" t="str">
        <x:v>ШТ</x:v>
      </x:c>
      <x:c r="F521" s="21" t="n">
        <x:v>2</x:v>
      </x:c>
      <x:c r="G521" s="17" t="n">
        <x:v>649.65</x:v>
      </x:c>
      <x:c r="H521" s="17" t="n">
        <x:f>G521*F521</x:f>
        <x:v>1299.3</x:v>
      </x:c>
      <x:c r="I521" s="22" t="str">
        <x:f>HYPERLINK("https://etp-aktiv.ru/catalog/materialy/instrument-i-specosnastka/2000393450-V311/","Открыть позицию")</x:f>
        <x:v>Открыть позицию</x:v>
      </x:c>
    </x:row>
    <x:row r="522" ht="28" customHeight="1">
      <x:c r="A522" s="16" t="str">
        <x:v>Назаровская ГРЭС</x:v>
      </x:c>
      <x:c r="B522" s="16" t="str">
        <x:v>2000543926-V311</x:v>
      </x:c>
      <x:c r="C522" s="16" t="str">
        <x:v>СВЕРЛО К/Х УНИВЕРС 161.264 18*185*400</x:v>
      </x:c>
      <x:c r="D522" s="16" t="str">
        <x:v>Инструмент и спецосн</x:v>
      </x:c>
      <x:c r="E522" s="16" t="str">
        <x:v>ШТ</x:v>
      </x:c>
      <x:c r="F522" s="21" t="n">
        <x:v>2</x:v>
      </x:c>
      <x:c r="G522" s="17" t="n">
        <x:v>505.54359999999997</x:v>
      </x:c>
      <x:c r="H522" s="17" t="n">
        <x:f>G522*F522</x:f>
        <x:v>1011.0871999999999</x:v>
      </x:c>
      <x:c r="I522" s="22" t="str">
        <x:f>HYPERLINK("https://etp-aktiv.ru/catalog/materialy/instrument-i-specosnastka/2000543926-V311/","Открыть позицию")</x:f>
        <x:v>Открыть позицию</x:v>
      </x:c>
    </x:row>
    <x:row r="523" ht="28" customHeight="1">
      <x:c r="A523" s="16" t="str">
        <x:v>Назаровская ГРЭС</x:v>
      </x:c>
      <x:c r="B523" s="16" t="str">
        <x:v>2000068028-V311</x:v>
      </x:c>
      <x:c r="C523" s="16" t="str">
        <x:v>СТРОП СТП-20-6000</x:v>
      </x:c>
      <x:c r="D523" s="16" t="str">
        <x:v>Такелажные изделия</x:v>
      </x:c>
      <x:c r="E523" s="16" t="str">
        <x:v>ШТ</x:v>
      </x:c>
      <x:c r="F523" s="21" t="n">
        <x:v>2</x:v>
      </x:c>
      <x:c r="G523" s="17" t="n">
        <x:v>8508.023799999999</x:v>
      </x:c>
      <x:c r="H523" s="17" t="n">
        <x:f>G523*F523</x:f>
        <x:v>17016.047599999998</x:v>
      </x:c>
      <x:c r="I523" s="22" t="str">
        <x:f>HYPERLINK("https://etp-aktiv.ru/catalog/materialy/zapasnye-chasti-k-gruzopodemnoj-tekhnike-oborudovaniyu-i-mekhanizmam/2000068028-V311/","Открыть позицию")</x:f>
        <x:v>Открыть позицию</x:v>
      </x:c>
    </x:row>
    <x:row r="524" ht="28" customHeight="1">
      <x:c r="A524" s="16" t="str">
        <x:v>Назаровская ГРЭС</x:v>
      </x:c>
      <x:c r="B524" s="16" t="str">
        <x:v>2000766712-V311</x:v>
      </x:c>
      <x:c r="C524" s="16" t="str">
        <x:v>СТУПИЦА ПРИВАР TAPER LOCK 2012 28002012</x:v>
      </x:c>
      <x:c r="D524" s="16" t="str">
        <x:v>ЗЧ вентиляц оборуд</x:v>
      </x:c>
      <x:c r="E524" s="16" t="str">
        <x:v>ШТ</x:v>
      </x:c>
      <x:c r="F524" s="21" t="n">
        <x:v>19</x:v>
      </x:c>
      <x:c r="G524" s="17" t="n">
        <x:v>2435.913</x:v>
      </x:c>
      <x:c r="H524" s="17" t="n">
        <x:f>G524*F524</x:f>
        <x:v>46282.347</x:v>
      </x:c>
      <x:c r="I524" s="22" t="str">
        <x:f>HYPERLINK("https://etp-aktiv.ru/catalog/materialy/zapasnye-chasti-promyshlennogo-oborudovaniya/2000766712-V311/","Открыть позицию")</x:f>
        <x:v>Открыть позицию</x:v>
      </x:c>
    </x:row>
    <x:row r="525" ht="28" customHeight="1">
      <x:c r="A525" s="16" t="str">
        <x:v>Назаровская ГРЭС</x:v>
      </x:c>
      <x:c r="B525" s="16" t="str">
        <x:v>2000335024-V311</x:v>
      </x:c>
      <x:c r="C525" s="16" t="str">
        <x:v>ЧЕРЕНОК Д/ГРАБЕЛЬ 120*27-30 1СОРТ</x:v>
      </x:c>
      <x:c r="D525" s="16" t="str">
        <x:v>Инструмент и спецосн</x:v>
      </x:c>
      <x:c r="E525" s="16" t="str">
        <x:v>ШТ</x:v>
      </x:c>
      <x:c r="F525" s="21" t="n">
        <x:v>30</x:v>
      </x:c>
      <x:c r="G525" s="17" t="n">
        <x:v>16.8482</x:v>
      </x:c>
      <x:c r="H525" s="17" t="n">
        <x:f>G525*F525</x:f>
        <x:v>505.44599999999997</x:v>
      </x:c>
      <x:c r="I525" s="22" t="str">
        <x:f>HYPERLINK("https://etp-aktiv.ru/catalog/materialy/instrument-i-specosnastka/2000335024-V311/","Открыть позицию")</x:f>
        <x:v>Открыть позицию</x:v>
      </x:c>
    </x:row>
    <x:row r="526" ht="28" customHeight="1">
      <x:c r="A526" s="16" t="str">
        <x:v>Назаровская ГРЭС</x:v>
      </x:c>
      <x:c r="B526" s="16" t="str">
        <x:v>2000924611-V311</x:v>
      </x:c>
      <x:c r="C526" s="16" t="str">
        <x:v>ШАРИК 6,0 G3+1,5 ГОСТ3722-2014</x:v>
      </x:c>
      <x:c r="D526" s="16" t="str">
        <x:v>Подшипники</x:v>
      </x:c>
      <x:c r="E526" s="16" t="str">
        <x:v>ШТ</x:v>
      </x:c>
      <x:c r="F526" s="21" t="n">
        <x:v>4</x:v>
      </x:c>
      <x:c r="G526" s="17" t="n">
        <x:v>12.724599999999999</x:v>
      </x:c>
      <x:c r="H526" s="17" t="n">
        <x:f>G526*F526</x:f>
        <x:v>50.898399999999995</x:v>
      </x:c>
      <x:c r="I526" s="22" t="str">
        <x:f>HYPERLINK("https://etp-aktiv.ru/catalog/materialy/podshipniki/2000924611-V311/","Открыть позицию")</x:f>
        <x:v>Открыть позицию</x:v>
      </x:c>
    </x:row>
    <x:row r="527" ht="28" customHeight="1">
      <x:c r="A527" s="16" t="str">
        <x:v>Назаровская ГРЭС</x:v>
      </x:c>
      <x:c r="B527" s="16" t="str">
        <x:v>2000045947-V311</x:v>
      </x:c>
      <x:c r="C527" s="16" t="str">
        <x:v>ШЛИФКРУГ 150*30*32 14А</x:v>
      </x:c>
      <x:c r="D527" s="16" t="str">
        <x:v>Инструмент и спецосн</x:v>
      </x:c>
      <x:c r="E527" s="16" t="str">
        <x:v>ШТ</x:v>
      </x:c>
      <x:c r="F527" s="21" t="n">
        <x:v>40</x:v>
      </x:c>
      <x:c r="G527" s="17" t="n">
        <x:v>106.15220000000001</x:v>
      </x:c>
      <x:c r="H527" s="17" t="n">
        <x:f>G527*F527</x:f>
        <x:v>4246.088000000001</x:v>
      </x:c>
      <x:c r="I527" s="22" t="str">
        <x:f>HYPERLINK("https://etp-aktiv.ru/catalog/materialy/instrument-i-specosnastka/2000045947-V311/","Открыть позицию")</x:f>
        <x:v>Открыть позицию</x:v>
      </x:c>
    </x:row>
    <x:row r="528" ht="28" customHeight="1">
      <x:c r="A528" s="16" t="str">
        <x:v>Назаровская ГРЭС</x:v>
      </x:c>
      <x:c r="B528" s="16" t="str">
        <x:v>2000466542-V311</x:v>
      </x:c>
      <x:c r="C528" s="16" t="str">
        <x:v>ШЛИФШКУРКА ВОДОСТ 0,115*3000 8Н Р150</x:v>
      </x:c>
      <x:c r="D528" s="16" t="str">
        <x:v>Инструмент и спецосн</x:v>
      </x:c>
      <x:c r="E528" s="16" t="str">
        <x:v>ШТ</x:v>
      </x:c>
      <x:c r="F528" s="21" t="n">
        <x:v>2</x:v>
      </x:c>
      <x:c r="G528" s="17" t="n">
        <x:v>4816.1574</x:v>
      </x:c>
      <x:c r="H528" s="17" t="n">
        <x:f>G528*F528</x:f>
        <x:v>9632.3148</x:v>
      </x:c>
      <x:c r="I528" s="22" t="str">
        <x:f>HYPERLINK("https://etp-aktiv.ru/catalog/materialy/instrument-i-specosnastka/2000466542-V311/","Открыть позицию")</x:f>
        <x:v>Открыть позицию</x:v>
      </x:c>
    </x:row>
    <x:row r="529" ht="28" customHeight="1">
      <x:c r="A529" s="16" t="str">
        <x:v>Назаровская ГРЭС</x:v>
      </x:c>
      <x:c r="B529" s="16" t="str">
        <x:v>2001017345-V311</x:v>
      </x:c>
      <x:c r="C529" s="16" t="str">
        <x:v>ЭЛЕМЕНТ ФИЛЬТР МАСЛЯН 60.3 ОСТ26-2088-81</x:v>
      </x:c>
      <x:c r="D529" s="16" t="str">
        <x:v>ЗЧ компрессоров</x:v>
      </x:c>
      <x:c r="E529" s="16" t="str">
        <x:v>ШТ</x:v>
      </x:c>
      <x:c r="F529" s="21" t="n">
        <x:v>1</x:v>
      </x:c>
      <x:c r="G529" s="17" t="n">
        <x:v>4192.9936</x:v>
      </x:c>
      <x:c r="H529" s="17" t="n">
        <x:f>G529*F529</x:f>
        <x:v>4192.9936</x:v>
      </x:c>
      <x:c r="I529" s="22" t="str">
        <x:f>HYPERLINK("https://etp-aktiv.ru/catalog/materialy/zapasnye-chasti-promyshlennogo-oborudovaniya/2001017345-V311/","Открыть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a5ddcac0b4fe4f1f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Изоляция, РТИ, огнеупорные и кислотоупорные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Канская ТЭЦ</x:v>
      </x:c>
      <x:c r="B5" s="16" t="str">
        <x:v>2000157556-V141</x:v>
      </x:c>
      <x:c r="C5" s="16" t="str">
        <x:v>НАБИВКА АГИ 12*12ММ</x:v>
      </x:c>
      <x:c r="D5" s="16" t="str">
        <x:v>Асбо-технические изд</x:v>
      </x:c>
      <x:c r="E5" s="16" t="str">
        <x:v>КГ</x:v>
      </x:c>
      <x:c r="F5" s="26" t="n">
        <x:v>1.4</x:v>
      </x:c>
      <x:c r="G5" s="17" t="n">
        <x:v>437.9068</x:v>
      </x:c>
      <x:c r="H5" s="17" t="n">
        <x:f>G5*F5</x:f>
        <x:v>613.0695199999999</x:v>
      </x:c>
      <x:c r="I5" s="22" t="str">
        <x:f>HYPERLINK("https://etp-aktiv.ru/catalog/materialy/asbo-tekhnicheskie-izdeliya/2000157556-V141/","Открыть позицию")</x:f>
        <x:v>Открыть позицию</x:v>
      </x:c>
    </x:row>
    <x:row r="6" ht="28" customHeight="1">
      <x:c r="A6" s="16" t="str">
        <x:v>Канская ТЭЦ</x:v>
      </x:c>
      <x:c r="B6" s="16" t="str">
        <x:v>2000157605-V141</x:v>
      </x:c>
      <x:c r="C6" s="16" t="str">
        <x:v>НАБИВКА АГИ 8*8ММ</x:v>
      </x:c>
      <x:c r="D6" s="16" t="str">
        <x:v>Асбо-технические изд</x:v>
      </x:c>
      <x:c r="E6" s="16" t="str">
        <x:v>КГ</x:v>
      </x:c>
      <x:c r="F6" s="26" t="n">
        <x:v>8.3</x:v>
      </x:c>
      <x:c r="G6" s="17" t="n">
        <x:v>228.95739999999998</x:v>
      </x:c>
      <x:c r="H6" s="17" t="n">
        <x:f>G6*F6</x:f>
        <x:v>1900.34642</x:v>
      </x:c>
      <x:c r="I6" s="22" t="str">
        <x:f>HYPERLINK("https://etp-aktiv.ru/catalog/materialy/asbo-tekhnicheskie-izdeliya/2000157605-V141/","Открыть позицию")</x:f>
        <x:v>Открыть позицию</x:v>
      </x:c>
    </x:row>
    <x:row r="7" ht="28" customHeight="1">
      <x:c r="A7" s="16" t="str">
        <x:v>Канская ТЭЦ</x:v>
      </x:c>
      <x:c r="B7" s="16" t="str">
        <x:v>2000165250-V141</x:v>
      </x:c>
      <x:c r="C7" s="16" t="str">
        <x:v>НАБИВКА АС 16*16ММ</x:v>
      </x:c>
      <x:c r="D7" s="16" t="str">
        <x:v>Асбо-технические изд</x:v>
      </x:c>
      <x:c r="E7" s="16" t="str">
        <x:v>КГ</x:v>
      </x:c>
      <x:c r="F7" s="26" t="n">
        <x:v>14.4</x:v>
      </x:c>
      <x:c r="G7" s="17" t="n">
        <x:v>164.7</x:v>
      </x:c>
      <x:c r="H7" s="17" t="n">
        <x:f>G7*F7</x:f>
        <x:v>2371.68</x:v>
      </x:c>
      <x:c r="I7" s="22" t="str">
        <x:f>HYPERLINK("https://etp-aktiv.ru/catalog/materialy/asbo-tekhnicheskie-izdeliya/2000165250-V141/","Открыть позицию")</x:f>
        <x:v>Открыть позицию</x:v>
      </x:c>
    </x:row>
    <x:row r="8" ht="28" customHeight="1">
      <x:c r="A8" s="16" t="str">
        <x:v>Канская ТЭЦ</x:v>
      </x:c>
      <x:c r="B8" s="16" t="str">
        <x:v>2000031544-V141</x:v>
      </x:c>
      <x:c r="C8" s="16" t="str">
        <x:v>НАБИВКА ЛП 12ММ</x:v>
      </x:c>
      <x:c r="D8" s="16" t="str">
        <x:v>Асбо-технические изд</x:v>
      </x:c>
      <x:c r="E8" s="16" t="str">
        <x:v>КГ</x:v>
      </x:c>
      <x:c r="F8" s="30" t="n">
        <x:v>0.7</x:v>
      </x:c>
      <x:c r="G8" s="17" t="n">
        <x:v>354.0318</x:v>
      </x:c>
      <x:c r="H8" s="17" t="n">
        <x:f>G8*F8</x:f>
        <x:v>247.82225999999997</x:v>
      </x:c>
      <x:c r="I8" s="22" t="str">
        <x:f>HYPERLINK("https://etp-aktiv.ru/catalog/materialy/asbo-tekhnicheskie-izdeliya/2000031544-V141/","Открыть позицию")</x:f>
        <x:v>Открыть позицию</x:v>
      </x:c>
    </x:row>
    <x:row r="9" ht="28" customHeight="1">
      <x:c r="A9" s="16" t="str">
        <x:v>Канская ТЭЦ</x:v>
      </x:c>
      <x:c r="B9" s="16" t="str">
        <x:v>2000031545-V141</x:v>
      </x:c>
      <x:c r="C9" s="16" t="str">
        <x:v>НАБИВКА ЛП 14ММ</x:v>
      </x:c>
      <x:c r="D9" s="16" t="str">
        <x:v>Асбо-технические изд</x:v>
      </x:c>
      <x:c r="E9" s="16" t="str">
        <x:v>КГ</x:v>
      </x:c>
      <x:c r="F9" s="26" t="n">
        <x:v>26.9</x:v>
      </x:c>
      <x:c r="G9" s="17" t="n">
        <x:v>162.00379999999998</x:v>
      </x:c>
      <x:c r="H9" s="17" t="n">
        <x:f>G9*F9</x:f>
        <x:v>4357.902219999999</x:v>
      </x:c>
      <x:c r="I9" s="22" t="str">
        <x:f>HYPERLINK("https://etp-aktiv.ru/catalog/materialy/asbo-tekhnicheskie-izdeliya/2000031545-V141/","Открыть позицию")</x:f>
        <x:v>Открыть позицию</x:v>
      </x:c>
    </x:row>
    <x:row r="10" ht="28" customHeight="1">
      <x:c r="A10" s="16" t="str">
        <x:v>Канская ТЭЦ</x:v>
      </x:c>
      <x:c r="B10" s="16" t="str">
        <x:v>2000031548-V141</x:v>
      </x:c>
      <x:c r="C10" s="16" t="str">
        <x:v>НАБИВКА ЛП 6ММ</x:v>
      </x:c>
      <x:c r="D10" s="16" t="str">
        <x:v>Асбо-технические изд</x:v>
      </x:c>
      <x:c r="E10" s="16" t="str">
        <x:v>КГ</x:v>
      </x:c>
      <x:c r="F10" s="26" t="n">
        <x:v>9.3</x:v>
      </x:c>
      <x:c r="G10" s="17" t="n">
        <x:v>181.60920000000002</x:v>
      </x:c>
      <x:c r="H10" s="17" t="n">
        <x:f>G10*F10</x:f>
        <x:v>1688.9655600000003</x:v>
      </x:c>
      <x:c r="I10" s="22" t="str">
        <x:f>HYPERLINK("https://etp-aktiv.ru/catalog/materialy/asbo-tekhnicheskie-izdeliya/2000031548-V141/","Открыть позицию")</x:f>
        <x:v>Открыть позицию</x:v>
      </x:c>
    </x:row>
    <x:row r="11" ht="28" customHeight="1">
      <x:c r="A11" s="16" t="str">
        <x:v>Канская ТЭЦ</x:v>
      </x:c>
      <x:c r="B11" s="16" t="str">
        <x:v>2000539232-V141</x:v>
      </x:c>
      <x:c r="C11" s="16" t="str">
        <x:v>НАБИВКА ОДНОСЛОЙНОЕ ПЛЕТЕНИЕ ЛП-31 16*16</x:v>
      </x:c>
      <x:c r="D11" s="16" t="str">
        <x:v>Асбо-технические изд</x:v>
      </x:c>
      <x:c r="E11" s="16" t="str">
        <x:v>КГ</x:v>
      </x:c>
      <x:c r="F11" s="21" t="n">
        <x:v>19</x:v>
      </x:c>
      <x:c r="G11" s="17" t="n">
        <x:v>169.51899999999998</x:v>
      </x:c>
      <x:c r="H11" s="17" t="n">
        <x:f>G11*F11</x:f>
        <x:v>3220.8609999999994</x:v>
      </x:c>
      <x:c r="I11" s="22" t="str">
        <x:f>HYPERLINK("https://etp-aktiv.ru/catalog/materialy/asbo-tekhnicheskie-izdeliya/2000539232-V141/","Открыть позицию")</x:f>
        <x:v>Открыть позицию</x:v>
      </x:c>
    </x:row>
    <x:row r="12" ht="28" customHeight="1">
      <x:c r="A12" s="16" t="str">
        <x:v>Канская ТЭЦ</x:v>
      </x:c>
      <x:c r="B12" s="16" t="str">
        <x:v>2000539168-V141</x:v>
      </x:c>
      <x:c r="C12" s="16" t="str">
        <x:v>НАБИВКА СКВОЗНОЕ ПЛЕТЕНИЕ АГИ 6*6</x:v>
      </x:c>
      <x:c r="D12" s="16" t="str">
        <x:v>Асбо-технические изд</x:v>
      </x:c>
      <x:c r="E12" s="16" t="str">
        <x:v>КГ</x:v>
      </x:c>
      <x:c r="F12" s="26" t="n">
        <x:v>6.6</x:v>
      </x:c>
      <x:c r="G12" s="17" t="n">
        <x:v>209.52280000000002</x:v>
      </x:c>
      <x:c r="H12" s="17" t="n">
        <x:f>G12*F12</x:f>
        <x:v>1382.85048</x:v>
      </x:c>
      <x:c r="I12" s="22" t="str">
        <x:f>HYPERLINK("https://etp-aktiv.ru/catalog/materialy/asbo-tekhnicheskie-izdeliya/2000539168-V141/","Открыть позицию")</x:f>
        <x:v>Открыть позицию</x:v>
      </x:c>
    </x:row>
    <x:row r="13" ht="28" customHeight="1">
      <x:c r="A13" s="16" t="str">
        <x:v>Канская ТЭЦ</x:v>
      </x:c>
      <x:c r="B13" s="16" t="str">
        <x:v>2000240017-V141</x:v>
      </x:c>
      <x:c r="C13" s="16" t="str">
        <x:v>ПЛАСТИНА ПРЕСС ФТОРОПЛАСТ Ф-4 250*250*20</x:v>
      </x:c>
      <x:c r="D13" s="16" t="str">
        <x:v>Э/изоляцион мат-лы</x:v>
      </x:c>
      <x:c r="E13" s="16" t="str">
        <x:v>КГ</x:v>
      </x:c>
      <x:c r="F13" s="21" t="n">
        <x:v>11</x:v>
      </x:c>
      <x:c r="G13" s="17" t="n">
        <x:v>570.96</x:v>
      </x:c>
      <x:c r="H13" s="17" t="n">
        <x:f>G13*F13</x:f>
        <x:v>6280.56</x:v>
      </x:c>
      <x:c r="I13" s="22" t="str">
        <x:f>HYPERLINK("https://etp-aktiv.ru/catalog/materialy/ehlektroizolyacionnye-materialy/2000240017-V141/","Открыть позицию")</x:f>
        <x:v>Открыть позицию</x:v>
      </x:c>
    </x:row>
    <x:row r="14" ht="28" customHeight="1">
      <x:c r="A14" s="16" t="str">
        <x:v>Канская ТЭЦ</x:v>
      </x:c>
      <x:c r="B14" s="16" t="str">
        <x:v>2000546768-V141</x:v>
      </x:c>
      <x:c r="C14" s="16" t="str">
        <x:v>ШНУР РЕЗ 1,4C 12 ГОСТ6467-79</x:v>
      </x:c>
      <x:c r="D14" s="16" t="str">
        <x:v>Проч резино-тех изд</x:v>
      </x:c>
      <x:c r="E14" s="16" t="str">
        <x:v>КГ</x:v>
      </x:c>
      <x:c r="F14" s="26" t="n">
        <x:v>18.56</x:v>
      </x:c>
      <x:c r="G14" s="17" t="n">
        <x:v>136.00560000000002</x:v>
      </x:c>
      <x:c r="H14" s="17" t="n">
        <x:f>G14*F14</x:f>
        <x:v>2524.2639360000003</x:v>
      </x:c>
      <x:c r="I14" s="22" t="str">
        <x:f>HYPERLINK("https://etp-aktiv.ru/catalog/materialy/rezino-tekhnicheskie-izdeliya/2000546768-V141/","Открыть позицию")</x:f>
        <x:v>Открыть позицию</x:v>
      </x:c>
    </x:row>
    <x:row r="15" ht="28" customHeight="1">
      <x:c r="A15" s="16" t="str">
        <x:v>Красноярская ГРЭС-2</x:v>
      </x:c>
      <x:c r="B15" s="16" t="str">
        <x:v>2000548481-V116</x:v>
      </x:c>
      <x:c r="C15" s="16" t="str">
        <x:v>ГЕТИНАКС I 1С 4ММ ГОСТ2718-74</x:v>
      </x:c>
      <x:c r="D15" s="16" t="str">
        <x:v>Э/изоляцион мат-лы</x:v>
      </x:c>
      <x:c r="E15" s="16" t="str">
        <x:v>КГ</x:v>
      </x:c>
      <x:c r="F15" s="26" t="n">
        <x:v>38.18</x:v>
      </x:c>
      <x:c r="G15" s="17" t="n">
        <x:v>71.90679999999999</x:v>
      </x:c>
      <x:c r="H15" s="17" t="n">
        <x:f>G15*F15</x:f>
        <x:v>2745.4016239999996</x:v>
      </x:c>
      <x:c r="I15" s="22" t="str">
        <x:f>HYPERLINK("https://etp-aktiv.ru/catalog/materialy/ehlektroizolyacionnye-materialy/2000548481-V116/","Открыть позицию")</x:f>
        <x:v>Открыть позицию</x:v>
      </x:c>
    </x:row>
    <x:row r="16" ht="28" customHeight="1">
      <x:c r="A16" s="16" t="str">
        <x:v>Красноярская ГРЭС-2</x:v>
      </x:c>
      <x:c r="B16" s="16" t="str">
        <x:v>2000642548-V116</x:v>
      </x:c>
      <x:c r="C16" s="16" t="str">
        <x:v>ГИДРОУПЛОТНЕНИЕ 1-XIIА-1 30Х145</x:v>
      </x:c>
      <x:c r="D16" s="16" t="str">
        <x:v>Проч резино-тех изд</x:v>
      </x:c>
      <x:c r="E16" s="16" t="str">
        <x:v>ПМ</x:v>
      </x:c>
      <x:c r="F16" s="21" t="n">
        <x:v>40</x:v>
      </x:c>
      <x:c r="G16" s="17" t="n">
        <x:v>1341.1947999999998</x:v>
      </x:c>
      <x:c r="H16" s="17" t="n">
        <x:f>G16*F16</x:f>
        <x:v>53647.79199999999</x:v>
      </x:c>
      <x:c r="I16" s="22" t="str">
        <x:f>HYPERLINK("https://etp-aktiv.ru/catalog/materialy/rezino-tekhnicheskie-izdeliya/2000642548-V116/","Открыть позицию")</x:f>
        <x:v>Открыть позицию</x:v>
      </x:c>
    </x:row>
    <x:row r="17" ht="28" customHeight="1">
      <x:c r="A17" s="16" t="str">
        <x:v>Красноярская ГРЭС-2</x:v>
      </x:c>
      <x:c r="B17" s="16" t="str">
        <x:v>2000485771-V116</x:v>
      </x:c>
      <x:c r="C17" s="16" t="str">
        <x:v>КАРТОН АСБЕСТОВЫЙ КАОН-1-5 5ММ</x:v>
      </x:c>
      <x:c r="D17" s="16" t="str">
        <x:v>Асбо-технические изд</x:v>
      </x:c>
      <x:c r="E17" s="16" t="str">
        <x:v>КГ</x:v>
      </x:c>
      <x:c r="F17" s="26" t="n">
        <x:v>1.3</x:v>
      </x:c>
      <x:c r="G17" s="17" t="n">
        <x:v>35.685</x:v>
      </x:c>
      <x:c r="H17" s="17" t="n">
        <x:f>G17*F17</x:f>
        <x:v>46.3905</x:v>
      </x:c>
      <x:c r="I17" s="22" t="str">
        <x:f>HYPERLINK("https://etp-aktiv.ru/catalog/materialy/asbo-tekhnicheskie-izdeliya/2000485771-V116/","Открыть позицию")</x:f>
        <x:v>Открыть позицию</x:v>
      </x:c>
    </x:row>
    <x:row r="18" ht="28" customHeight="1">
      <x:c r="A18" s="16" t="str">
        <x:v>Красноярская ГРЭС-2</x:v>
      </x:c>
      <x:c r="B18" s="16" t="str">
        <x:v>2000538924-V116</x:v>
      </x:c>
      <x:c r="C18" s="16" t="str">
        <x:v>КМП КОЛЕЦ 2ШТ К-04П КГФ-Г 300*270*15</x:v>
      </x:c>
      <x:c r="D18" s="16" t="str">
        <x:v>Асбо-технические изд</x:v>
      </x:c>
      <x:c r="E18" s="16" t="str">
        <x:v>ШТ</x:v>
      </x:c>
      <x:c r="F18" s="21" t="n">
        <x:v>7</x:v>
      </x:c>
      <x:c r="G18" s="17" t="n">
        <x:v>830.1734</x:v>
      </x:c>
      <x:c r="H18" s="17" t="n">
        <x:f>G18*F18</x:f>
        <x:v>5811.2138</x:v>
      </x:c>
      <x:c r="I18" s="22" t="str">
        <x:f>HYPERLINK("https://etp-aktiv.ru/catalog/materialy/asbo-tekhnicheskie-izdeliya/2000538924-V116/","Открыть позицию")</x:f>
        <x:v>Открыть позицию</x:v>
      </x:c>
    </x:row>
    <x:row r="19" ht="28" customHeight="1">
      <x:c r="A19" s="16" t="str">
        <x:v>Красноярская ГРЭС-2</x:v>
      </x:c>
      <x:c r="B19" s="16" t="str">
        <x:v>2000538974-V116</x:v>
      </x:c>
      <x:c r="C19" s="16" t="str">
        <x:v>КМП КОЛЕЦ 2ШТ КШ-03-2*4-78*52*78-ГФ-2</x:v>
      </x:c>
      <x:c r="D19" s="16" t="str">
        <x:v>Асбо-технические изд</x:v>
      </x:c>
      <x:c r="E19" s="16" t="str">
        <x:v>КМП</x:v>
      </x:c>
      <x:c r="F19" s="21" t="n">
        <x:v>55</x:v>
      </x:c>
      <x:c r="G19" s="17" t="n">
        <x:v>522.2332</x:v>
      </x:c>
      <x:c r="H19" s="17" t="n">
        <x:f>G19*F19</x:f>
        <x:v>28722.826</x:v>
      </x:c>
      <x:c r="I19" s="22" t="str">
        <x:f>HYPERLINK("https://etp-aktiv.ru/catalog/materialy/asbo-tekhnicheskie-izdeliya/2000538974-V116/","Открыть позицию")</x:f>
        <x:v>Открыть позицию</x:v>
      </x:c>
    </x:row>
    <x:row r="20" ht="28" customHeight="1">
      <x:c r="A20" s="16" t="str">
        <x:v>Красноярская ГРЭС-2</x:v>
      </x:c>
      <x:c r="B20" s="16" t="str">
        <x:v>2000643844-V116</x:v>
      </x:c>
      <x:c r="C20" s="16" t="str">
        <x:v>КМП КОЛЕЦ К-03Ш-2*4-64*44*60-КГФ-Г</x:v>
      </x:c>
      <x:c r="D20" s="16" t="str">
        <x:v>Асбо-технические изд</x:v>
      </x:c>
      <x:c r="E20" s="16" t="str">
        <x:v>ШТ</x:v>
      </x:c>
      <x:c r="F20" s="21" t="n">
        <x:v>4</x:v>
      </x:c>
      <x:c r="G20" s="17" t="n">
        <x:v>271.5232</x:v>
      </x:c>
      <x:c r="H20" s="17" t="n">
        <x:f>G20*F20</x:f>
        <x:v>1086.0928</x:v>
      </x:c>
      <x:c r="I20" s="22" t="str">
        <x:f>HYPERLINK("https://etp-aktiv.ru/catalog/materialy/asbo-tekhnicheskie-izdeliya/2000643844-V116/","Открыть позицию")</x:f>
        <x:v>Открыть позицию</x:v>
      </x:c>
    </x:row>
    <x:row r="21" ht="28" customHeight="1">
      <x:c r="A21" s="16" t="str">
        <x:v>Красноярская ГРЭС-2</x:v>
      </x:c>
      <x:c r="B21" s="16" t="str">
        <x:v>2000641169-V116</x:v>
      </x:c>
      <x:c r="C21" s="16" t="str">
        <x:v>КОЛЬЦО 00-В-Б-125*100*12-ГФ-2</x:v>
      </x:c>
      <x:c r="D21" s="16" t="str">
        <x:v>Асбо-технические изд</x:v>
      </x:c>
      <x:c r="E21" s="16" t="str">
        <x:v>ШТ</x:v>
      </x:c>
      <x:c r="F21" s="21" t="n">
        <x:v>21</x:v>
      </x:c>
      <x:c r="G21" s="17" t="n">
        <x:v>29.633799999999997</x:v>
      </x:c>
      <x:c r="H21" s="17" t="n">
        <x:f>G21*F21</x:f>
        <x:v>622.3098</x:v>
      </x:c>
      <x:c r="I21" s="22" t="str">
        <x:f>HYPERLINK("https://etp-aktiv.ru/catalog/materialy/asbo-tekhnicheskie-izdeliya/2000641169-V116/","Открыть позицию")</x:f>
        <x:v>Открыть позицию</x:v>
      </x:c>
    </x:row>
    <x:row r="22" ht="28" customHeight="1">
      <x:c r="A22" s="16" t="str">
        <x:v>Красноярская ГРЭС-2</x:v>
      </x:c>
      <x:c r="B22" s="16" t="str">
        <x:v>2000606256-V116</x:v>
      </x:c>
      <x:c r="C22" s="16" t="str">
        <x:v>КОЛЬЦО 00-В-Б-24*14*5 ГФ-2</x:v>
      </x:c>
      <x:c r="D22" s="16" t="str">
        <x:v>Асбо-технические изд</x:v>
      </x:c>
      <x:c r="E22" s="16" t="str">
        <x:v>ШТ</x:v>
      </x:c>
      <x:c r="F22" s="21" t="n">
        <x:v>6</x:v>
      </x:c>
      <x:c r="G22" s="17" t="n">
        <x:v>15.8356</x:v>
      </x:c>
      <x:c r="H22" s="17" t="n">
        <x:f>G22*F22</x:f>
        <x:v>95.0136</x:v>
      </x:c>
      <x:c r="I22" s="22" t="str">
        <x:f>HYPERLINK("https://etp-aktiv.ru/catalog/materialy/asbo-tekhnicheskie-izdeliya/2000606256-V116/","Открыть позицию")</x:f>
        <x:v>Открыть позицию</x:v>
      </x:c>
    </x:row>
    <x:row r="23" ht="28" customHeight="1">
      <x:c r="A23" s="16" t="str">
        <x:v>Красноярская ГРЭС-2</x:v>
      </x:c>
      <x:c r="B23" s="16" t="str">
        <x:v>2000606260-V116</x:v>
      </x:c>
      <x:c r="C23" s="16" t="str">
        <x:v>КОЛЬЦО 00-В-Б-30*18*6 ГФ-2</x:v>
      </x:c>
      <x:c r="D23" s="16" t="str">
        <x:v>Асбо-технические изд</x:v>
      </x:c>
      <x:c r="E23" s="16" t="str">
        <x:v>ШТ</x:v>
      </x:c>
      <x:c r="F23" s="21" t="n">
        <x:v>6</x:v>
      </x:c>
      <x:c r="G23" s="17" t="n">
        <x:v>18.1048</x:v>
      </x:c>
      <x:c r="H23" s="17" t="n">
        <x:f>G23*F23</x:f>
        <x:v>108.62880000000001</x:v>
      </x:c>
      <x:c r="I23" s="22" t="str">
        <x:f>HYPERLINK("https://etp-aktiv.ru/catalog/materialy/asbo-tekhnicheskie-izdeliya/2000606260-V116/","Открыть позицию")</x:f>
        <x:v>Открыть позицию</x:v>
      </x:c>
    </x:row>
    <x:row r="24" ht="28" customHeight="1">
      <x:c r="A24" s="16" t="str">
        <x:v>Красноярская ГРЭС-2</x:v>
      </x:c>
      <x:c r="B24" s="16" t="str">
        <x:v>2000606265-V116</x:v>
      </x:c>
      <x:c r="C24" s="16" t="str">
        <x:v>КОЛЬЦО 00-В-Б-52*36*8 ГФ-2</x:v>
      </x:c>
      <x:c r="D24" s="16" t="str">
        <x:v>Асбо-технические изд</x:v>
      </x:c>
      <x:c r="E24" s="16" t="str">
        <x:v>ШТ</x:v>
      </x:c>
      <x:c r="F24" s="21" t="n">
        <x:v>93</x:v>
      </x:c>
      <x:c r="G24" s="17" t="n">
        <x:v>4.9654</x:v>
      </x:c>
      <x:c r="H24" s="17" t="n">
        <x:f>G24*F24</x:f>
        <x:v>461.7822</x:v>
      </x:c>
      <x:c r="I24" s="22" t="str">
        <x:f>HYPERLINK("https://etp-aktiv.ru/catalog/materialy/asbo-tekhnicheskie-izdeliya/2000606265-V116/","Открыть позицию")</x:f>
        <x:v>Открыть позицию</x:v>
      </x:c>
    </x:row>
    <x:row r="25" ht="28" customHeight="1">
      <x:c r="A25" s="16" t="str">
        <x:v>Красноярская ГРЭС-2</x:v>
      </x:c>
      <x:c r="B25" s="16" t="str">
        <x:v>2000643729-V116</x:v>
      </x:c>
      <x:c r="C25" s="16" t="str">
        <x:v>КОЛЬЦО 019-024-30-2-3 ГОСТ9833/18829-73</x:v>
      </x:c>
      <x:c r="D25" s="16" t="str">
        <x:v>Проч резино-тех изд</x:v>
      </x:c>
      <x:c r="E25" s="16" t="str">
        <x:v>ШТ</x:v>
      </x:c>
      <x:c r="F25" s="21" t="n">
        <x:v>100</x:v>
      </x:c>
      <x:c r="G25" s="17" t="n">
        <x:v>3.0622</x:v>
      </x:c>
      <x:c r="H25" s="17" t="n">
        <x:f>G25*F25</x:f>
        <x:v>306.21999999999997</x:v>
      </x:c>
      <x:c r="I25" s="22" t="str">
        <x:f>HYPERLINK("https://etp-aktiv.ru/catalog/materialy/rezino-tekhnicheskie-izdeliya/2000643729-V116/","Открыть позицию")</x:f>
        <x:v>Открыть позицию</x:v>
      </x:c>
    </x:row>
    <x:row r="26" ht="28" customHeight="1">
      <x:c r="A26" s="16" t="str">
        <x:v>Красноярская ГРЭС-2</x:v>
      </x:c>
      <x:c r="B26" s="16" t="str">
        <x:v>2000643801-V116</x:v>
      </x:c>
      <x:c r="C26" s="16" t="str">
        <x:v>КОЛЬЦО 205-215-58-2-4 ГОСТ9833-73</x:v>
      </x:c>
      <x:c r="D26" s="16" t="str">
        <x:v>Проч резино-тех изд</x:v>
      </x:c>
      <x:c r="E26" s="16" t="str">
        <x:v>ШТ</x:v>
      </x:c>
      <x:c r="F26" s="21" t="n">
        <x:v>1</x:v>
      </x:c>
      <x:c r="G26" s="17" t="n">
        <x:v>37.6248</x:v>
      </x:c>
      <x:c r="H26" s="17" t="n">
        <x:f>G26*F26</x:f>
        <x:v>37.6248</x:v>
      </x:c>
      <x:c r="I26" s="22" t="str">
        <x:f>HYPERLINK("https://etp-aktiv.ru/catalog/materialy/rezino-tekhnicheskie-izdeliya/2000643801-V116/","Открыть позицию")</x:f>
        <x:v>Открыть позицию</x:v>
      </x:c>
    </x:row>
    <x:row r="27" ht="28" customHeight="1">
      <x:c r="A27" s="16" t="str">
        <x:v>Красноярская ГРЭС-2</x:v>
      </x:c>
      <x:c r="B27" s="16" t="str">
        <x:v>2000539035-V116</x:v>
      </x:c>
      <x:c r="C27" s="16" t="str">
        <x:v>КОЛЬЦО КГФ-Г-С 52*36*8</x:v>
      </x:c>
      <x:c r="D27" s="16" t="str">
        <x:v>Асбо-технические изд</x:v>
      </x:c>
      <x:c r="E27" s="16" t="str">
        <x:v>ШТ</x:v>
      </x:c>
      <x:c r="F27" s="21" t="n">
        <x:v>12</x:v>
      </x:c>
      <x:c r="G27" s="17" t="n">
        <x:v>27.1572</x:v>
      </x:c>
      <x:c r="H27" s="17" t="n">
        <x:f>G27*F27</x:f>
        <x:v>325.8864</x:v>
      </x:c>
      <x:c r="I27" s="22" t="str">
        <x:f>HYPERLINK("https://etp-aktiv.ru/catalog/materialy/asbo-tekhnicheskie-izdeliya/2000539035-V116/","Открыть позицию")</x:f>
        <x:v>Открыть позицию</x:v>
      </x:c>
    </x:row>
    <x:row r="28" ht="28" customHeight="1">
      <x:c r="A28" s="16" t="str">
        <x:v>Красноярская ГРЭС-2</x:v>
      </x:c>
      <x:c r="B28" s="16" t="str">
        <x:v>2000692173-V116</x:v>
      </x:c>
      <x:c r="C28" s="16" t="str">
        <x:v>КРОШКА ДИАТОМИТ 0,16-2,0 ТУ20.13.62-001</x:v>
      </x:c>
      <x:c r="D28" s="16" t="str">
        <x:v>Огнеупорные мат-лы</x:v>
      </x:c>
      <x:c r="E28" s="16" t="str">
        <x:v>М3</x:v>
      </x:c>
      <x:c r="F28" s="26" t="n">
        <x:v>31.568</x:v>
      </x:c>
      <x:c r="G28" s="17" t="n">
        <x:v>10842.75</x:v>
      </x:c>
      <x:c r="H28" s="17" t="n">
        <x:f>G28*F28</x:f>
        <x:v>342283.93200000003</x:v>
      </x:c>
      <x:c r="I28" s="22" t="str">
        <x:f>HYPERLINK("https://etp-aktiv.ru/catalog/materialy/ogneupornye-materialy/2000692173-V116/","Открыть позицию")</x:f>
        <x:v>Открыть позицию</x:v>
      </x:c>
    </x:row>
    <x:row r="29" ht="28" customHeight="1">
      <x:c r="A29" s="16" t="str">
        <x:v>Красноярская ГРЭС-2</x:v>
      </x:c>
      <x:c r="B29" s="16" t="str">
        <x:v>2000644679-V116</x:v>
      </x:c>
      <x:c r="C29" s="16" t="str">
        <x:v>ЛЕНТА Ф-4ПН 4,0*4 ГОСТ24222-80</x:v>
      </x:c>
      <x:c r="D29" s="16" t="str">
        <x:v>Э/изоляцион мат-лы</x:v>
      </x:c>
      <x:c r="E29" s="16" t="str">
        <x:v>КГ</x:v>
      </x:c>
      <x:c r="F29" s="26" t="n">
        <x:v>4.01</x:v>
      </x:c>
      <x:c r="G29" s="17" t="n">
        <x:v>1372.5</x:v>
      </x:c>
      <x:c r="H29" s="17" t="n">
        <x:f>G29*F29</x:f>
        <x:v>5503.724999999999</x:v>
      </x:c>
      <x:c r="I29" s="22" t="str">
        <x:f>HYPERLINK("https://etp-aktiv.ru/catalog/materialy/ehlektroizolyacionnye-materialy/2000644679-V116/","Открыть позицию")</x:f>
        <x:v>Открыть позицию</x:v>
      </x:c>
    </x:row>
    <x:row r="30" ht="28" customHeight="1">
      <x:c r="A30" s="16" t="str">
        <x:v>Красноярская ГРЭС-2</x:v>
      </x:c>
      <x:c r="B30" s="16" t="str">
        <x:v>2000539123-V116</x:v>
      </x:c>
      <x:c r="C30" s="16" t="str">
        <x:v>ЛЕНТА ЭМ-К 6*90</x:v>
      </x:c>
      <x:c r="D30" s="16" t="str">
        <x:v>Асбо-технические изд</x:v>
      </x:c>
      <x:c r="E30" s="16" t="str">
        <x:v>М2</x:v>
      </x:c>
      <x:c r="F30" s="26" t="n">
        <x:v>5.76</x:v>
      </x:c>
      <x:c r="G30" s="17" t="n">
        <x:v>4985.6032</x:v>
      </x:c>
      <x:c r="H30" s="17" t="n">
        <x:f>G30*F30</x:f>
        <x:v>28717.074431999998</x:v>
      </x:c>
      <x:c r="I30" s="22" t="str">
        <x:f>HYPERLINK("https://etp-aktiv.ru/catalog/materialy/asbo-tekhnicheskie-izdeliya/2000539123-V116/","Открыть позицию")</x:f>
        <x:v>Открыть позицию</x:v>
      </x:c>
    </x:row>
    <x:row r="31" ht="28" customHeight="1">
      <x:c r="A31" s="16" t="str">
        <x:v>Красноярская ГРЭС-2</x:v>
      </x:c>
      <x:c r="B31" s="16" t="str">
        <x:v>2000539124-V116</x:v>
      </x:c>
      <x:c r="C31" s="16" t="str">
        <x:v>ЛЕНТА ЭМ-К 8*120</x:v>
      </x:c>
      <x:c r="D31" s="16" t="str">
        <x:v>Асбо-технические изд</x:v>
      </x:c>
      <x:c r="E31" s="16" t="str">
        <x:v>М2</x:v>
      </x:c>
      <x:c r="F31" s="26" t="n">
        <x:v>7.46</x:v>
      </x:c>
      <x:c r="G31" s="17" t="n">
        <x:v>5927.955599999999</x:v>
      </x:c>
      <x:c r="H31" s="17" t="n">
        <x:f>G31*F31</x:f>
        <x:v>44222.548775999996</x:v>
      </x:c>
      <x:c r="I31" s="22" t="str">
        <x:f>HYPERLINK("https://etp-aktiv.ru/catalog/materialy/asbo-tekhnicheskie-izdeliya/2000539124-V116/","Открыть позицию")</x:f>
        <x:v>Открыть позицию</x:v>
      </x:c>
    </x:row>
    <x:row r="32" ht="28" customHeight="1">
      <x:c r="A32" s="16" t="str">
        <x:v>Красноярская ГРЭС-2</x:v>
      </x:c>
      <x:c r="B32" s="16" t="str">
        <x:v>2000546829-V116</x:v>
      </x:c>
      <x:c r="C32" s="16" t="str">
        <x:v>МАНЖЕТА 1,2-140*170-1 ГОСТ8752-79</x:v>
      </x:c>
      <x:c r="D32" s="16" t="str">
        <x:v>Проч резино-тех изд</x:v>
      </x:c>
      <x:c r="E32" s="16" t="str">
        <x:v>ШТ</x:v>
      </x:c>
      <x:c r="F32" s="21" t="n">
        <x:v>1</x:v>
      </x:c>
      <x:c r="G32" s="17" t="n">
        <x:v>45.8476</x:v>
      </x:c>
      <x:c r="H32" s="17" t="n">
        <x:f>G32*F32</x:f>
        <x:v>45.8476</x:v>
      </x:c>
      <x:c r="I32" s="22" t="str">
        <x:f>HYPERLINK("https://etp-aktiv.ru/catalog/materialy/rezino-tekhnicheskie-izdeliya/2000546829-V116/","Открыть позицию")</x:f>
        <x:v>Открыть позицию</x:v>
      </x:c>
    </x:row>
    <x:row r="33" ht="28" customHeight="1">
      <x:c r="A33" s="16" t="str">
        <x:v>Красноярская ГРЭС-2</x:v>
      </x:c>
      <x:c r="B33" s="16" t="str">
        <x:v>2000147841-V116</x:v>
      </x:c>
      <x:c r="C33" s="16" t="str">
        <x:v>МАНЖЕТА 1,2-35*58-1 ГОСТ8752-79</x:v>
      </x:c>
      <x:c r="D33" s="16" t="str">
        <x:v>Проч резино-тех изд</x:v>
      </x:c>
      <x:c r="E33" s="16" t="str">
        <x:v>ШТ</x:v>
      </x:c>
      <x:c r="F33" s="21" t="n">
        <x:v>5</x:v>
      </x:c>
      <x:c r="G33" s="17" t="n">
        <x:v>14.786399999999999</x:v>
      </x:c>
      <x:c r="H33" s="17" t="n">
        <x:f>G33*F33</x:f>
        <x:v>73.93199999999999</x:v>
      </x:c>
      <x:c r="I33" s="22" t="str">
        <x:f>HYPERLINK("https://etp-aktiv.ru/catalog/materialy/rezino-tekhnicheskie-izdeliya/2000147841-V116/","Открыть позицию")</x:f>
        <x:v>Открыть позицию</x:v>
      </x:c>
    </x:row>
    <x:row r="34" ht="28" customHeight="1">
      <x:c r="A34" s="16" t="str">
        <x:v>Красноярская ГРЭС-2</x:v>
      </x:c>
      <x:c r="B34" s="16" t="str">
        <x:v>2000644754-V116</x:v>
      </x:c>
      <x:c r="C34" s="16" t="str">
        <x:v>МАНЖЕТА 1,2-36*50-1 ГОСТ8752-79</x:v>
      </x:c>
      <x:c r="D34" s="16" t="str">
        <x:v>Проч резино-тех изд</x:v>
      </x:c>
      <x:c r="E34" s="16" t="str">
        <x:v>ШТ</x:v>
      </x:c>
      <x:c r="F34" s="21" t="n">
        <x:v>4</x:v>
      </x:c>
      <x:c r="G34" s="17" t="n">
        <x:v>10.321200000000001</x:v>
      </x:c>
      <x:c r="H34" s="17" t="n">
        <x:f>G34*F34</x:f>
        <x:v>41.284800000000004</x:v>
      </x:c>
      <x:c r="I34" s="22" t="str">
        <x:f>HYPERLINK("https://etp-aktiv.ru/catalog/materialy/rezino-tekhnicheskie-izdeliya/2000644754-V116/","Открыть позицию")</x:f>
        <x:v>Открыть позицию</x:v>
      </x:c>
    </x:row>
    <x:row r="35" ht="28" customHeight="1">
      <x:c r="A35" s="16" t="str">
        <x:v>Красноярская ГРЭС-2</x:v>
      </x:c>
      <x:c r="B35" s="16" t="str">
        <x:v>2000001667-V116</x:v>
      </x:c>
      <x:c r="C35" s="16" t="str">
        <x:v>МАНЖЕТА 1,2-75*100-1 ГОСТ8752-79</x:v>
      </x:c>
      <x:c r="D35" s="16" t="str">
        <x:v>Проч резино-тех изд</x:v>
      </x:c>
      <x:c r="E35" s="16" t="str">
        <x:v>ШТ</x:v>
      </x:c>
      <x:c r="F35" s="21" t="n">
        <x:v>3</x:v>
      </x:c>
      <x:c r="G35" s="17" t="n">
        <x:v>22.447999999999997</x:v>
      </x:c>
      <x:c r="H35" s="17" t="n">
        <x:f>G35*F35</x:f>
        <x:v>67.344</x:v>
      </x:c>
      <x:c r="I35" s="22" t="str">
        <x:f>HYPERLINK("https://etp-aktiv.ru/catalog/materialy/rezino-tekhnicheskie-izdeliya/2000001667-V116/","Открыть позицию")</x:f>
        <x:v>Открыть позицию</x:v>
      </x:c>
    </x:row>
    <x:row r="36" ht="28" customHeight="1">
      <x:c r="A36" s="16" t="str">
        <x:v>Красноярская ГРЭС-2</x:v>
      </x:c>
      <x:c r="B36" s="16" t="str">
        <x:v>2000641339-V116</x:v>
      </x:c>
      <x:c r="C36" s="16" t="str">
        <x:v>МАНЖЕТА 1,2-75*95-6 ГОСТ8752-79</x:v>
      </x:c>
      <x:c r="D36" s="16" t="str">
        <x:v>Проч резино-тех изд</x:v>
      </x:c>
      <x:c r="E36" s="16" t="str">
        <x:v>ШТ</x:v>
      </x:c>
      <x:c r="F36" s="21" t="n">
        <x:v>36</x:v>
      </x:c>
      <x:c r="G36" s="17" t="n">
        <x:v>33.5134</x:v>
      </x:c>
      <x:c r="H36" s="17" t="n">
        <x:f>G36*F36</x:f>
        <x:v>1206.4823999999999</x:v>
      </x:c>
      <x:c r="I36" s="22" t="str">
        <x:f>HYPERLINK("https://etp-aktiv.ru/catalog/materialy/rezino-tekhnicheskie-izdeliya/2000641339-V116/","Открыть позицию")</x:f>
        <x:v>Открыть позицию</x:v>
      </x:c>
    </x:row>
    <x:row r="37" ht="28" customHeight="1">
      <x:c r="A37" s="16" t="str">
        <x:v>Красноярская ГРЭС-2</x:v>
      </x:c>
      <x:c r="B37" s="16" t="str">
        <x:v>2000029913-V116</x:v>
      </x:c>
      <x:c r="C37" s="16" t="str">
        <x:v>МАНЖЕТА 70*92 ГОСТ6969-55</x:v>
      </x:c>
      <x:c r="D37" s="16" t="str">
        <x:v>Проч резино-тех изд</x:v>
      </x:c>
      <x:c r="E37" s="16" t="str">
        <x:v>ШТ</x:v>
      </x:c>
      <x:c r="F37" s="21" t="n">
        <x:v>6</x:v>
      </x:c>
      <x:c r="G37" s="17" t="n">
        <x:v>28.0234</x:v>
      </x:c>
      <x:c r="H37" s="17" t="n">
        <x:f>G37*F37</x:f>
        <x:v>168.1404</x:v>
      </x:c>
      <x:c r="I37" s="22" t="str">
        <x:f>HYPERLINK("https://etp-aktiv.ru/catalog/materialy/rezino-tekhnicheskie-izdeliya/2000029913-V116/","Открыть позицию")</x:f>
        <x:v>Открыть позицию</x:v>
      </x:c>
    </x:row>
    <x:row r="38" ht="28" customHeight="1">
      <x:c r="A38" s="16" t="str">
        <x:v>Красноярская ГРЭС-2</x:v>
      </x:c>
      <x:c r="B38" s="16" t="str">
        <x:v>2000004667-V116</x:v>
      </x:c>
      <x:c r="C38" s="16" t="str">
        <x:v>МАНЖЕТА АРМИР 1,2-170*200-3 ГОСТ8752-79</x:v>
      </x:c>
      <x:c r="D38" s="16" t="str">
        <x:v>Проч резино-тех изд</x:v>
      </x:c>
      <x:c r="E38" s="16" t="str">
        <x:v>ШТ</x:v>
      </x:c>
      <x:c r="F38" s="21" t="n">
        <x:v>2</x:v>
      </x:c>
      <x:c r="G38" s="17" t="n">
        <x:v>108.946</x:v>
      </x:c>
      <x:c r="H38" s="17" t="n">
        <x:f>G38*F38</x:f>
        <x:v>217.892</x:v>
      </x:c>
      <x:c r="I38" s="22" t="str">
        <x:f>HYPERLINK("https://etp-aktiv.ru/catalog/materialy/rezino-tekhnicheskie-izdeliya/2000004667-V116/","Открыть позицию")</x:f>
        <x:v>Открыть позицию</x:v>
      </x:c>
    </x:row>
    <x:row r="39" ht="28" customHeight="1">
      <x:c r="A39" s="16" t="str">
        <x:v>Красноярская ГРЭС-2</x:v>
      </x:c>
      <x:c r="B39" s="16" t="str">
        <x:v>2000282863-V116</x:v>
      </x:c>
      <x:c r="C39" s="16" t="str">
        <x:v>МАНЖЕТА АРМИР 1-120*150-12 ГОСТ8752-79</x:v>
      </x:c>
      <x:c r="D39" s="16" t="str">
        <x:v>Проч резино-тех изд</x:v>
      </x:c>
      <x:c r="E39" s="16" t="str">
        <x:v>ШТ</x:v>
      </x:c>
      <x:c r="F39" s="21" t="n">
        <x:v>2</x:v>
      </x:c>
      <x:c r="G39" s="17" t="n">
        <x:v>26.7668</x:v>
      </x:c>
      <x:c r="H39" s="17" t="n">
        <x:f>G39*F39</x:f>
        <x:v>53.5336</x:v>
      </x:c>
      <x:c r="I39" s="22" t="str">
        <x:f>HYPERLINK("https://etp-aktiv.ru/catalog/materialy/rezino-tekhnicheskie-izdeliya/2000282863-V116/","Открыть позицию")</x:f>
        <x:v>Открыть позицию</x:v>
      </x:c>
    </x:row>
    <x:row r="40" ht="28" customHeight="1">
      <x:c r="A40" s="16" t="str">
        <x:v>Красноярская ГРЭС-2</x:v>
      </x:c>
      <x:c r="B40" s="16" t="str">
        <x:v>2000001508-V116</x:v>
      </x:c>
      <x:c r="C40" s="16" t="str">
        <x:v>МАНЖЕТА АРМИРОВАННАЯ 1.1-45*65-1</x:v>
      </x:c>
      <x:c r="D40" s="16" t="str">
        <x:v>Проч резино-тех изд</x:v>
      </x:c>
      <x:c r="E40" s="16" t="str">
        <x:v>ШТ</x:v>
      </x:c>
      <x:c r="F40" s="21" t="n">
        <x:v>5</x:v>
      </x:c>
      <x:c r="G40" s="17" t="n">
        <x:v>15.5184</x:v>
      </x:c>
      <x:c r="H40" s="17" t="n">
        <x:f>G40*F40</x:f>
        <x:v>77.592</x:v>
      </x:c>
      <x:c r="I40" s="22" t="str">
        <x:f>HYPERLINK("https://etp-aktiv.ru/catalog/materialy/rezino-tekhnicheskie-izdeliya/2000001508-V116/","Открыть позицию")</x:f>
        <x:v>Открыть позицию</x:v>
      </x:c>
    </x:row>
    <x:row r="41" ht="28" customHeight="1">
      <x:c r="A41" s="16" t="str">
        <x:v>Красноярская ГРЭС-2</x:v>
      </x:c>
      <x:c r="B41" s="16" t="str">
        <x:v>2000644832-V116</x:v>
      </x:c>
      <x:c r="C41" s="16" t="str">
        <x:v>МАТ БИМ-12 10000Х1200Х12 ТУ5952-006-13</x:v>
      </x:c>
      <x:c r="D41" s="16" t="str">
        <x:v>Теплоизоляция</x:v>
      </x:c>
      <x:c r="E41" s="16" t="str">
        <x:v>М3</x:v>
      </x:c>
      <x:c r="F41" s="21" t="n">
        <x:v>1</x:v>
      </x:c>
      <x:c r="G41" s="17" t="n">
        <x:v>22646.25</x:v>
      </x:c>
      <x:c r="H41" s="17" t="n">
        <x:f>G41*F41</x:f>
        <x:v>22646.25</x:v>
      </x:c>
      <x:c r="I41" s="22" t="str">
        <x:f>HYPERLINK("https://etp-aktiv.ru/catalog/materialy/teploizolyaciya/2000644832-V116/","Открыть позицию")</x:f>
        <x:v>Открыть позицию</x:v>
      </x:c>
    </x:row>
    <x:row r="42" ht="28" customHeight="1">
      <x:c r="A42" s="16" t="str">
        <x:v>Красноярская ГРЭС-2</x:v>
      </x:c>
      <x:c r="B42" s="16" t="str">
        <x:v>2000644834-V116</x:v>
      </x:c>
      <x:c r="C42" s="16" t="str">
        <x:v>МАТЕРИАЛ КЛИНГЕРСИЛ С-4430 2000Х1500Х2</x:v>
      </x:c>
      <x:c r="D42" s="16" t="str">
        <x:v>Асбо-технические изд</x:v>
      </x:c>
      <x:c r="E42" s="16" t="str">
        <x:v>ШТ</x:v>
      </x:c>
      <x:c r="F42" s="21" t="n">
        <x:v>1</x:v>
      </x:c>
      <x:c r="G42" s="17" t="n">
        <x:v>10991.467999999999</x:v>
      </x:c>
      <x:c r="H42" s="17" t="n">
        <x:f>G42*F42</x:f>
        <x:v>10991.467999999999</x:v>
      </x:c>
      <x:c r="I42" s="22" t="str">
        <x:f>HYPERLINK("https://etp-aktiv.ru/catalog/materialy/asbo-tekhnicheskie-izdeliya/2000644834-V116/","Открыть позицию")</x:f>
        <x:v>Открыть позицию</x:v>
      </x:c>
    </x:row>
    <x:row r="43" ht="28" customHeight="1">
      <x:c r="A43" s="16" t="str">
        <x:v>Красноярская ГРЭС-2</x:v>
      </x:c>
      <x:c r="B43" s="16" t="str">
        <x:v>2000645092-V116</x:v>
      </x:c>
      <x:c r="C43" s="16" t="str">
        <x:v>НАБИВКА 1-СЛ ОПЛ СЕРД АГИ 12*12 ГОСТ5152</x:v>
      </x:c>
      <x:c r="D43" s="16" t="str">
        <x:v>Асбо-технические изд</x:v>
      </x:c>
      <x:c r="E43" s="16" t="str">
        <x:v>КГ</x:v>
      </x:c>
      <x:c r="F43" s="26" t="n">
        <x:v>9.8</x:v>
      </x:c>
      <x:c r="G43" s="17" t="n">
        <x:v>220.5638</x:v>
      </x:c>
      <x:c r="H43" s="17" t="n">
        <x:f>G43*F43</x:f>
        <x:v>2161.52524</x:v>
      </x:c>
      <x:c r="I43" s="22" t="str">
        <x:f>HYPERLINK("https://etp-aktiv.ru/catalog/materialy/asbo-tekhnicheskie-izdeliya/2000645092-V116/","Открыть позицию")</x:f>
        <x:v>Открыть позицию</x:v>
      </x:c>
    </x:row>
    <x:row r="44" ht="28" customHeight="1">
      <x:c r="A44" s="16" t="str">
        <x:v>Красноярская ГРЭС-2</x:v>
      </x:c>
      <x:c r="B44" s="16" t="str">
        <x:v>2000645093-V116</x:v>
      </x:c>
      <x:c r="C44" s="16" t="str">
        <x:v>НАБИВКА 1-СЛ ОПЛ СЕРД АГИ 14*14 ГОСТ5152</x:v>
      </x:c>
      <x:c r="D44" s="16" t="str">
        <x:v>Асбо-технические изд</x:v>
      </x:c>
      <x:c r="E44" s="16" t="str">
        <x:v>КГ</x:v>
      </x:c>
      <x:c r="F44" s="26" t="n">
        <x:v>21.9</x:v>
      </x:c>
      <x:c r="G44" s="17" t="n">
        <x:v>237.107</x:v>
      </x:c>
      <x:c r="H44" s="17" t="n">
        <x:f>G44*F44</x:f>
        <x:v>5192.6433</x:v>
      </x:c>
      <x:c r="I44" s="22" t="str">
        <x:f>HYPERLINK("https://etp-aktiv.ru/catalog/materialy/asbo-tekhnicheskie-izdeliya/2000645093-V116/","Открыть позицию")</x:f>
        <x:v>Открыть позицию</x:v>
      </x:c>
    </x:row>
    <x:row r="45" ht="28" customHeight="1">
      <x:c r="A45" s="16" t="str">
        <x:v>Красноярская ГРЭС-2</x:v>
      </x:c>
      <x:c r="B45" s="16" t="str">
        <x:v>2000645095-V116</x:v>
      </x:c>
      <x:c r="C45" s="16" t="str">
        <x:v>НАБИВКА 1-СЛ ОПЛ СЕРД АС 12*12 ГОСТ5152</x:v>
      </x:c>
      <x:c r="D45" s="16" t="str">
        <x:v>Асбо-технические изд</x:v>
      </x:c>
      <x:c r="E45" s="16" t="str">
        <x:v>КГ</x:v>
      </x:c>
      <x:c r="F45" s="26" t="n">
        <x:v>25.8</x:v>
      </x:c>
      <x:c r="G45" s="17" t="n">
        <x:v>165.2368</x:v>
      </x:c>
      <x:c r="H45" s="17" t="n">
        <x:f>G45*F45</x:f>
        <x:v>4263.10944</x:v>
      </x:c>
      <x:c r="I45" s="22" t="str">
        <x:f>HYPERLINK("https://etp-aktiv.ru/catalog/materialy/asbo-tekhnicheskie-izdeliya/2000645095-V116/","Открыть позицию")</x:f>
        <x:v>Открыть позицию</x:v>
      </x:c>
    </x:row>
    <x:row r="46" ht="28" customHeight="1">
      <x:c r="A46" s="16" t="str">
        <x:v>Красноярская ГРЭС-2</x:v>
      </x:c>
      <x:c r="B46" s="16" t="str">
        <x:v>2000645094-V116</x:v>
      </x:c>
      <x:c r="C46" s="16" t="str">
        <x:v>НАБИВКА 1-СЛ ОПЛЕТ СЕРД АГИ 8*8 ГОСТ5152</x:v>
      </x:c>
      <x:c r="D46" s="16" t="str">
        <x:v>Асбо-технические изд</x:v>
      </x:c>
      <x:c r="E46" s="16" t="str">
        <x:v>КГ</x:v>
      </x:c>
      <x:c r="F46" s="21" t="n">
        <x:v>17</x:v>
      </x:c>
      <x:c r="G46" s="17" t="n">
        <x:v>227.9936</x:v>
      </x:c>
      <x:c r="H46" s="17" t="n">
        <x:f>G46*F46</x:f>
        <x:v>3875.8911999999996</x:v>
      </x:c>
      <x:c r="I46" s="22" t="str">
        <x:f>HYPERLINK("https://etp-aktiv.ru/catalog/materialy/asbo-tekhnicheskie-izdeliya/2000645094-V116/","Открыть позицию")</x:f>
        <x:v>Открыть позицию</x:v>
      </x:c>
    </x:row>
    <x:row r="47" ht="28" customHeight="1">
      <x:c r="A47" s="16" t="str">
        <x:v>Красноярская ГРЭС-2</x:v>
      </x:c>
      <x:c r="B47" s="16" t="str">
        <x:v>2000157558-V116</x:v>
      </x:c>
      <x:c r="C47" s="16" t="str">
        <x:v>НАБИВКА АГИ 14*14ММ</x:v>
      </x:c>
      <x:c r="D47" s="16" t="str">
        <x:v>Асбо-технические изд</x:v>
      </x:c>
      <x:c r="E47" s="16" t="str">
        <x:v>КГ</x:v>
      </x:c>
      <x:c r="F47" s="26" t="n">
        <x:v>19.405</x:v>
      </x:c>
      <x:c r="G47" s="17" t="n">
        <x:v>227.40800000000002</x:v>
      </x:c>
      <x:c r="H47" s="17" t="n">
        <x:f>G47*F47</x:f>
        <x:v>4412.85224</x:v>
      </x:c>
      <x:c r="I47" s="22" t="str">
        <x:f>HYPERLINK("https://etp-aktiv.ru/catalog/materialy/asbo-tekhnicheskie-izdeliya/2000157558-V116/","Открыть позицию")</x:f>
        <x:v>Открыть позицию</x:v>
      </x:c>
    </x:row>
    <x:row r="48" ht="28" customHeight="1">
      <x:c r="A48" s="16" t="str">
        <x:v>Красноярская ГРЭС-2</x:v>
      </x:c>
      <x:c r="B48" s="16" t="str">
        <x:v>2000140999-V116</x:v>
      </x:c>
      <x:c r="C48" s="16" t="str">
        <x:v>НАБИВКА АГИ 16ММ</x:v>
      </x:c>
      <x:c r="D48" s="16" t="str">
        <x:v>Асбо-технические изд</x:v>
      </x:c>
      <x:c r="E48" s="16" t="str">
        <x:v>КГ</x:v>
      </x:c>
      <x:c r="F48" s="21" t="n">
        <x:v>2</x:v>
      </x:c>
      <x:c r="G48" s="17" t="n">
        <x:v>612.4888</x:v>
      </x:c>
      <x:c r="H48" s="17" t="n">
        <x:f>G48*F48</x:f>
        <x:v>1224.9776</x:v>
      </x:c>
      <x:c r="I48" s="22" t="str">
        <x:f>HYPERLINK("https://etp-aktiv.ru/catalog/materialy/asbo-tekhnicheskie-izdeliya/2000140999-V116/","Открыть позицию")</x:f>
        <x:v>Открыть позицию</x:v>
      </x:c>
    </x:row>
    <x:row r="49" ht="28" customHeight="1">
      <x:c r="A49" s="16" t="str">
        <x:v>Красноярская ГРЭС-2</x:v>
      </x:c>
      <x:c r="B49" s="16" t="str">
        <x:v>2000165226-V116</x:v>
      </x:c>
      <x:c r="C49" s="16" t="str">
        <x:v>НАБИВКА АГИ 18*18ММ</x:v>
      </x:c>
      <x:c r="D49" s="16" t="str">
        <x:v>Асбо-технические изд</x:v>
      </x:c>
      <x:c r="E49" s="16" t="str">
        <x:v>КГ</x:v>
      </x:c>
      <x:c r="F49" s="21" t="n">
        <x:v>44</x:v>
      </x:c>
      <x:c r="G49" s="17" t="n">
        <x:v>230.2628</x:v>
      </x:c>
      <x:c r="H49" s="17" t="n">
        <x:f>G49*F49</x:f>
        <x:v>10131.5632</x:v>
      </x:c>
      <x:c r="I49" s="22" t="str">
        <x:f>HYPERLINK("https://etp-aktiv.ru/catalog/materialy/asbo-tekhnicheskie-izdeliya/2000165226-V116/","Открыть позицию")</x:f>
        <x:v>Открыть позицию</x:v>
      </x:c>
    </x:row>
    <x:row r="50" ht="28" customHeight="1">
      <x:c r="A50" s="16" t="str">
        <x:v>Красноярская ГРЭС-2</x:v>
      </x:c>
      <x:c r="B50" s="16" t="str">
        <x:v>2000604953-V116</x:v>
      </x:c>
      <x:c r="C50" s="16" t="str">
        <x:v>НАБИВКА АГИ 19*19 ГОСТ5152-84</x:v>
      </x:c>
      <x:c r="D50" s="16" t="str">
        <x:v>Асбо-технические изд</x:v>
      </x:c>
      <x:c r="E50" s="16" t="str">
        <x:v>КГ</x:v>
      </x:c>
      <x:c r="F50" s="21" t="n">
        <x:v>35</x:v>
      </x:c>
      <x:c r="G50" s="17" t="n">
        <x:v>122.9882</x:v>
      </x:c>
      <x:c r="H50" s="17" t="n">
        <x:f>G50*F50</x:f>
        <x:v>4304.587</x:v>
      </x:c>
      <x:c r="I50" s="22" t="str">
        <x:f>HYPERLINK("https://etp-aktiv.ru/catalog/materialy/asbo-tekhnicheskie-izdeliya/2000604953-V116/","Открыть позицию")</x:f>
        <x:v>Открыть позицию</x:v>
      </x:c>
    </x:row>
    <x:row r="51" ht="28" customHeight="1">
      <x:c r="A51" s="16" t="str">
        <x:v>Красноярская ГРЭС-2</x:v>
      </x:c>
      <x:c r="B51" s="16" t="str">
        <x:v>2000321433-V116</x:v>
      </x:c>
      <x:c r="C51" s="16" t="str">
        <x:v>НАБИВКА АГИ 4*4ММ</x:v>
      </x:c>
      <x:c r="D51" s="16" t="str">
        <x:v>Асбо-технические изд</x:v>
      </x:c>
      <x:c r="E51" s="16" t="str">
        <x:v>КГ</x:v>
      </x:c>
      <x:c r="F51" s="26" t="n">
        <x:v>46.483</x:v>
      </x:c>
      <x:c r="G51" s="17" t="n">
        <x:v>277.1352</x:v>
      </x:c>
      <x:c r="H51" s="17" t="n">
        <x:f>G51*F51</x:f>
        <x:v>12882.075501599998</x:v>
      </x:c>
      <x:c r="I51" s="22" t="str">
        <x:f>HYPERLINK("https://etp-aktiv.ru/catalog/materialy/asbo-tekhnicheskie-izdeliya/2000321433-V116/","Открыть позицию")</x:f>
        <x:v>Открыть позицию</x:v>
      </x:c>
    </x:row>
    <x:row r="52" ht="28" customHeight="1">
      <x:c r="A52" s="16" t="str">
        <x:v>Красноярская ГРЭС-2</x:v>
      </x:c>
      <x:c r="B52" s="16" t="str">
        <x:v>2000157605-V116</x:v>
      </x:c>
      <x:c r="C52" s="16" t="str">
        <x:v>НАБИВКА АГИ 8*8ММ</x:v>
      </x:c>
      <x:c r="D52" s="16" t="str">
        <x:v>Асбо-технические изд</x:v>
      </x:c>
      <x:c r="E52" s="16" t="str">
        <x:v>КГ</x:v>
      </x:c>
      <x:c r="F52" s="26" t="n">
        <x:v>40.126</x:v>
      </x:c>
      <x:c r="G52" s="17" t="n">
        <x:v>226.066</x:v>
      </x:c>
      <x:c r="H52" s="17" t="n">
        <x:f>G52*F52</x:f>
        <x:v>9071.124316</x:v>
      </x:c>
      <x:c r="I52" s="22" t="str">
        <x:f>HYPERLINK("https://etp-aktiv.ru/catalog/materialy/asbo-tekhnicheskie-izdeliya/2000157605-V116/","Открыть позицию")</x:f>
        <x:v>Открыть позицию</x:v>
      </x:c>
    </x:row>
    <x:row r="53" ht="28" customHeight="1">
      <x:c r="A53" s="16" t="str">
        <x:v>Красноярская ГРЭС-2</x:v>
      </x:c>
      <x:c r="B53" s="16" t="str">
        <x:v>2000031503-V116</x:v>
      </x:c>
      <x:c r="C53" s="16" t="str">
        <x:v>НАБИВКА АП-31 12ММ</x:v>
      </x:c>
      <x:c r="D53" s="16" t="str">
        <x:v>Асбо-технические изд</x:v>
      </x:c>
      <x:c r="E53" s="16" t="str">
        <x:v>КГ</x:v>
      </x:c>
      <x:c r="F53" s="26" t="n">
        <x:v>4.3</x:v>
      </x:c>
      <x:c r="G53" s="17" t="n">
        <x:v>199.348</x:v>
      </x:c>
      <x:c r="H53" s="17" t="n">
        <x:f>G53*F53</x:f>
        <x:v>857.1964</x:v>
      </x:c>
      <x:c r="I53" s="22" t="str">
        <x:f>HYPERLINK("https://etp-aktiv.ru/catalog/materialy/asbo-tekhnicheskie-izdeliya/2000031503-V116/","Открыть позицию")</x:f>
        <x:v>Открыть позицию</x:v>
      </x:c>
    </x:row>
    <x:row r="54" ht="28" customHeight="1">
      <x:c r="A54" s="16" t="str">
        <x:v>Красноярская ГРЭС-2</x:v>
      </x:c>
      <x:c r="B54" s="16" t="str">
        <x:v>2000157675-V116</x:v>
      </x:c>
      <x:c r="C54" s="16" t="str">
        <x:v>НАБИВКА АП-31 14*14ММ</x:v>
      </x:c>
      <x:c r="D54" s="16" t="str">
        <x:v>Асбо-технические изд</x:v>
      </x:c>
      <x:c r="E54" s="16" t="str">
        <x:v>КГ</x:v>
      </x:c>
      <x:c r="F54" s="26" t="n">
        <x:v>1.7</x:v>
      </x:c>
      <x:c r="G54" s="17" t="n">
        <x:v>253.333</x:v>
      </x:c>
      <x:c r="H54" s="17" t="n">
        <x:f>G54*F54</x:f>
        <x:v>430.6661</x:v>
      </x:c>
      <x:c r="I54" s="22" t="str">
        <x:f>HYPERLINK("https://etp-aktiv.ru/catalog/materialy/asbo-tekhnicheskie-izdeliya/2000157675-V116/","Открыть позицию")</x:f>
        <x:v>Открыть позицию</x:v>
      </x:c>
    </x:row>
    <x:row r="55" ht="28" customHeight="1">
      <x:c r="A55" s="16" t="str">
        <x:v>Красноярская ГРЭС-2</x:v>
      </x:c>
      <x:c r="B55" s="16" t="str">
        <x:v>2000031505-V116</x:v>
      </x:c>
      <x:c r="C55" s="16" t="str">
        <x:v>НАБИВКА АП-31 16ММ</x:v>
      </x:c>
      <x:c r="D55" s="16" t="str">
        <x:v>Асбо-технические изд</x:v>
      </x:c>
      <x:c r="E55" s="16" t="str">
        <x:v>КГ</x:v>
      </x:c>
      <x:c r="F55" s="26" t="n">
        <x:v>1.2</x:v>
      </x:c>
      <x:c r="G55" s="17" t="n">
        <x:v>282.94239999999996</x:v>
      </x:c>
      <x:c r="H55" s="17" t="n">
        <x:f>G55*F55</x:f>
        <x:v>339.53087999999997</x:v>
      </x:c>
      <x:c r="I55" s="22" t="str">
        <x:f>HYPERLINK("https://etp-aktiv.ru/catalog/materialy/asbo-tekhnicheskie-izdeliya/2000031505-V116/","Открыть позицию")</x:f>
        <x:v>Открыть позицию</x:v>
      </x:c>
    </x:row>
    <x:row r="56" ht="28" customHeight="1">
      <x:c r="A56" s="16" t="str">
        <x:v>Красноярская ГРЭС-2</x:v>
      </x:c>
      <x:c r="B56" s="16" t="str">
        <x:v>2000157678-V116</x:v>
      </x:c>
      <x:c r="C56" s="16" t="str">
        <x:v>НАБИВКА АП-31 18*18ММ</x:v>
      </x:c>
      <x:c r="D56" s="16" t="str">
        <x:v>Асбо-технические изд</x:v>
      </x:c>
      <x:c r="E56" s="16" t="str">
        <x:v>КГ</x:v>
      </x:c>
      <x:c r="F56" s="30" t="n">
        <x:v>0.3</x:v>
      </x:c>
      <x:c r="G56" s="17" t="n">
        <x:v>208.2052</x:v>
      </x:c>
      <x:c r="H56" s="17" t="n">
        <x:f>G56*F56</x:f>
        <x:v>62.46155999999999</x:v>
      </x:c>
      <x:c r="I56" s="22" t="str">
        <x:f>HYPERLINK("https://etp-aktiv.ru/catalog/materialy/asbo-tekhnicheskie-izdeliya/2000157678-V116/","Открыть позицию")</x:f>
        <x:v>Открыть позицию</x:v>
      </x:c>
    </x:row>
    <x:row r="57" ht="28" customHeight="1">
      <x:c r="A57" s="16" t="str">
        <x:v>Красноярская ГРЭС-2</x:v>
      </x:c>
      <x:c r="B57" s="16" t="str">
        <x:v>2000645106-V116</x:v>
      </x:c>
      <x:c r="C57" s="16" t="str">
        <x:v>НАБИВКА АП-31 8*8 СКВОЗ ПЛЕТЕН ГОСТ5152</x:v>
      </x:c>
      <x:c r="D57" s="16" t="str">
        <x:v>Асбо-технические изд</x:v>
      </x:c>
      <x:c r="E57" s="16" t="str">
        <x:v>КГ</x:v>
      </x:c>
      <x:c r="F57" s="26" t="n">
        <x:v>37.5</x:v>
      </x:c>
      <x:c r="G57" s="17" t="n">
        <x:v>124.1716</x:v>
      </x:c>
      <x:c r="H57" s="17" t="n">
        <x:f>G57*F57</x:f>
        <x:v>4656.4349999999995</x:v>
      </x:c>
      <x:c r="I57" s="22" t="str">
        <x:f>HYPERLINK("https://etp-aktiv.ru/catalog/materialy/asbo-tekhnicheskie-izdeliya/2000645106-V116/","Открыть позицию")</x:f>
        <x:v>Открыть позицию</x:v>
      </x:c>
    </x:row>
    <x:row r="58" ht="28" customHeight="1">
      <x:c r="A58" s="16" t="str">
        <x:v>Красноярская ГРЭС-2</x:v>
      </x:c>
      <x:c r="B58" s="16" t="str">
        <x:v>2000031502-V116</x:v>
      </x:c>
      <x:c r="C58" s="16" t="str">
        <x:v>НАБИВКА АП-31 8ММ</x:v>
      </x:c>
      <x:c r="D58" s="16" t="str">
        <x:v>Асбо-технические изд</x:v>
      </x:c>
      <x:c r="E58" s="16" t="str">
        <x:v>КГ</x:v>
      </x:c>
      <x:c r="F58" s="26" t="n">
        <x:v>8.1</x:v>
      </x:c>
      <x:c r="G58" s="17" t="n">
        <x:v>292.861</x:v>
      </x:c>
      <x:c r="H58" s="17" t="n">
        <x:f>G58*F58</x:f>
        <x:v>2372.1740999999997</x:v>
      </x:c>
      <x:c r="I58" s="22" t="str">
        <x:f>HYPERLINK("https://etp-aktiv.ru/catalog/materialy/asbo-tekhnicheskie-izdeliya/2000031502-V116/","Открыть позицию")</x:f>
        <x:v>Открыть позицию</x:v>
      </x:c>
    </x:row>
    <x:row r="59" ht="28" customHeight="1">
      <x:c r="A59" s="16" t="str">
        <x:v>Красноярская ГРЭС-2</x:v>
      </x:c>
      <x:c r="B59" s="16" t="str">
        <x:v>2000185474-V116</x:v>
      </x:c>
      <x:c r="C59" s="16" t="str">
        <x:v>НАБИВКА АПР-31 22*22</x:v>
      </x:c>
      <x:c r="D59" s="16" t="str">
        <x:v>Асбо-технические изд</x:v>
      </x:c>
      <x:c r="E59" s="16" t="str">
        <x:v>КГ</x:v>
      </x:c>
      <x:c r="F59" s="26" t="n">
        <x:v>113.3</x:v>
      </x:c>
      <x:c r="G59" s="17" t="n">
        <x:v>199.47</x:v>
      </x:c>
      <x:c r="H59" s="17" t="n">
        <x:f>G59*F59</x:f>
        <x:v>22599.951</x:v>
      </x:c>
      <x:c r="I59" s="22" t="str">
        <x:f>HYPERLINK("https://etp-aktiv.ru/catalog/materialy/asbo-tekhnicheskie-izdeliya/2000185474-V116/","Открыть позицию")</x:f>
        <x:v>Открыть позицию</x:v>
      </x:c>
    </x:row>
    <x:row r="60" ht="28" customHeight="1">
      <x:c r="A60" s="16" t="str">
        <x:v>Красноярская ГРЭС-2</x:v>
      </x:c>
      <x:c r="B60" s="16" t="str">
        <x:v>2000165095-V116</x:v>
      </x:c>
      <x:c r="C60" s="16" t="str">
        <x:v>НАБИВКА АПР-31 6*6ММ</x:v>
      </x:c>
      <x:c r="D60" s="16" t="str">
        <x:v>Асбо-технические изд</x:v>
      </x:c>
      <x:c r="E60" s="16" t="str">
        <x:v>КГ</x:v>
      </x:c>
      <x:c r="F60" s="21" t="n">
        <x:v>17</x:v>
      </x:c>
      <x:c r="G60" s="17" t="n">
        <x:v>203.59359999999998</x:v>
      </x:c>
      <x:c r="H60" s="17" t="n">
        <x:f>G60*F60</x:f>
        <x:v>3461.0912</x:v>
      </x:c>
      <x:c r="I60" s="22" t="str">
        <x:f>HYPERLINK("https://etp-aktiv.ru/catalog/materialy/asbo-tekhnicheskie-izdeliya/2000165095-V116/","Открыть позицию")</x:f>
        <x:v>Открыть позицию</x:v>
      </x:c>
    </x:row>
    <x:row r="61" ht="28" customHeight="1">
      <x:c r="A61" s="16" t="str">
        <x:v>Красноярская ГРЭС-2</x:v>
      </x:c>
      <x:c r="B61" s="16" t="str">
        <x:v>2000165148-V116</x:v>
      </x:c>
      <x:c r="C61" s="16" t="str">
        <x:v>НАБИВКА АПР-31 8*8ММ</x:v>
      </x:c>
      <x:c r="D61" s="16" t="str">
        <x:v>Асбо-технические изд</x:v>
      </x:c>
      <x:c r="E61" s="16" t="str">
        <x:v>КГ</x:v>
      </x:c>
      <x:c r="F61" s="26" t="n">
        <x:v>27.05</x:v>
      </x:c>
      <x:c r="G61" s="17" t="n">
        <x:v>208.64440000000002</x:v>
      </x:c>
      <x:c r="H61" s="17" t="n">
        <x:f>G61*F61</x:f>
        <x:v>5643.8310200000005</x:v>
      </x:c>
      <x:c r="I61" s="22" t="str">
        <x:f>HYPERLINK("https://etp-aktiv.ru/catalog/materialy/asbo-tekhnicheskie-izdeliya/2000165148-V116/","Открыть позицию")</x:f>
        <x:v>Открыть позицию</x:v>
      </x:c>
    </x:row>
    <x:row r="62" ht="28" customHeight="1">
      <x:c r="A62" s="16" t="str">
        <x:v>Красноярская ГРЭС-2</x:v>
      </x:c>
      <x:c r="B62" s="16" t="str">
        <x:v>2000165250-V116</x:v>
      </x:c>
      <x:c r="C62" s="16" t="str">
        <x:v>НАБИВКА АС 16*16ММ</x:v>
      </x:c>
      <x:c r="D62" s="16" t="str">
        <x:v>Асбо-технические изд</x:v>
      </x:c>
      <x:c r="E62" s="16" t="str">
        <x:v>КГ</x:v>
      </x:c>
      <x:c r="F62" s="26" t="n">
        <x:v>63.4</x:v>
      </x:c>
      <x:c r="G62" s="17" t="n">
        <x:v>121.06060000000001</x:v>
      </x:c>
      <x:c r="H62" s="17" t="n">
        <x:f>G62*F62</x:f>
        <x:v>7675.24204</x:v>
      </x:c>
      <x:c r="I62" s="22" t="str">
        <x:f>HYPERLINK("https://etp-aktiv.ru/catalog/materialy/asbo-tekhnicheskie-izdeliya/2000165250-V116/","Открыть позицию")</x:f>
        <x:v>Открыть позицию</x:v>
      </x:c>
    </x:row>
    <x:row r="63" ht="28" customHeight="1">
      <x:c r="A63" s="16" t="str">
        <x:v>Красноярская ГРЭС-2</x:v>
      </x:c>
      <x:c r="B63" s="16" t="str">
        <x:v>2000165516-V116</x:v>
      </x:c>
      <x:c r="C63" s="16" t="str">
        <x:v>НАБИВКА АС 20*20ММ ОДНОСЛОЙ ПЛЕТЕНИЕ</x:v>
      </x:c>
      <x:c r="D63" s="16" t="str">
        <x:v>Асбо-технические изд</x:v>
      </x:c>
      <x:c r="E63" s="16" t="str">
        <x:v>КГ</x:v>
      </x:c>
      <x:c r="F63" s="26" t="n">
        <x:v>8.3</x:v>
      </x:c>
      <x:c r="G63" s="17" t="n">
        <x:v>112.179</x:v>
      </x:c>
      <x:c r="H63" s="17" t="n">
        <x:f>G63*F63</x:f>
        <x:v>931.0857000000001</x:v>
      </x:c>
      <x:c r="I63" s="22" t="str">
        <x:f>HYPERLINK("https://etp-aktiv.ru/catalog/materialy/asbo-tekhnicheskie-izdeliya/2000165516-V116/","Открыть позицию")</x:f>
        <x:v>Открыть позицию</x:v>
      </x:c>
    </x:row>
    <x:row r="64" ht="28" customHeight="1">
      <x:c r="A64" s="16" t="str">
        <x:v>Красноярская ГРЭС-2</x:v>
      </x:c>
      <x:c r="B64" s="16" t="str">
        <x:v>2000165149-V116</x:v>
      </x:c>
      <x:c r="C64" s="16" t="str">
        <x:v>НАБИВКА АФТ 10*10ММ</x:v>
      </x:c>
      <x:c r="D64" s="16" t="str">
        <x:v>Асбо-технические изд</x:v>
      </x:c>
      <x:c r="E64" s="16" t="str">
        <x:v>КГ</x:v>
      </x:c>
      <x:c r="F64" s="26" t="n">
        <x:v>16.7</x:v>
      </x:c>
      <x:c r="G64" s="17" t="n">
        <x:v>772.1379999999999</x:v>
      </x:c>
      <x:c r="H64" s="17" t="n">
        <x:f>G64*F64</x:f>
        <x:v>12894.704599999997</x:v>
      </x:c>
      <x:c r="I64" s="22" t="str">
        <x:f>HYPERLINK("https://etp-aktiv.ru/catalog/materialy/asbo-tekhnicheskie-izdeliya/2000165149-V116/","Открыть позицию")</x:f>
        <x:v>Открыть позицию</x:v>
      </x:c>
    </x:row>
    <x:row r="65" ht="28" customHeight="1">
      <x:c r="A65" s="16" t="str">
        <x:v>Красноярская ГРЭС-2</x:v>
      </x:c>
      <x:c r="B65" s="16" t="str">
        <x:v>2000141024-V116</x:v>
      </x:c>
      <x:c r="C65" s="16" t="str">
        <x:v>НАБИВКА АФТ 10ММ</x:v>
      </x:c>
      <x:c r="D65" s="16" t="str">
        <x:v>Асбо-технические изд</x:v>
      </x:c>
      <x:c r="E65" s="16" t="str">
        <x:v>КГ</x:v>
      </x:c>
      <x:c r="F65" s="26" t="n">
        <x:v>21.5</x:v>
      </x:c>
      <x:c r="G65" s="17" t="n">
        <x:v>608.6946</x:v>
      </x:c>
      <x:c r="H65" s="17" t="n">
        <x:f>G65*F65</x:f>
        <x:v>13086.9339</x:v>
      </x:c>
      <x:c r="I65" s="22" t="str">
        <x:f>HYPERLINK("https://etp-aktiv.ru/catalog/materialy/asbo-tekhnicheskie-izdeliya/2000141024-V116/","Открыть позицию")</x:f>
        <x:v>Открыть позицию</x:v>
      </x:c>
    </x:row>
    <x:row r="66" ht="28" customHeight="1">
      <x:c r="A66" s="16" t="str">
        <x:v>Красноярская ГРЭС-2</x:v>
      </x:c>
      <x:c r="B66" s="16" t="str">
        <x:v>2000141026-V116</x:v>
      </x:c>
      <x:c r="C66" s="16" t="str">
        <x:v>НАБИВКА АФТ 14ММ</x:v>
      </x:c>
      <x:c r="D66" s="16" t="str">
        <x:v>Асбо-технические изд</x:v>
      </x:c>
      <x:c r="E66" s="16" t="str">
        <x:v>КГ</x:v>
      </x:c>
      <x:c r="F66" s="26" t="n">
        <x:v>8.7</x:v>
      </x:c>
      <x:c r="G66" s="17" t="n">
        <x:v>550.3786</x:v>
      </x:c>
      <x:c r="H66" s="17" t="n">
        <x:f>G66*F66</x:f>
        <x:v>4788.29382</x:v>
      </x:c>
      <x:c r="I66" s="22" t="str">
        <x:f>HYPERLINK("https://etp-aktiv.ru/catalog/materialy/asbo-tekhnicheskie-izdeliya/2000141026-V116/","Открыть позицию")</x:f>
        <x:v>Открыть позицию</x:v>
      </x:c>
    </x:row>
    <x:row r="67" ht="28" customHeight="1">
      <x:c r="A67" s="16" t="str">
        <x:v>Красноярская ГРЭС-2</x:v>
      </x:c>
      <x:c r="B67" s="16" t="str">
        <x:v>2000640639-V116</x:v>
      </x:c>
      <x:c r="C67" s="16" t="str">
        <x:v>НАБИВКА ГРАФЛАН СН-ПЛ-001 13*13 ТУ2573</x:v>
      </x:c>
      <x:c r="D67" s="16" t="str">
        <x:v>Асбо-технические изд</x:v>
      </x:c>
      <x:c r="E67" s="16" t="str">
        <x:v>М</x:v>
      </x:c>
      <x:c r="F67" s="21" t="n">
        <x:v>5</x:v>
      </x:c>
      <x:c r="G67" s="17" t="n">
        <x:v>1320.8574</x:v>
      </x:c>
      <x:c r="H67" s="17" t="n">
        <x:f>G67*F67</x:f>
        <x:v>6604.287</x:v>
      </x:c>
      <x:c r="I67" s="22" t="str">
        <x:f>HYPERLINK("https://etp-aktiv.ru/catalog/materialy/asbo-tekhnicheskie-izdeliya/2000640639-V116/","Открыть позицию")</x:f>
        <x:v>Открыть позицию</x:v>
      </x:c>
    </x:row>
    <x:row r="68" ht="28" customHeight="1">
      <x:c r="A68" s="16" t="str">
        <x:v>Красноярская ГРЭС-2</x:v>
      </x:c>
      <x:c r="B68" s="16" t="str">
        <x:v>2000645060-V116</x:v>
      </x:c>
      <x:c r="C68" s="16" t="str">
        <x:v>НАБИВКА ГРАФЛАН СН-ПЛ-001-12Х12 ТУ2573</x:v>
      </x:c>
      <x:c r="D68" s="16" t="str">
        <x:v>Асбо-технические изд</x:v>
      </x:c>
      <x:c r="E68" s="16" t="str">
        <x:v>М</x:v>
      </x:c>
      <x:c r="F68" s="26" t="n">
        <x:v>3.4</x:v>
      </x:c>
      <x:c r="G68" s="17" t="n">
        <x:v>684.4078</x:v>
      </x:c>
      <x:c r="H68" s="17" t="n">
        <x:f>G68*F68</x:f>
        <x:v>2326.98652</x:v>
      </x:c>
      <x:c r="I68" s="22" t="str">
        <x:f>HYPERLINK("https://etp-aktiv.ru/catalog/materialy/asbo-tekhnicheskie-izdeliya/2000645060-V116/","Открыть позицию")</x:f>
        <x:v>Открыть позицию</x:v>
      </x:c>
    </x:row>
    <x:row r="69" ht="28" customHeight="1">
      <x:c r="A69" s="16" t="str">
        <x:v>Красноярская ГРЭС-2</x:v>
      </x:c>
      <x:c r="B69" s="16" t="str">
        <x:v>2000031543-V116</x:v>
      </x:c>
      <x:c r="C69" s="16" t="str">
        <x:v>НАБИВКА ЛП 10ММ</x:v>
      </x:c>
      <x:c r="D69" s="16" t="str">
        <x:v>Асбо-технические изд</x:v>
      </x:c>
      <x:c r="E69" s="16" t="str">
        <x:v>КГ</x:v>
      </x:c>
      <x:c r="F69" s="21" t="n">
        <x:v>4</x:v>
      </x:c>
      <x:c r="G69" s="17" t="n">
        <x:v>107.04279999999999</x:v>
      </x:c>
      <x:c r="H69" s="17" t="n">
        <x:f>G69*F69</x:f>
        <x:v>428.17119999999994</x:v>
      </x:c>
      <x:c r="I69" s="22" t="str">
        <x:f>HYPERLINK("https://etp-aktiv.ru/catalog/materialy/asbo-tekhnicheskie-izdeliya/2000031543-V116/","Открыть позицию")</x:f>
        <x:v>Открыть позицию</x:v>
      </x:c>
    </x:row>
    <x:row r="70" ht="28" customHeight="1">
      <x:c r="A70" s="16" t="str">
        <x:v>Красноярская ГРЭС-2</x:v>
      </x:c>
      <x:c r="B70" s="16" t="str">
        <x:v>2000157670-V116</x:v>
      </x:c>
      <x:c r="C70" s="16" t="str">
        <x:v>НАБИВКА ЛП-31 10*10ММ</x:v>
      </x:c>
      <x:c r="D70" s="16" t="str">
        <x:v>Асбо-технические изд</x:v>
      </x:c>
      <x:c r="E70" s="16" t="str">
        <x:v>КГ</x:v>
      </x:c>
      <x:c r="F70" s="26" t="n">
        <x:v>40.5</x:v>
      </x:c>
      <x:c r="G70" s="17" t="n">
        <x:v>133.1386</x:v>
      </x:c>
      <x:c r="H70" s="17" t="n">
        <x:f>G70*F70</x:f>
        <x:v>5392.1133</x:v>
      </x:c>
      <x:c r="I70" s="22" t="str">
        <x:f>HYPERLINK("https://etp-aktiv.ru/catalog/materialy/asbo-tekhnicheskie-izdeliya/2000157670-V116/","Открыть позицию")</x:f>
        <x:v>Открыть позицию</x:v>
      </x:c>
    </x:row>
    <x:row r="71" ht="28" customHeight="1">
      <x:c r="A71" s="16" t="str">
        <x:v>Красноярская ГРЭС-2</x:v>
      </x:c>
      <x:c r="B71" s="16" t="str">
        <x:v>2000157672-V116</x:v>
      </x:c>
      <x:c r="C71" s="16" t="str">
        <x:v>НАБИВКА ЛП-31 12*12ММ</x:v>
      </x:c>
      <x:c r="D71" s="16" t="str">
        <x:v>Асбо-технические изд</x:v>
      </x:c>
      <x:c r="E71" s="16" t="str">
        <x:v>КГ</x:v>
      </x:c>
      <x:c r="F71" s="26" t="n">
        <x:v>85.4</x:v>
      </x:c>
      <x:c r="G71" s="17" t="n">
        <x:v>112.9476</x:v>
      </x:c>
      <x:c r="H71" s="17" t="n">
        <x:f>G71*F71</x:f>
        <x:v>9645.72504</x:v>
      </x:c>
      <x:c r="I71" s="22" t="str">
        <x:f>HYPERLINK("https://etp-aktiv.ru/catalog/materialy/asbo-tekhnicheskie-izdeliya/2000157672-V116/","Открыть позицию")</x:f>
        <x:v>Открыть позицию</x:v>
      </x:c>
    </x:row>
    <x:row r="72" ht="28" customHeight="1">
      <x:c r="A72" s="16" t="str">
        <x:v>Красноярская ГРЭС-2</x:v>
      </x:c>
      <x:c r="B72" s="16" t="str">
        <x:v>2000645068-V116</x:v>
      </x:c>
      <x:c r="C72" s="16" t="str">
        <x:v>НАБИВКА МНОГОСЛ ПЛЕТ АПР 13*13 ГОСТ5152</x:v>
      </x:c>
      <x:c r="D72" s="16" t="str">
        <x:v>Асбо-технические изд</x:v>
      </x:c>
      <x:c r="E72" s="16" t="str">
        <x:v>КГ</x:v>
      </x:c>
      <x:c r="F72" s="21" t="n">
        <x:v>8</x:v>
      </x:c>
      <x:c r="G72" s="17" t="n">
        <x:v>225.7366</x:v>
      </x:c>
      <x:c r="H72" s="17" t="n">
        <x:f>G72*F72</x:f>
        <x:v>1805.8928</x:v>
      </x:c>
      <x:c r="I72" s="22" t="str">
        <x:f>HYPERLINK("https://etp-aktiv.ru/catalog/materialy/asbo-tekhnicheskie-izdeliya/2000645068-V116/","Открыть позицию")</x:f>
        <x:v>Открыть позицию</x:v>
      </x:c>
    </x:row>
    <x:row r="73" ht="28" customHeight="1">
      <x:c r="A73" s="16" t="str">
        <x:v>Красноярская ГРЭС-2</x:v>
      </x:c>
      <x:c r="B73" s="16" t="str">
        <x:v>2000539173-V116</x:v>
      </x:c>
      <x:c r="C73" s="16" t="str">
        <x:v>НАБИВКА МНОГОСЛОЙНОЕ АП-31 22*22</x:v>
      </x:c>
      <x:c r="D73" s="16" t="str">
        <x:v>Асбо-технические изд</x:v>
      </x:c>
      <x:c r="E73" s="16" t="str">
        <x:v>КГ</x:v>
      </x:c>
      <x:c r="F73" s="26" t="n">
        <x:v>15.7</x:v>
      </x:c>
      <x:c r="G73" s="17" t="n">
        <x:v>251.0516</x:v>
      </x:c>
      <x:c r="H73" s="17" t="n">
        <x:f>G73*F73</x:f>
        <x:v>3941.51012</x:v>
      </x:c>
      <x:c r="I73" s="22" t="str">
        <x:f>HYPERLINK("https://etp-aktiv.ru/catalog/materialy/asbo-tekhnicheskie-izdeliya/2000539173-V116/","Открыть позицию")</x:f>
        <x:v>Открыть позицию</x:v>
      </x:c>
    </x:row>
    <x:row r="74" ht="28" customHeight="1">
      <x:c r="A74" s="16" t="str">
        <x:v>Красноярская ГРЭС-2</x:v>
      </x:c>
      <x:c r="B74" s="16" t="str">
        <x:v>2000844372-V116</x:v>
      </x:c>
      <x:c r="C74" s="16" t="str">
        <x:v>НАБИВКА МНОГОСЛОЙНОЕ ПЛЕТЕНИЕ АС 19*19ММ</x:v>
      </x:c>
      <x:c r="D74" s="16" t="str">
        <x:v>Асбо-технические изд</x:v>
      </x:c>
      <x:c r="E74" s="16" t="str">
        <x:v>КГ</x:v>
      </x:c>
      <x:c r="F74" s="26" t="n">
        <x:v>59.5</x:v>
      </x:c>
      <x:c r="G74" s="17" t="n">
        <x:v>125.8552</x:v>
      </x:c>
      <x:c r="H74" s="17" t="n">
        <x:f>G74*F74</x:f>
        <x:v>7488.3844</x:v>
      </x:c>
      <x:c r="I74" s="22" t="str">
        <x:f>HYPERLINK("https://etp-aktiv.ru/catalog/materialy/asbo-tekhnicheskie-izdeliya/2000844372-V116/","Открыть позицию")</x:f>
        <x:v>Открыть позицию</x:v>
      </x:c>
    </x:row>
    <x:row r="75" ht="28" customHeight="1">
      <x:c r="A75" s="16" t="str">
        <x:v>Красноярская ГРЭС-2</x:v>
      </x:c>
      <x:c r="B75" s="16" t="str">
        <x:v>2000633352-V116</x:v>
      </x:c>
      <x:c r="C75" s="16" t="str">
        <x:v>НАБИВКА МНОГОСЛОЙНОЕ ПЛЕТЕНИЕ АС 22*22</x:v>
      </x:c>
      <x:c r="D75" s="16" t="str">
        <x:v>Асбо-технические изд</x:v>
      </x:c>
      <x:c r="E75" s="16" t="str">
        <x:v>КГ</x:v>
      </x:c>
      <x:c r="F75" s="26" t="n">
        <x:v>215.4</x:v>
      </x:c>
      <x:c r="G75" s="17" t="n">
        <x:v>154.208</x:v>
      </x:c>
      <x:c r="H75" s="17" t="n">
        <x:f>G75*F75</x:f>
        <x:v>33216.4032</x:v>
      </x:c>
      <x:c r="I75" s="22" t="str">
        <x:f>HYPERLINK("https://etp-aktiv.ru/catalog/materialy/asbo-tekhnicheskie-izdeliya/2000633352-V116/","Открыть позицию")</x:f>
        <x:v>Открыть позицию</x:v>
      </x:c>
    </x:row>
    <x:row r="76" ht="28" customHeight="1">
      <x:c r="A76" s="16" t="str">
        <x:v>Красноярская ГРЭС-2</x:v>
      </x:c>
      <x:c r="B76" s="16" t="str">
        <x:v>2000539254-V116</x:v>
      </x:c>
      <x:c r="C76" s="16" t="str">
        <x:v>НАБИВКА МНОГОСЛОЙНОЕ ПЛЕТЕНИЕ АФТ 18*18</x:v>
      </x:c>
      <x:c r="D76" s="16" t="str">
        <x:v>Асбо-технические изд</x:v>
      </x:c>
      <x:c r="E76" s="16" t="str">
        <x:v>КГ</x:v>
      </x:c>
      <x:c r="F76" s="26" t="n">
        <x:v>9.1</x:v>
      </x:c>
      <x:c r="G76" s="17" t="n">
        <x:v>481.3144</x:v>
      </x:c>
      <x:c r="H76" s="17" t="n">
        <x:f>G76*F76</x:f>
        <x:v>4379.961039999999</x:v>
      </x:c>
      <x:c r="I76" s="22" t="str">
        <x:f>HYPERLINK("https://etp-aktiv.ru/catalog/materialy/asbo-tekhnicheskie-izdeliya/2000539254-V116/","Открыть позицию")</x:f>
        <x:v>Открыть позицию</x:v>
      </x:c>
    </x:row>
    <x:row r="77" ht="28" customHeight="1">
      <x:c r="A77" s="16" t="str">
        <x:v>Красноярская ГРЭС-2</x:v>
      </x:c>
      <x:c r="B77" s="16" t="str">
        <x:v>2000280986-V116</x:v>
      </x:c>
      <x:c r="C77" s="16" t="str">
        <x:v>НАБИВКА МС-101 10*10ММ</x:v>
      </x:c>
      <x:c r="D77" s="16" t="str">
        <x:v>Асбо-технические изд</x:v>
      </x:c>
      <x:c r="E77" s="16" t="str">
        <x:v>КГ</x:v>
      </x:c>
      <x:c r="F77" s="21" t="n">
        <x:v>5</x:v>
      </x:c>
      <x:c r="G77" s="17" t="n">
        <x:v>920.1118</x:v>
      </x:c>
      <x:c r="H77" s="17" t="n">
        <x:f>G77*F77</x:f>
        <x:v>4600.559</x:v>
      </x:c>
      <x:c r="I77" s="22" t="str">
        <x:f>HYPERLINK("https://etp-aktiv.ru/catalog/materialy/asbo-tekhnicheskie-izdeliya/2000280986-V116/","Открыть позицию")</x:f>
        <x:v>Открыть позицию</x:v>
      </x:c>
    </x:row>
    <x:row r="78" ht="28" customHeight="1">
      <x:c r="A78" s="16" t="str">
        <x:v>Красноярская ГРЭС-2</x:v>
      </x:c>
      <x:c r="B78" s="16" t="str">
        <x:v>2000645076-V116</x:v>
      </x:c>
      <x:c r="C78" s="16" t="str">
        <x:v>НАБИВКА НГ-100 12*12 ТУ2573-002-93978201</x:v>
      </x:c>
      <x:c r="D78" s="16" t="str">
        <x:v>Асбо-технические изд</x:v>
      </x:c>
      <x:c r="E78" s="16" t="str">
        <x:v>КГ</x:v>
      </x:c>
      <x:c r="F78" s="26" t="n">
        <x:v>47.04</x:v>
      </x:c>
      <x:c r="G78" s="17" t="n">
        <x:v>510.1674</x:v>
      </x:c>
      <x:c r="H78" s="17" t="n">
        <x:f>G78*F78</x:f>
        <x:v>23998.274495999998</x:v>
      </x:c>
      <x:c r="I78" s="22" t="str">
        <x:f>HYPERLINK("https://etp-aktiv.ru/catalog/materialy/asbo-tekhnicheskie-izdeliya/2000645076-V116/","Открыть позицию")</x:f>
        <x:v>Открыть позицию</x:v>
      </x:c>
    </x:row>
    <x:row r="79" ht="28" customHeight="1">
      <x:c r="A79" s="16" t="str">
        <x:v>Красноярская ГРЭС-2</x:v>
      </x:c>
      <x:c r="B79" s="16" t="str">
        <x:v>2000539244-V116</x:v>
      </x:c>
      <x:c r="C79" s="16" t="str">
        <x:v>НАБИВКА НГ-200 (МС131) 12,7*12,7</x:v>
      </x:c>
      <x:c r="D79" s="16" t="str">
        <x:v>Асбо-технические изд</x:v>
      </x:c>
      <x:c r="E79" s="16" t="str">
        <x:v>КГ</x:v>
      </x:c>
      <x:c r="F79" s="21" t="n">
        <x:v>50</x:v>
      </x:c>
      <x:c r="G79" s="17" t="n">
        <x:v>480.375</x:v>
      </x:c>
      <x:c r="H79" s="17" t="n">
        <x:f>G79*F79</x:f>
        <x:v>24018.75</x:v>
      </x:c>
      <x:c r="I79" s="22" t="str">
        <x:f>HYPERLINK("https://etp-aktiv.ru/catalog/materialy/asbo-tekhnicheskie-izdeliya/2000539244-V116/","Открыть позицию")</x:f>
        <x:v>Открыть позицию</x:v>
      </x:c>
    </x:row>
    <x:row r="80" ht="28" customHeight="1">
      <x:c r="A80" s="16" t="str">
        <x:v>Красноярская ГРЭС-2</x:v>
      </x:c>
      <x:c r="B80" s="16" t="str">
        <x:v>2000171026-V116</x:v>
      </x:c>
      <x:c r="C80" s="16" t="str">
        <x:v>НАБИВКА НГ-200 20*20</x:v>
      </x:c>
      <x:c r="D80" s="16" t="str">
        <x:v>Проч резино-тех изд</x:v>
      </x:c>
      <x:c r="E80" s="16" t="str">
        <x:v>КГ</x:v>
      </x:c>
      <x:c r="F80" s="26" t="n">
        <x:v>8.335</x:v>
      </x:c>
      <x:c r="G80" s="17" t="n">
        <x:v>1104.1976</x:v>
      </x:c>
      <x:c r="H80" s="17" t="n">
        <x:f>G80*F80</x:f>
        <x:v>9203.486996000001</x:v>
      </x:c>
      <x:c r="I80" s="22" t="str">
        <x:f>HYPERLINK("https://etp-aktiv.ru/catalog/materialy/rezino-tekhnicheskie-izdeliya/2000171026-V116/","Открыть позицию")</x:f>
        <x:v>Открыть позицию</x:v>
      </x:c>
    </x:row>
    <x:row r="81" ht="28" customHeight="1">
      <x:c r="A81" s="16" t="str">
        <x:v>Красноярская ГРЭС-2</x:v>
      </x:c>
      <x:c r="B81" s="16" t="str">
        <x:v>2000539208-V116</x:v>
      </x:c>
      <x:c r="C81" s="16" t="str">
        <x:v>НАБИВКА ОДНОСЛОЙНОЕ ПЛЕТЕНИЕ АФТ 13*13</x:v>
      </x:c>
      <x:c r="D81" s="16" t="str">
        <x:v>Асбо-технические изд</x:v>
      </x:c>
      <x:c r="E81" s="16" t="str">
        <x:v>КГ</x:v>
      </x:c>
      <x:c r="F81" s="26" t="n">
        <x:v>52.86</x:v>
      </x:c>
      <x:c r="G81" s="17" t="n">
        <x:v>357.5332</x:v>
      </x:c>
      <x:c r="H81" s="17" t="n">
        <x:f>G81*F81</x:f>
        <x:v>18899.204952</x:v>
      </x:c>
      <x:c r="I81" s="22" t="str">
        <x:f>HYPERLINK("https://etp-aktiv.ru/catalog/materialy/asbo-tekhnicheskie-izdeliya/2000539208-V116/","Открыть позицию")</x:f>
        <x:v>Открыть позицию</x:v>
      </x:c>
    </x:row>
    <x:row r="82" ht="28" customHeight="1">
      <x:c r="A82" s="16" t="str">
        <x:v>Красноярская ГРЭС-2</x:v>
      </x:c>
      <x:c r="B82" s="16" t="str">
        <x:v>2000539249-V116</x:v>
      </x:c>
      <x:c r="C82" s="16" t="str">
        <x:v>НАБИВКА ПГН 4200-2 8*8</x:v>
      </x:c>
      <x:c r="D82" s="16" t="str">
        <x:v>Асбо-технические изд</x:v>
      </x:c>
      <x:c r="E82" s="16" t="str">
        <x:v>КГ</x:v>
      </x:c>
      <x:c r="F82" s="26" t="n">
        <x:v>2.152</x:v>
      </x:c>
      <x:c r="G82" s="17" t="n">
        <x:v>4042.0186</x:v>
      </x:c>
      <x:c r="H82" s="17" t="n">
        <x:f>G82*F82</x:f>
        <x:v>8698.4240272</x:v>
      </x:c>
      <x:c r="I82" s="22" t="str">
        <x:f>HYPERLINK("https://etp-aktiv.ru/catalog/materialy/asbo-tekhnicheskie-izdeliya/2000539249-V116/","Открыть позицию")</x:f>
        <x:v>Открыть позицию</x:v>
      </x:c>
    </x:row>
    <x:row r="83" ht="28" customHeight="1">
      <x:c r="A83" s="16" t="str">
        <x:v>Красноярская ГРЭС-2</x:v>
      </x:c>
      <x:c r="B83" s="16" t="str">
        <x:v>2000738824-V116</x:v>
      </x:c>
      <x:c r="C83" s="16" t="str">
        <x:v>НАБИВКА САЛ АС МНОГОСЛ 18*18ММ ГОСТ5152</x:v>
      </x:c>
      <x:c r="D83" s="16" t="str">
        <x:v>Асбо-технические изд</x:v>
      </x:c>
      <x:c r="E83" s="16" t="str">
        <x:v>КГ</x:v>
      </x:c>
      <x:c r="F83" s="26" t="n">
        <x:v>13.55</x:v>
      </x:c>
      <x:c r="G83" s="17" t="n">
        <x:v>142.4106</x:v>
      </x:c>
      <x:c r="H83" s="17" t="n">
        <x:f>G83*F83</x:f>
        <x:v>1929.66363</x:v>
      </x:c>
      <x:c r="I83" s="22" t="str">
        <x:f>HYPERLINK("https://etp-aktiv.ru/catalog/materialy/asbo-tekhnicheskie-izdeliya/2000738824-V116/","Открыть позицию")</x:f>
        <x:v>Открыть позицию</x:v>
      </x:c>
    </x:row>
    <x:row r="84" ht="28" customHeight="1">
      <x:c r="A84" s="16" t="str">
        <x:v>Красноярская ГРЭС-2</x:v>
      </x:c>
      <x:c r="B84" s="16" t="str">
        <x:v>2000570274-V116</x:v>
      </x:c>
      <x:c r="C84" s="16" t="str">
        <x:v>НАБИВКА САЛЬНИКОВАЯ ГЕРМОРУМ С-101 12*12</x:v>
      </x:c>
      <x:c r="D84" s="16" t="str">
        <x:v>Асбо-технические изд</x:v>
      </x:c>
      <x:c r="E84" s="16" t="str">
        <x:v>КГ</x:v>
      </x:c>
      <x:c r="F84" s="26" t="n">
        <x:v>30.35</x:v>
      </x:c>
      <x:c r="G84" s="17" t="n">
        <x:v>720.5686</x:v>
      </x:c>
      <x:c r="H84" s="17" t="n">
        <x:f>G84*F84</x:f>
        <x:v>21869.25701</x:v>
      </x:c>
      <x:c r="I84" s="22" t="str">
        <x:f>HYPERLINK("https://etp-aktiv.ru/catalog/materialy/asbo-tekhnicheskie-izdeliya/2000570274-V116/","Открыть позицию")</x:f>
        <x:v>Открыть позицию</x:v>
      </x:c>
    </x:row>
    <x:row r="85" ht="28" customHeight="1">
      <x:c r="A85" s="16" t="str">
        <x:v>Красноярская ГРЭС-2</x:v>
      </x:c>
      <x:c r="B85" s="16" t="str">
        <x:v>2000963704-V116</x:v>
      </x:c>
      <x:c r="C85" s="16" t="str">
        <x:v>НАБИВКА САЛЬНИКОВАЯ НГ-200 24*24</x:v>
      </x:c>
      <x:c r="D85" s="16" t="str">
        <x:v>Асбо-технические изд</x:v>
      </x:c>
      <x:c r="E85" s="16" t="str">
        <x:v>КГ</x:v>
      </x:c>
      <x:c r="F85" s="21" t="n">
        <x:v>9</x:v>
      </x:c>
      <x:c r="G85" s="17" t="n">
        <x:v>965.447</x:v>
      </x:c>
      <x:c r="H85" s="17" t="n">
        <x:f>G85*F85</x:f>
        <x:v>8689.023</x:v>
      </x:c>
      <x:c r="I85" s="22" t="str">
        <x:f>HYPERLINK("https://etp-aktiv.ru/catalog/materialy/asbo-tekhnicheskie-izdeliya/2000963704-V116/","Открыть позицию")</x:f>
        <x:v>Открыть позицию</x:v>
      </x:c>
    </x:row>
    <x:row r="86" ht="28" customHeight="1">
      <x:c r="A86" s="16" t="str">
        <x:v>Красноярская ГРЭС-2</x:v>
      </x:c>
      <x:c r="B86" s="16" t="str">
        <x:v>2000539168-V116</x:v>
      </x:c>
      <x:c r="C86" s="16" t="str">
        <x:v>НАБИВКА СКВОЗНОЕ ПЛЕТЕНИЕ АГИ 6*6</x:v>
      </x:c>
      <x:c r="D86" s="16" t="str">
        <x:v>Асбо-технические изд</x:v>
      </x:c>
      <x:c r="E86" s="16" t="str">
        <x:v>КГ</x:v>
      </x:c>
      <x:c r="F86" s="26" t="n">
        <x:v>28.15</x:v>
      </x:c>
      <x:c r="G86" s="17" t="n">
        <x:v>173.06920000000002</x:v>
      </x:c>
      <x:c r="H86" s="17" t="n">
        <x:f>G86*F86</x:f>
        <x:v>4871.897980000001</x:v>
      </x:c>
      <x:c r="I86" s="22" t="str">
        <x:f>HYPERLINK("https://etp-aktiv.ru/catalog/materialy/asbo-tekhnicheskie-izdeliya/2000539168-V116/","Открыть позицию")</x:f>
        <x:v>Открыть позицию</x:v>
      </x:c>
    </x:row>
    <x:row r="87" ht="28" customHeight="1">
      <x:c r="A87" s="16" t="str">
        <x:v>Красноярская ГРЭС-2</x:v>
      </x:c>
      <x:c r="B87" s="16" t="str">
        <x:v>2000539180-V116</x:v>
      </x:c>
      <x:c r="C87" s="16" t="str">
        <x:v>НАБИВКА СКВОЗНОЕ ПЛЕТЕНИЕ АП-31 12*12</x:v>
      </x:c>
      <x:c r="D87" s="16" t="str">
        <x:v>Асбо-технические изд</x:v>
      </x:c>
      <x:c r="E87" s="16" t="str">
        <x:v>КГ</x:v>
      </x:c>
      <x:c r="F87" s="26" t="n">
        <x:v>58.6</x:v>
      </x:c>
      <x:c r="G87" s="17" t="n">
        <x:v>143.97220000000002</x:v>
      </x:c>
      <x:c r="H87" s="17" t="n">
        <x:f>G87*F87</x:f>
        <x:v>8436.77092</x:v>
      </x:c>
      <x:c r="I87" s="22" t="str">
        <x:f>HYPERLINK("https://etp-aktiv.ru/catalog/materialy/asbo-tekhnicheskie-izdeliya/2000539180-V116/","Открыть позицию")</x:f>
        <x:v>Открыть позицию</x:v>
      </x:c>
    </x:row>
    <x:row r="88" ht="28" customHeight="1">
      <x:c r="A88" s="16" t="str">
        <x:v>Красноярская ГРЭС-2</x:v>
      </x:c>
      <x:c r="B88" s="16" t="str">
        <x:v>2000539204-V116</x:v>
      </x:c>
      <x:c r="C88" s="16" t="str">
        <x:v>НАБИВКА СКВОЗНОЕ ПЛЕТЕНИЕ АС 10*10</x:v>
      </x:c>
      <x:c r="D88" s="16" t="str">
        <x:v>Асбо-технические изд</x:v>
      </x:c>
      <x:c r="E88" s="16" t="str">
        <x:v>КГ</x:v>
      </x:c>
      <x:c r="F88" s="26" t="n">
        <x:v>13.75</x:v>
      </x:c>
      <x:c r="G88" s="17" t="n">
        <x:v>179.8524</x:v>
      </x:c>
      <x:c r="H88" s="17" t="n">
        <x:f>G88*F88</x:f>
        <x:v>2472.9705</x:v>
      </x:c>
      <x:c r="I88" s="22" t="str">
        <x:f>HYPERLINK("https://etp-aktiv.ru/catalog/materialy/asbo-tekhnicheskie-izdeliya/2000539204-V116/","Открыть позицию")</x:f>
        <x:v>Открыть позицию</x:v>
      </x:c>
    </x:row>
    <x:row r="89" ht="28" customHeight="1">
      <x:c r="A89" s="16" t="str">
        <x:v>Красноярская ГРЭС-2</x:v>
      </x:c>
      <x:c r="B89" s="16" t="str">
        <x:v>2000645102-V116</x:v>
      </x:c>
      <x:c r="C89" s="16" t="str">
        <x:v>НАБИВКА СН-ПЛ-001 10*10 ТУ2573-006-734</x:v>
      </x:c>
      <x:c r="D89" s="16" t="str">
        <x:v>Асбо-технические изд</x:v>
      </x:c>
      <x:c r="E89" s="16" t="str">
        <x:v>КГ</x:v>
      </x:c>
      <x:c r="F89" s="26" t="n">
        <x:v>1.42</x:v>
      </x:c>
      <x:c r="G89" s="17" t="n">
        <x:v>11902.3444</x:v>
      </x:c>
      <x:c r="H89" s="17" t="n">
        <x:f>G89*F89</x:f>
        <x:v>16901.329048</x:v>
      </x:c>
      <x:c r="I89" s="22" t="str">
        <x:f>HYPERLINK("https://etp-aktiv.ru/catalog/materialy/asbo-tekhnicheskie-izdeliya/2000645102-V116/","Открыть позицию")</x:f>
        <x:v>Открыть позицию</x:v>
      </x:c>
    </x:row>
    <x:row r="90" ht="28" customHeight="1">
      <x:c r="A90" s="16" t="str">
        <x:v>Красноярская ГРЭС-2</x:v>
      </x:c>
      <x:c r="B90" s="16" t="str">
        <x:v>2000165726-V116</x:v>
      </x:c>
      <x:c r="C90" s="16" t="str">
        <x:v>НАБИВКА ХБП-31 13*13ММ</x:v>
      </x:c>
      <x:c r="D90" s="16" t="str">
        <x:v>Асбо-технические изд</x:v>
      </x:c>
      <x:c r="E90" s="16" t="str">
        <x:v>КГ</x:v>
      </x:c>
      <x:c r="F90" s="21" t="n">
        <x:v>5</x:v>
      </x:c>
      <x:c r="G90" s="17" t="n">
        <x:v>215.1348</x:v>
      </x:c>
      <x:c r="H90" s="17" t="n">
        <x:f>G90*F90</x:f>
        <x:v>1075.674</x:v>
      </x:c>
      <x:c r="I90" s="22" t="str">
        <x:f>HYPERLINK("https://etp-aktiv.ru/catalog/materialy/asbo-tekhnicheskie-izdeliya/2000165726-V116/","Открыть позицию")</x:f>
        <x:v>Открыть позицию</x:v>
      </x:c>
    </x:row>
    <x:row r="91" ht="28" customHeight="1">
      <x:c r="A91" s="16" t="str">
        <x:v>Красноярская ГРЭС-2</x:v>
      </x:c>
      <x:c r="B91" s="16" t="str">
        <x:v>2000165595-V116</x:v>
      </x:c>
      <x:c r="C91" s="16" t="str">
        <x:v>НАБИВКА ХБП-31 16*16ММ</x:v>
      </x:c>
      <x:c r="D91" s="16" t="str">
        <x:v>Асбо-технические изд</x:v>
      </x:c>
      <x:c r="E91" s="16" t="str">
        <x:v>КГ</x:v>
      </x:c>
      <x:c r="F91" s="26" t="n">
        <x:v>9.4</x:v>
      </x:c>
      <x:c r="G91" s="17" t="n">
        <x:v>202.15399999999997</x:v>
      </x:c>
      <x:c r="H91" s="17" t="n">
        <x:f>G91*F91</x:f>
        <x:v>1900.2475999999997</x:v>
      </x:c>
      <x:c r="I91" s="22" t="str">
        <x:f>HYPERLINK("https://etp-aktiv.ru/catalog/materialy/asbo-tekhnicheskie-izdeliya/2000165595-V116/","Открыть позицию")</x:f>
        <x:v>Открыть позицию</x:v>
      </x:c>
    </x:row>
    <x:row r="92" ht="28" customHeight="1">
      <x:c r="A92" s="16" t="str">
        <x:v>Красноярская ГРЭС-2</x:v>
      </x:c>
      <x:c r="B92" s="16" t="str">
        <x:v>2000462570-V116</x:v>
      </x:c>
      <x:c r="C92" s="16" t="str">
        <x:v>НАБОР УПЛ КОЛЕЦ 2,90-43,82 5А 30/382</x:v>
      </x:c>
      <x:c r="D92" s="16" t="str">
        <x:v>Проч резино-тех изд</x:v>
      </x:c>
      <x:c r="E92" s="16" t="str">
        <x:v>ШТ</x:v>
      </x:c>
      <x:c r="F92" s="21" t="n">
        <x:v>1</x:v>
      </x:c>
      <x:c r="G92" s="17" t="n">
        <x:v>637.7672</x:v>
      </x:c>
      <x:c r="H92" s="17" t="n">
        <x:f>G92*F92</x:f>
        <x:v>637.7672</x:v>
      </x:c>
      <x:c r="I92" s="22" t="str">
        <x:f>HYPERLINK("https://etp-aktiv.ru/catalog/materialy/rezino-tekhnicheskie-izdeliya/2000462570-V116/","Открыть позицию")</x:f>
        <x:v>Открыть позицию</x:v>
      </x:c>
    </x:row>
    <x:row r="93" ht="28" customHeight="1">
      <x:c r="A93" s="16" t="str">
        <x:v>Красноярская ГРЭС-2</x:v>
      </x:c>
      <x:c r="B93" s="16" t="str">
        <x:v>2000616794-V116</x:v>
      </x:c>
      <x:c r="C93" s="16" t="str">
        <x:v>ПАРОНИТ ПОН 2ММ ГОСТ481-80</x:v>
      </x:c>
      <x:c r="D93" s="16" t="str">
        <x:v>Асбо-технические изд</x:v>
      </x:c>
      <x:c r="E93" s="16" t="str">
        <x:v>КГ</x:v>
      </x:c>
      <x:c r="F93" s="26" t="n">
        <x:v>4.2</x:v>
      </x:c>
      <x:c r="G93" s="17" t="n">
        <x:v>58.999199999999995</x:v>
      </x:c>
      <x:c r="H93" s="17" t="n">
        <x:f>G93*F93</x:f>
        <x:v>247.79664</x:v>
      </x:c>
      <x:c r="I93" s="22" t="str">
        <x:f>HYPERLINK("https://etp-aktiv.ru/catalog/materialy/asbo-tekhnicheskie-izdeliya/2000616794-V116/","Открыть позицию")</x:f>
        <x:v>Открыть позицию</x:v>
      </x:c>
    </x:row>
    <x:row r="94" ht="28" customHeight="1">
      <x:c r="A94" s="16" t="str">
        <x:v>Красноярская ГРЭС-2</x:v>
      </x:c>
      <x:c r="B94" s="16" t="str">
        <x:v>2000033108-V116</x:v>
      </x:c>
      <x:c r="C94" s="16" t="str">
        <x:v>ПАРОНИТ ПОН-А 2ММ</x:v>
      </x:c>
      <x:c r="D94" s="16" t="str">
        <x:v>Асбо-технические изд</x:v>
      </x:c>
      <x:c r="E94" s="16" t="str">
        <x:v>КГ</x:v>
      </x:c>
      <x:c r="F94" s="21" t="n">
        <x:v>4</x:v>
      </x:c>
      <x:c r="G94" s="17" t="n">
        <x:v>53.57019999999999</x:v>
      </x:c>
      <x:c r="H94" s="17" t="n">
        <x:f>G94*F94</x:f>
        <x:v>214.28079999999997</x:v>
      </x:c>
      <x:c r="I94" s="22" t="str">
        <x:f>HYPERLINK("https://etp-aktiv.ru/catalog/materialy/asbo-tekhnicheskie-izdeliya/2000033108-V116/","Открыть позицию")</x:f>
        <x:v>Открыть позицию</x:v>
      </x:c>
    </x:row>
    <x:row r="95" ht="28" customHeight="1">
      <x:c r="A95" s="16" t="str">
        <x:v>Красноярская ГРЭС-2</x:v>
      </x:c>
      <x:c r="B95" s="16" t="str">
        <x:v>2000033109-V116</x:v>
      </x:c>
      <x:c r="C95" s="16" t="str">
        <x:v>ПАРОНИТ ПОН-Б 2ММ</x:v>
      </x:c>
      <x:c r="D95" s="16" t="str">
        <x:v>Асбо-технические изд</x:v>
      </x:c>
      <x:c r="E95" s="16" t="str">
        <x:v>КГ</x:v>
      </x:c>
      <x:c r="F95" s="26" t="n">
        <x:v>2.6</x:v>
      </x:c>
      <x:c r="G95" s="17" t="n">
        <x:v>49.3246</x:v>
      </x:c>
      <x:c r="H95" s="17" t="n">
        <x:f>G95*F95</x:f>
        <x:v>128.24396</x:v>
      </x:c>
      <x:c r="I95" s="22" t="str">
        <x:f>HYPERLINK("https://etp-aktiv.ru/catalog/materialy/asbo-tekhnicheskie-izdeliya/2000033109-V116/","Открыть позицию")</x:f>
        <x:v>Открыть позицию</x:v>
      </x:c>
    </x:row>
    <x:row r="96" ht="28" customHeight="1">
      <x:c r="A96" s="16" t="str">
        <x:v>Красноярская ГРЭС-2</x:v>
      </x:c>
      <x:c r="B96" s="16" t="str">
        <x:v>2000141041-V116</x:v>
      </x:c>
      <x:c r="C96" s="16" t="str">
        <x:v>ПАРОНИТ ПОН-Б 2ММ 1,5*1М</x:v>
      </x:c>
      <x:c r="D96" s="16" t="str">
        <x:v>Асбо-технические изд</x:v>
      </x:c>
      <x:c r="E96" s="16" t="str">
        <x:v>КГ</x:v>
      </x:c>
      <x:c r="F96" s="26" t="n">
        <x:v>1.05</x:v>
      </x:c>
      <x:c r="G96" s="17" t="n">
        <x:v>50.3982</x:v>
      </x:c>
      <x:c r="H96" s="17" t="n">
        <x:f>G96*F96</x:f>
        <x:v>52.918110000000006</x:v>
      </x:c>
      <x:c r="I96" s="22" t="str">
        <x:f>HYPERLINK("https://etp-aktiv.ru/catalog/materialy/asbo-tekhnicheskie-izdeliya/2000141041-V116/","Открыть позицию")</x:f>
        <x:v>Открыть позицию</x:v>
      </x:c>
    </x:row>
    <x:row r="97" ht="28" customHeight="1">
      <x:c r="A97" s="16" t="str">
        <x:v>Красноярская ГРЭС-2</x:v>
      </x:c>
      <x:c r="B97" s="16" t="str">
        <x:v>2000141043-V116</x:v>
      </x:c>
      <x:c r="C97" s="16" t="str">
        <x:v>ПАРОНИТ ПОН-Б 5ММ 1,5*1М</x:v>
      </x:c>
      <x:c r="D97" s="16" t="str">
        <x:v>Асбо-технические изд</x:v>
      </x:c>
      <x:c r="E97" s="16" t="str">
        <x:v>КГ</x:v>
      </x:c>
      <x:c r="F97" s="26" t="n">
        <x:v>70.4</x:v>
      </x:c>
      <x:c r="G97" s="17" t="n">
        <x:v>72.9682</x:v>
      </x:c>
      <x:c r="H97" s="17" t="n">
        <x:f>G97*F97</x:f>
        <x:v>5136.96128</x:v>
      </x:c>
      <x:c r="I97" s="22" t="str">
        <x:f>HYPERLINK("https://etp-aktiv.ru/catalog/materialy/asbo-tekhnicheskie-izdeliya/2000141043-V116/","Открыть позицию")</x:f>
        <x:v>Открыть позицию</x:v>
      </x:c>
    </x:row>
    <x:row r="98" ht="28" customHeight="1">
      <x:c r="A98" s="16" t="str">
        <x:v>Красноярская ГРЭС-2</x:v>
      </x:c>
      <x:c r="B98" s="16" t="str">
        <x:v>2000691926-V116</x:v>
      </x:c>
      <x:c r="C98" s="16" t="str">
        <x:v>ПЕНОСТЕКЛО ГРАНУЛИРОВАННОЕ 8-20</x:v>
      </x:c>
      <x:c r="D98" s="16" t="str">
        <x:v>Теплоизоляция</x:v>
      </x:c>
      <x:c r="E98" s="16" t="str">
        <x:v>М3</x:v>
      </x:c>
      <x:c r="F98" s="26" t="n">
        <x:v>8.4</x:v>
      </x:c>
      <x:c r="G98" s="17" t="n">
        <x:v>11689.5886</x:v>
      </x:c>
      <x:c r="H98" s="17" t="n">
        <x:f>G98*F98</x:f>
        <x:v>98192.54424</x:v>
      </x:c>
      <x:c r="I98" s="22" t="str">
        <x:f>HYPERLINK("https://etp-aktiv.ru/catalog/materialy/teploizolyaciya/2000691926-V116/","Открыть позицию")</x:f>
        <x:v>Открыть позицию</x:v>
      </x:c>
    </x:row>
    <x:row r="99" ht="28" customHeight="1">
      <x:c r="A99" s="16" t="str">
        <x:v>Красноярская ГРЭС-2</x:v>
      </x:c>
      <x:c r="B99" s="16" t="str">
        <x:v>2000628462-V116</x:v>
      </x:c>
      <x:c r="C99" s="16" t="str">
        <x:v>ПЛАСТИНА 10*800 II 51-2062 ТУ38-105116</x:v>
      </x:c>
      <x:c r="D99" s="16" t="str">
        <x:v>Проч резино-тех изд</x:v>
      </x:c>
      <x:c r="E99" s="16" t="str">
        <x:v>КГ</x:v>
      </x:c>
      <x:c r="F99" s="26" t="n">
        <x:v>158.51</x:v>
      </x:c>
      <x:c r="G99" s="17" t="n">
        <x:v>236.53359999999998</x:v>
      </x:c>
      <x:c r="H99" s="17" t="n">
        <x:f>G99*F99</x:f>
        <x:v>37492.94093599999</x:v>
      </x:c>
      <x:c r="I99" s="22" t="str">
        <x:f>HYPERLINK("https://etp-aktiv.ru/catalog/materialy/rezino-tekhnicheskie-izdeliya/2000628462-V116/","Открыть позицию")</x:f>
        <x:v>Открыть позицию</x:v>
      </x:c>
    </x:row>
    <x:row r="100" ht="28" customHeight="1">
      <x:c r="A100" s="16" t="str">
        <x:v>Красноярская ГРЭС-2</x:v>
      </x:c>
      <x:c r="B100" s="16" t="str">
        <x:v>2000645810-V116</x:v>
      </x:c>
      <x:c r="C100" s="16" t="str">
        <x:v>ПЛАСТИНА 1Ф-I-МБС-С-4 Г 7338-90</x:v>
      </x:c>
      <x:c r="D100" s="16" t="str">
        <x:v>Проч резино-тех изд</x:v>
      </x:c>
      <x:c r="E100" s="16" t="str">
        <x:v>КГ</x:v>
      </x:c>
      <x:c r="F100" s="26" t="n">
        <x:v>1.8</x:v>
      </x:c>
      <x:c r="G100" s="17" t="n">
        <x:v>136.5058</x:v>
      </x:c>
      <x:c r="H100" s="17" t="n">
        <x:f>G100*F100</x:f>
        <x:v>245.71044</x:v>
      </x:c>
      <x:c r="I100" s="22" t="str">
        <x:f>HYPERLINK("https://etp-aktiv.ru/catalog/materialy/rezino-tekhnicheskie-izdeliya/2000645810-V116/","Открыть позицию")</x:f>
        <x:v>Открыть позицию</x:v>
      </x:c>
    </x:row>
    <x:row r="101" ht="28" customHeight="1">
      <x:c r="A101" s="16" t="str">
        <x:v>Красноярская ГРЭС-2</x:v>
      </x:c>
      <x:c r="B101" s="16" t="str">
        <x:v>2000641381-V116</x:v>
      </x:c>
      <x:c r="C101" s="16" t="str">
        <x:v>ПЛАСТИНА 1Ф-I-МБС-С-6 ГОСТ7338-90</x:v>
      </x:c>
      <x:c r="D101" s="16" t="str">
        <x:v>Проч резино-тех изд</x:v>
      </x:c>
      <x:c r="E101" s="16" t="str">
        <x:v>КГ</x:v>
      </x:c>
      <x:c r="F101" s="26" t="n">
        <x:v>3.45</x:v>
      </x:c>
      <x:c r="G101" s="17" t="n">
        <x:v>124.86699999999999</x:v>
      </x:c>
      <x:c r="H101" s="17" t="n">
        <x:f>G101*F101</x:f>
        <x:v>430.79115</x:v>
      </x:c>
      <x:c r="I101" s="22" t="str">
        <x:f>HYPERLINK("https://etp-aktiv.ru/catalog/materialy/rezino-tekhnicheskie-izdeliya/2000641381-V116/","Открыть позицию")</x:f>
        <x:v>Открыть позицию</x:v>
      </x:c>
    </x:row>
    <x:row r="102" ht="28" customHeight="1">
      <x:c r="A102" s="16" t="str">
        <x:v>Красноярская ГРЭС-2</x:v>
      </x:c>
      <x:c r="B102" s="16" t="str">
        <x:v>2000628431-V116</x:v>
      </x:c>
      <x:c r="C102" s="16" t="str">
        <x:v>ПЛАСТИНА 5*700*3000 1Н-I ТМКЩ-С ГОСТ7338</x:v>
      </x:c>
      <x:c r="D102" s="16" t="str">
        <x:v>Проч резино-тех изд</x:v>
      </x:c>
      <x:c r="E102" s="16" t="str">
        <x:v>КГ</x:v>
      </x:c>
      <x:c r="F102" s="26" t="n">
        <x:v>11.74</x:v>
      </x:c>
      <x:c r="G102" s="17" t="n">
        <x:v>117.974</x:v>
      </x:c>
      <x:c r="H102" s="17" t="n">
        <x:f>G102*F102</x:f>
        <x:v>1385.01476</x:v>
      </x:c>
      <x:c r="I102" s="22" t="str">
        <x:f>HYPERLINK("https://etp-aktiv.ru/catalog/materialy/rezino-tekhnicheskie-izdeliya/2000628431-V116/","Открыть позицию")</x:f>
        <x:v>Открыть позицию</x:v>
      </x:c>
    </x:row>
    <x:row r="103" ht="28" customHeight="1">
      <x:c r="A103" s="16" t="str">
        <x:v>Красноярская ГРЭС-2</x:v>
      </x:c>
      <x:c r="B103" s="16" t="str">
        <x:v>2000286797-V116</x:v>
      </x:c>
      <x:c r="C103" s="16" t="str">
        <x:v>ПОКРЫТИЕ ЖИДКОЕ КОРУНД КЛАССИКА</x:v>
      </x:c>
      <x:c r="D103" s="16" t="str">
        <x:v>Теплоизоляция</x:v>
      </x:c>
      <x:c r="E103" s="16" t="str">
        <x:v>Л</x:v>
      </x:c>
      <x:c r="F103" s="21" t="n">
        <x:v>50</x:v>
      </x:c>
      <x:c r="G103" s="17" t="n">
        <x:v>398.9888</x:v>
      </x:c>
      <x:c r="H103" s="17" t="n">
        <x:f>G103*F103</x:f>
        <x:v>19949.440000000002</x:v>
      </x:c>
      <x:c r="I103" s="22" t="str">
        <x:f>HYPERLINK("https://etp-aktiv.ru/catalog/materialy/teploizolyaciya/2000286797-V116/","Открыть позицию")</x:f>
        <x:v>Открыть позицию</x:v>
      </x:c>
    </x:row>
    <x:row r="104" ht="28" customHeight="1">
      <x:c r="A104" s="16" t="str">
        <x:v>Красноярская ГРЭС-2</x:v>
      </x:c>
      <x:c r="B104" s="16" t="str">
        <x:v>2000539312-V116</x:v>
      </x:c>
      <x:c r="C104" s="16" t="str">
        <x:v>ПРОКЛАДКА ПВТГ-2-АГН 160*29*1,5-140*5</x:v>
      </x:c>
      <x:c r="D104" s="16" t="str">
        <x:v>Асбо-технические изд</x:v>
      </x:c>
      <x:c r="E104" s="16" t="str">
        <x:v>ШТ</x:v>
      </x:c>
      <x:c r="F104" s="21" t="n">
        <x:v>800</x:v>
      </x:c>
      <x:c r="G104" s="17" t="n">
        <x:v>73.5538</x:v>
      </x:c>
      <x:c r="H104" s="17" t="n">
        <x:f>G104*F104</x:f>
        <x:v>58843.03999999999</x:v>
      </x:c>
      <x:c r="I104" s="22" t="str">
        <x:f>HYPERLINK("https://etp-aktiv.ru/catalog/materialy/asbo-tekhnicheskie-izdeliya/2000539312-V116/","Открыть позицию")</x:f>
        <x:v>Открыть позицию</x:v>
      </x:c>
    </x:row>
    <x:row r="105" ht="28" customHeight="1">
      <x:c r="A105" s="16" t="str">
        <x:v>Красноярская ГРЭС-2</x:v>
      </x:c>
      <x:c r="B105" s="16" t="str">
        <x:v>2000729515-V116</x:v>
      </x:c>
      <x:c r="C105" s="16" t="str">
        <x:v>ПРОКЛАДКА ПГФ-Д-В-16-00 160*130*2</x:v>
      </x:c>
      <x:c r="D105" s="16" t="str">
        <x:v>Асбо-технические изд</x:v>
      </x:c>
      <x:c r="E105" s="16" t="str">
        <x:v>ШТ</x:v>
      </x:c>
      <x:c r="F105" s="21" t="n">
        <x:v>32</x:v>
      </x:c>
      <x:c r="G105" s="17" t="n">
        <x:v>54.7292</x:v>
      </x:c>
      <x:c r="H105" s="17" t="n">
        <x:f>G105*F105</x:f>
        <x:v>1751.3344</x:v>
      </x:c>
      <x:c r="I105" s="22" t="str">
        <x:f>HYPERLINK("https://etp-aktiv.ru/catalog/materialy/asbo-tekhnicheskie-izdeliya/2000729515-V116/","Открыть позицию")</x:f>
        <x:v>Открыть позицию</x:v>
      </x:c>
    </x:row>
    <x:row r="106" ht="28" customHeight="1">
      <x:c r="A106" s="16" t="str">
        <x:v>Красноярская ГРЭС-2</x:v>
      </x:c>
      <x:c r="B106" s="16" t="str">
        <x:v>2000704585-V116</x:v>
      </x:c>
      <x:c r="C106" s="16" t="str">
        <x:v>ПРОКЛАДКА ПУТГ-2-212-01-160Х130-2,0</x:v>
      </x:c>
      <x:c r="D106" s="16" t="str">
        <x:v>Асбо-технические изд</x:v>
      </x:c>
      <x:c r="E106" s="16" t="str">
        <x:v>ШТ</x:v>
      </x:c>
      <x:c r="F106" s="21" t="n">
        <x:v>36</x:v>
      </x:c>
      <x:c r="G106" s="17" t="n">
        <x:v>42.7732</x:v>
      </x:c>
      <x:c r="H106" s="17" t="n">
        <x:f>G106*F106</x:f>
        <x:v>1539.8352</x:v>
      </x:c>
      <x:c r="I106" s="22" t="str">
        <x:f>HYPERLINK("https://etp-aktiv.ru/catalog/materialy/asbo-tekhnicheskie-izdeliya/2000704585-V116/","Открыть позицию")</x:f>
        <x:v>Открыть позицию</x:v>
      </x:c>
    </x:row>
    <x:row r="107" ht="28" customHeight="1">
      <x:c r="A107" s="16" t="str">
        <x:v>Красноярская ГРЭС-2</x:v>
      </x:c>
      <x:c r="B107" s="16" t="str">
        <x:v>2000646342-V116</x:v>
      </x:c>
      <x:c r="C107" s="16" t="str">
        <x:v>ПРОКЛАДКА СНП-А-4-129-4,0-4,5</x:v>
      </x:c>
      <x:c r="D107" s="16" t="str">
        <x:v>Асбо-технические изд</x:v>
      </x:c>
      <x:c r="E107" s="16" t="str">
        <x:v>ШТ</x:v>
      </x:c>
      <x:c r="F107" s="21" t="n">
        <x:v>3</x:v>
      </x:c>
      <x:c r="G107" s="17" t="n">
        <x:v>141.6298</x:v>
      </x:c>
      <x:c r="H107" s="17" t="n">
        <x:f>G107*F107</x:f>
        <x:v>424.88939999999997</x:v>
      </x:c>
      <x:c r="I107" s="22" t="str">
        <x:f>HYPERLINK("https://etp-aktiv.ru/catalog/materialy/asbo-tekhnicheskie-izdeliya/2000646342-V116/","Открыть позицию")</x:f>
        <x:v>Открыть позицию</x:v>
      </x:c>
    </x:row>
    <x:row r="108" ht="28" customHeight="1">
      <x:c r="A108" s="16" t="str">
        <x:v>Красноярская ГРЭС-2</x:v>
      </x:c>
      <x:c r="B108" s="16" t="str">
        <x:v>2000646705-V116</x:v>
      </x:c>
      <x:c r="C108" s="16" t="str">
        <x:v>РЕМЕНЬ 12L-2250 ТУ 38105763-89</x:v>
      </x:c>
      <x:c r="D108" s="16" t="str">
        <x:v>Проч резино-тех изд</x:v>
      </x:c>
      <x:c r="E108" s="16" t="str">
        <x:v>ШТ</x:v>
      </x:c>
      <x:c r="F108" s="21" t="n">
        <x:v>5</x:v>
      </x:c>
      <x:c r="G108" s="17" t="n">
        <x:v>1776.4298</x:v>
      </x:c>
      <x:c r="H108" s="17" t="n">
        <x:f>G108*F108</x:f>
        <x:v>8882.149</x:v>
      </x:c>
      <x:c r="I108" s="22" t="str">
        <x:f>HYPERLINK("https://etp-aktiv.ru/catalog/materialy/rezino-tekhnicheskie-izdeliya/2000646705-V116/","Открыть позицию")</x:f>
        <x:v>Открыть позицию</x:v>
      </x:c>
    </x:row>
    <x:row r="109" ht="28" customHeight="1">
      <x:c r="A109" s="16" t="str">
        <x:v>Красноярская ГРЭС-2</x:v>
      </x:c>
      <x:c r="B109" s="16" t="str">
        <x:v>2000441769-V116</x:v>
      </x:c>
      <x:c r="C109" s="16" t="str">
        <x:v>РЕМЕНЬ 13-975 AVX</x:v>
      </x:c>
      <x:c r="D109" s="16" t="str">
        <x:v>Проч резино-тех изд</x:v>
      </x:c>
      <x:c r="E109" s="16" t="str">
        <x:v>ШТ</x:v>
      </x:c>
      <x:c r="F109" s="21" t="n">
        <x:v>12</x:v>
      </x:c>
      <x:c r="G109" s="17" t="n">
        <x:v>6862.5</x:v>
      </x:c>
      <x:c r="H109" s="17" t="n">
        <x:f>G109*F109</x:f>
        <x:v>82350</x:v>
      </x:c>
      <x:c r="I109" s="22" t="str">
        <x:f>HYPERLINK("https://etp-aktiv.ru/catalog/materialy/rezino-tekhnicheskie-izdeliya/2000441769-V116/","Открыть позицию")</x:f>
        <x:v>Открыть позицию</x:v>
      </x:c>
    </x:row>
    <x:row r="110" ht="28" customHeight="1">
      <x:c r="A110" s="16" t="str">
        <x:v>Красноярская ГРЭС-2</x:v>
      </x:c>
      <x:c r="B110" s="16" t="str">
        <x:v>2000756409-V116</x:v>
      </x:c>
      <x:c r="C110" s="16" t="str">
        <x:v>РЕМЕНЬ SPZ 1212 PIBELT</x:v>
      </x:c>
      <x:c r="D110" s="16" t="str">
        <x:v>Проч резино-тех изд</x:v>
      </x:c>
      <x:c r="E110" s="16" t="str">
        <x:v>ШТ</x:v>
      </x:c>
      <x:c r="F110" s="21" t="n">
        <x:v>2</x:v>
      </x:c>
      <x:c r="G110" s="17" t="n">
        <x:v>360.9858</x:v>
      </x:c>
      <x:c r="H110" s="17" t="n">
        <x:f>G110*F110</x:f>
        <x:v>721.9716</x:v>
      </x:c>
      <x:c r="I110" s="22" t="str">
        <x:f>HYPERLINK("https://etp-aktiv.ru/catalog/materialy/rezino-tekhnicheskie-izdeliya/2000756409-V116/","Открыть позицию")</x:f>
        <x:v>Открыть позицию</x:v>
      </x:c>
    </x:row>
    <x:row r="111" ht="28" customHeight="1">
      <x:c r="A111" s="16" t="str">
        <x:v>Красноярская ГРЭС-2</x:v>
      </x:c>
      <x:c r="B111" s="16" t="str">
        <x:v>2000756392-V116</x:v>
      </x:c>
      <x:c r="C111" s="16" t="str">
        <x:v>РЕМЕНЬ SPZ 1500</x:v>
      </x:c>
      <x:c r="D111" s="16" t="str">
        <x:v>Проч резино-тех изд</x:v>
      </x:c>
      <x:c r="E111" s="16" t="str">
        <x:v>ШТ</x:v>
      </x:c>
      <x:c r="F111" s="21" t="n">
        <x:v>2</x:v>
      </x:c>
      <x:c r="G111" s="17" t="n">
        <x:v>437.6506</x:v>
      </x:c>
      <x:c r="H111" s="17" t="n">
        <x:f>G111*F111</x:f>
        <x:v>875.3012</x:v>
      </x:c>
      <x:c r="I111" s="22" t="str">
        <x:f>HYPERLINK("https://etp-aktiv.ru/catalog/materialy/rezino-tekhnicheskie-izdeliya/2000756392-V116/","Открыть позицию")</x:f>
        <x:v>Открыть позицию</x:v>
      </x:c>
    </x:row>
    <x:row r="112" ht="28" customHeight="1">
      <x:c r="A112" s="16" t="str">
        <x:v>Красноярская ГРЭС-2</x:v>
      </x:c>
      <x:c r="B112" s="16" t="str">
        <x:v>2000003992-V116</x:v>
      </x:c>
      <x:c r="C112" s="16" t="str">
        <x:v>РЕМЕНЬ КЛИНОВОЙ С(В)-2000</x:v>
      </x:c>
      <x:c r="D112" s="16" t="str">
        <x:v>Проч резино-тех изд</x:v>
      </x:c>
      <x:c r="E112" s="16" t="str">
        <x:v>ШТ</x:v>
      </x:c>
      <x:c r="F112" s="21" t="n">
        <x:v>4</x:v>
      </x:c>
      <x:c r="G112" s="17" t="n">
        <x:v>156.77</x:v>
      </x:c>
      <x:c r="H112" s="17" t="n">
        <x:f>G112*F112</x:f>
        <x:v>627.08</x:v>
      </x:c>
      <x:c r="I112" s="22" t="str">
        <x:f>HYPERLINK("https://etp-aktiv.ru/catalog/materialy/rezino-tekhnicheskie-izdeliya/2000003992-V116/","Открыть позицию")</x:f>
        <x:v>Открыть позицию</x:v>
      </x:c>
    </x:row>
    <x:row r="113" ht="28" customHeight="1">
      <x:c r="A113" s="16" t="str">
        <x:v>Красноярская ГРЭС-2</x:v>
      </x:c>
      <x:c r="B113" s="16" t="str">
        <x:v>2000004091-V116</x:v>
      </x:c>
      <x:c r="C113" s="16" t="str">
        <x:v>РУКАВ D50 P16 ГОСТ10362-76</x:v>
      </x:c>
      <x:c r="D113" s="16" t="str">
        <x:v>РТИ и прч спец.заказ</x:v>
      </x:c>
      <x:c r="E113" s="16" t="str">
        <x:v>ПМ</x:v>
      </x:c>
      <x:c r="F113" s="26" t="n">
        <x:v>9.7</x:v>
      </x:c>
      <x:c r="G113" s="17" t="n">
        <x:v>198.94539999999998</x:v>
      </x:c>
      <x:c r="H113" s="17" t="n">
        <x:f>G113*F113</x:f>
        <x:v>1929.7703799999997</x:v>
      </x:c>
      <x:c r="I113" s="22" t="str">
        <x:f>HYPERLINK("https://etp-aktiv.ru/catalog/materialy/rezino-tekhnicheskie-izdeliya/2000004091-V116/","Открыть позицию")</x:f>
        <x:v>Открыть позицию</x:v>
      </x:c>
    </x:row>
    <x:row r="114" ht="28" customHeight="1">
      <x:c r="A114" s="16" t="str">
        <x:v>Красноярская ГРЭС-2</x:v>
      </x:c>
      <x:c r="B114" s="16" t="str">
        <x:v>2000547177-V116</x:v>
      </x:c>
      <x:c r="C114" s="16" t="str">
        <x:v>РУКАВ В(II)-16-50-68-У ГОСТ18698-79</x:v>
      </x:c>
      <x:c r="D114" s="16" t="str">
        <x:v>РТИ и прч спец.заказ</x:v>
      </x:c>
      <x:c r="E114" s="16" t="str">
        <x:v>М</x:v>
      </x:c>
      <x:c r="F114" s="21" t="n">
        <x:v>10</x:v>
      </x:c>
      <x:c r="G114" s="17" t="n">
        <x:v>218.6118</x:v>
      </x:c>
      <x:c r="H114" s="17" t="n">
        <x:f>G114*F114</x:f>
        <x:v>2186.118</x:v>
      </x:c>
      <x:c r="I114" s="22" t="str">
        <x:f>HYPERLINK("https://etp-aktiv.ru/catalog/materialy/rezino-tekhnicheskie-izdeliya/2000547177-V116/","Открыть позицию")</x:f>
        <x:v>Открыть позицию</x:v>
      </x:c>
    </x:row>
    <x:row r="115" ht="28" customHeight="1">
      <x:c r="A115" s="16" t="str">
        <x:v>Красноярская ГРЭС-2</x:v>
      </x:c>
      <x:c r="B115" s="16" t="str">
        <x:v>2000647177-V116</x:v>
      </x:c>
      <x:c r="C115" s="16" t="str">
        <x:v>СИСТЕМА ТКС-ТП-300-900 9Х1000ММ ТУ5952</x:v>
      </x:c>
      <x:c r="D115" s="16" t="str">
        <x:v>Теплоизоляция</x:v>
      </x:c>
      <x:c r="E115" s="16" t="str">
        <x:v>М2</x:v>
      </x:c>
      <x:c r="F115" s="21" t="n">
        <x:v>460</x:v>
      </x:c>
      <x:c r="G115" s="17" t="n">
        <x:v>250.039</x:v>
      </x:c>
      <x:c r="H115" s="17" t="n">
        <x:f>G115*F115</x:f>
        <x:v>115017.93999999999</x:v>
      </x:c>
      <x:c r="I115" s="22" t="str">
        <x:f>HYPERLINK("https://etp-aktiv.ru/catalog/materialy/teploizolyaciya/2000647177-V116/","Открыть позицию")</x:f>
        <x:v>Открыть позицию</x:v>
      </x:c>
    </x:row>
    <x:row r="116" ht="28" customHeight="1">
      <x:c r="A116" s="16" t="str">
        <x:v>Красноярская ГРЭС-2</x:v>
      </x:c>
      <x:c r="B116" s="16" t="str">
        <x:v>2000624234-V116</x:v>
      </x:c>
      <x:c r="C116" s="16" t="str">
        <x:v>СТ/ТЕКСТОЛИТ СТЭТФ 20ММ</x:v>
      </x:c>
      <x:c r="D116" s="16" t="str">
        <x:v>Э/изоляцион мат-лы</x:v>
      </x:c>
      <x:c r="E116" s="16" t="str">
        <x:v>КГ</x:v>
      </x:c>
      <x:c r="F116" s="26" t="n">
        <x:v>88.7</x:v>
      </x:c>
      <x:c r="G116" s="17" t="n">
        <x:v>218.8802</x:v>
      </x:c>
      <x:c r="H116" s="17" t="n">
        <x:f>G116*F116</x:f>
        <x:v>19414.673740000002</x:v>
      </x:c>
      <x:c r="I116" s="22" t="str">
        <x:f>HYPERLINK("https://etp-aktiv.ru/catalog/materialy/ehlektroizolyacionnye-materialy/2000624234-V116/","Открыть позицию")</x:f>
        <x:v>Открыть позицию</x:v>
      </x:c>
    </x:row>
    <x:row r="117" ht="28" customHeight="1">
      <x:c r="A117" s="16" t="str">
        <x:v>Красноярская ГРЭС-2</x:v>
      </x:c>
      <x:c r="B117" s="16" t="str">
        <x:v>2000647441-V116</x:v>
      </x:c>
      <x:c r="C117" s="16" t="str">
        <x:v>СТЕРЖЕНЬ В.С.-40Х500 Г 5385-74</x:v>
      </x:c>
      <x:c r="D117" s="16" t="str">
        <x:v>Проч резино-тех изд</x:v>
      </x:c>
      <x:c r="E117" s="16" t="str">
        <x:v>КГ</x:v>
      </x:c>
      <x:c r="F117" s="21" t="n">
        <x:v>10</x:v>
      </x:c>
      <x:c r="G117" s="17" t="n">
        <x:v>261.2142</x:v>
      </x:c>
      <x:c r="H117" s="17" t="n">
        <x:f>G117*F117</x:f>
        <x:v>2612.142</x:v>
      </x:c>
      <x:c r="I117" s="22" t="str">
        <x:f>HYPERLINK("https://etp-aktiv.ru/catalog/materialy/rezino-tekhnicheskie-izdeliya/2000647441-V116/","Открыть позицию")</x:f>
        <x:v>Открыть позицию</x:v>
      </x:c>
    </x:row>
    <x:row r="118" ht="28" customHeight="1">
      <x:c r="A118" s="16" t="str">
        <x:v>Красноярская ГРЭС-2</x:v>
      </x:c>
      <x:c r="B118" s="16" t="str">
        <x:v>2000484920-V116</x:v>
      </x:c>
      <x:c r="C118" s="16" t="str">
        <x:v>СТЕРЖЕНЬ ФТОРОПЛАСТ Ф-4 30ММ</x:v>
      </x:c>
      <x:c r="D118" s="16" t="str">
        <x:v>Э/изоляцион мат-лы</x:v>
      </x:c>
      <x:c r="E118" s="16" t="str">
        <x:v>КГ</x:v>
      </x:c>
      <x:c r="F118" s="21" t="n">
        <x:v>0</x:v>
      </x:c>
      <x:c r="G118" s="17" t="n">
        <x:v>356.362</x:v>
      </x:c>
      <x:c r="H118" s="17" t="n">
        <x:f>G118*F118</x:f>
        <x:v>0</x:v>
      </x:c>
      <x:c r="I118" s="22" t="str">
        <x:f>HYPERLINK("https://etp-aktiv.ru/catalog/materialy/ehlektroizolyacionnye-materialy/2000484920-V116/","Открыть позицию")</x:f>
        <x:v>Открыть позицию</x:v>
      </x:c>
    </x:row>
    <x:row r="119" ht="28" customHeight="1">
      <x:c r="A119" s="16" t="str">
        <x:v>Красноярская ГРЭС-2</x:v>
      </x:c>
      <x:c r="B119" s="16" t="str">
        <x:v>2000068908-V116</x:v>
      </x:c>
      <x:c r="C119" s="16" t="str">
        <x:v>ТЕКСТОЛИТ Б 40ММ</x:v>
      </x:c>
      <x:c r="D119" s="16" t="str">
        <x:v>Э/изоляцион мат-лы</x:v>
      </x:c>
      <x:c r="E119" s="16" t="str">
        <x:v>КГ</x:v>
      </x:c>
      <x:c r="F119" s="26" t="n">
        <x:v>273.4</x:v>
      </x:c>
      <x:c r="G119" s="17" t="n">
        <x:v>229.3112</x:v>
      </x:c>
      <x:c r="H119" s="17" t="n">
        <x:f>G119*F119</x:f>
        <x:v>62693.68208</x:v>
      </x:c>
      <x:c r="I119" s="22" t="str">
        <x:f>HYPERLINK("https://etp-aktiv.ru/catalog/materialy/ehlektroizolyacionnye-materialy/2000068908-V116/","Открыть позицию")</x:f>
        <x:v>Открыть позицию</x:v>
      </x:c>
    </x:row>
    <x:row r="120" ht="28" customHeight="1">
      <x:c r="A120" s="16" t="str">
        <x:v>Красноярская ГРЭС-2</x:v>
      </x:c>
      <x:c r="B120" s="16" t="str">
        <x:v>2000546979-V116</x:v>
      </x:c>
      <x:c r="C120" s="16" t="str">
        <x:v>ТЕХПЛАСТИНА 1 2Н-1 МБС-С ГОСТ7338-90</x:v>
      </x:c>
      <x:c r="D120" s="16" t="str">
        <x:v>Проч резино-тех изд</x:v>
      </x:c>
      <x:c r="E120" s="16" t="str">
        <x:v>КГ</x:v>
      </x:c>
      <x:c r="F120" s="26" t="n">
        <x:v>616.3</x:v>
      </x:c>
      <x:c r="G120" s="17" t="n">
        <x:v>123.08579999999999</x:v>
      </x:c>
      <x:c r="H120" s="17" t="n">
        <x:f>G120*F120</x:f>
        <x:v>75857.77853999998</x:v>
      </x:c>
      <x:c r="I120" s="22" t="str">
        <x:f>HYPERLINK("https://etp-aktiv.ru/catalog/materialy/rezino-tekhnicheskie-izdeliya/2000546979-V116/","Открыть позицию")</x:f>
        <x:v>Открыть позицию</x:v>
      </x:c>
    </x:row>
    <x:row r="121" ht="28" customHeight="1">
      <x:c r="A121" s="16" t="str">
        <x:v>Красноярская ГРЭС-2</x:v>
      </x:c>
      <x:c r="B121" s="16" t="str">
        <x:v>2000546990-V116</x:v>
      </x:c>
      <x:c r="C121" s="16" t="str">
        <x:v>ТЕХПЛАСТИНА 10ММ 2Н-I-ТМКЩ-С ГОСТ7338-90</x:v>
      </x:c>
      <x:c r="D121" s="16" t="str">
        <x:v>Проч резино-тех изд</x:v>
      </x:c>
      <x:c r="E121" s="16" t="str">
        <x:v>КГ</x:v>
      </x:c>
      <x:c r="F121" s="26" t="n">
        <x:v>6.9</x:v>
      </x:c>
      <x:c r="G121" s="17" t="n">
        <x:v>59.8288</x:v>
      </x:c>
      <x:c r="H121" s="17" t="n">
        <x:f>G121*F121</x:f>
        <x:v>412.81872000000004</x:v>
      </x:c>
      <x:c r="I121" s="22" t="str">
        <x:f>HYPERLINK("https://etp-aktiv.ru/catalog/materialy/rezino-tekhnicheskie-izdeliya/2000546990-V116/","Открыть позицию")</x:f>
        <x:v>Открыть позицию</x:v>
      </x:c>
    </x:row>
    <x:row r="122" ht="28" customHeight="1">
      <x:c r="A122" s="16" t="str">
        <x:v>Красноярская ГРЭС-2</x:v>
      </x:c>
      <x:c r="B122" s="16" t="str">
        <x:v>2000547036-V116</x:v>
      </x:c>
      <x:c r="C122" s="16" t="str">
        <x:v>ТЕХПЛАСТИНА 12 1Н-IТМКЩ-С ГОСТ7338-90</x:v>
      </x:c>
      <x:c r="D122" s="16" t="str">
        <x:v>Проч резино-тех изд</x:v>
      </x:c>
      <x:c r="E122" s="16" t="str">
        <x:v>КГ</x:v>
      </x:c>
      <x:c r="F122" s="26" t="n">
        <x:v>50.2</x:v>
      </x:c>
      <x:c r="G122" s="17" t="n">
        <x:v>48.958600000000004</x:v>
      </x:c>
      <x:c r="H122" s="17" t="n">
        <x:f>G122*F122</x:f>
        <x:v>2457.7217200000005</x:v>
      </x:c>
      <x:c r="I122" s="22" t="str">
        <x:f>HYPERLINK("https://etp-aktiv.ru/catalog/materialy/rezino-tekhnicheskie-izdeliya/2000547036-V116/","Открыть позицию")</x:f>
        <x:v>Открыть позицию</x:v>
      </x:c>
    </x:row>
    <x:row r="123" ht="28" customHeight="1">
      <x:c r="A123" s="16" t="str">
        <x:v>Красноярская ГРЭС-2</x:v>
      </x:c>
      <x:c r="B123" s="16" t="str">
        <x:v>2000001969-V116</x:v>
      </x:c>
      <x:c r="C123" s="16" t="str">
        <x:v>ТЕХПЛАСТИНА 3*500*500 ТМКЩ-Т ГОСТ7338-90</x:v>
      </x:c>
      <x:c r="D123" s="16" t="str">
        <x:v>Проч резино-тех изд</x:v>
      </x:c>
      <x:c r="E123" s="16" t="str">
        <x:v>КГ</x:v>
      </x:c>
      <x:c r="F123" s="26" t="n">
        <x:v>44.56</x:v>
      </x:c>
      <x:c r="G123" s="17" t="n">
        <x:v>93.94</x:v>
      </x:c>
      <x:c r="H123" s="17" t="n">
        <x:f>G123*F123</x:f>
        <x:v>4185.9664</x:v>
      </x:c>
      <x:c r="I123" s="22" t="str">
        <x:f>HYPERLINK("https://etp-aktiv.ru/catalog/materialy/rezino-tekhnicheskie-izdeliya/2000001969-V116/","Открыть позицию")</x:f>
        <x:v>Открыть позицию</x:v>
      </x:c>
    </x:row>
    <x:row r="124" ht="28" customHeight="1">
      <x:c r="A124" s="16" t="str">
        <x:v>Красноярская ГРЭС-2</x:v>
      </x:c>
      <x:c r="B124" s="16" t="str">
        <x:v>2000147851-V116</x:v>
      </x:c>
      <x:c r="C124" s="16" t="str">
        <x:v>ТЕХПЛАСТИНА 4*1000*1000 МБС-С ГОСТ7338</x:v>
      </x:c>
      <x:c r="D124" s="16" t="str">
        <x:v>Проч резино-тех изд</x:v>
      </x:c>
      <x:c r="E124" s="16" t="str">
        <x:v>КГ</x:v>
      </x:c>
      <x:c r="F124" s="26" t="n">
        <x:v>1.6</x:v>
      </x:c>
      <x:c r="G124" s="17" t="n">
        <x:v>106.88419999999999</x:v>
      </x:c>
      <x:c r="H124" s="17" t="n">
        <x:f>G124*F124</x:f>
        <x:v>171.01472</x:v>
      </x:c>
      <x:c r="I124" s="22" t="str">
        <x:f>HYPERLINK("https://etp-aktiv.ru/catalog/materialy/rezino-tekhnicheskie-izdeliya/2000147851-V116/","Открыть позицию")</x:f>
        <x:v>Открыть позицию</x:v>
      </x:c>
    </x:row>
    <x:row r="125" ht="28" customHeight="1">
      <x:c r="A125" s="16" t="str">
        <x:v>Красноярская ГРЭС-2</x:v>
      </x:c>
      <x:c r="B125" s="16" t="str">
        <x:v>2000546978-V116</x:v>
      </x:c>
      <x:c r="C125" s="16" t="str">
        <x:v>ТЕХПЛАСТИНА 40 2H-I-МБС-С-40 ГОСТ7338-90</x:v>
      </x:c>
      <x:c r="D125" s="16" t="str">
        <x:v>Проч резино-тех изд</x:v>
      </x:c>
      <x:c r="E125" s="16" t="str">
        <x:v>КГ</x:v>
      </x:c>
      <x:c r="F125" s="26" t="n">
        <x:v>32.6</x:v>
      </x:c>
      <x:c r="G125" s="17" t="n">
        <x:v>79.483</x:v>
      </x:c>
      <x:c r="H125" s="17" t="n">
        <x:f>G125*F125</x:f>
        <x:v>2591.1458000000002</x:v>
      </x:c>
      <x:c r="I125" s="22" t="str">
        <x:f>HYPERLINK("https://etp-aktiv.ru/catalog/materialy/rezino-tekhnicheskie-izdeliya/2000546978-V116/","Открыть позицию")</x:f>
        <x:v>Открыть позицию</x:v>
      </x:c>
    </x:row>
    <x:row r="126" ht="28" customHeight="1">
      <x:c r="A126" s="16" t="str">
        <x:v>Красноярская ГРЭС-2</x:v>
      </x:c>
      <x:c r="B126" s="16" t="str">
        <x:v>2000172709-V116</x:v>
      </x:c>
      <x:c r="C126" s="16" t="str">
        <x:v>ШНУР 1,2С D12ММ ГОСТ6467-79</x:v>
      </x:c>
      <x:c r="D126" s="16" t="str">
        <x:v>Проч резино-тех изд</x:v>
      </x:c>
      <x:c r="E126" s="16" t="str">
        <x:v>КГ</x:v>
      </x:c>
      <x:c r="F126" s="26" t="n">
        <x:v>3.35</x:v>
      </x:c>
      <x:c r="G126" s="17" t="n">
        <x:v>117.9862</x:v>
      </x:c>
      <x:c r="H126" s="17" t="n">
        <x:f>G126*F126</x:f>
        <x:v>395.25377</x:v>
      </x:c>
      <x:c r="I126" s="22" t="str">
        <x:f>HYPERLINK("https://etp-aktiv.ru/catalog/materialy/rezino-tekhnicheskie-izdeliya/2000172709-V116/","Открыть позицию")</x:f>
        <x:v>Открыть позицию</x:v>
      </x:c>
    </x:row>
    <x:row r="127" ht="28" customHeight="1">
      <x:c r="A127" s="16" t="str">
        <x:v>Красноярская ГРЭС-2</x:v>
      </x:c>
      <x:c r="B127" s="16" t="str">
        <x:v>2000648329-V116</x:v>
      </x:c>
      <x:c r="C127" s="16" t="str">
        <x:v>ШНУР 1-1С 30 Г 6467-79</x:v>
      </x:c>
      <x:c r="D127" s="16" t="str">
        <x:v>Проч резино-тех изд</x:v>
      </x:c>
      <x:c r="E127" s="16" t="str">
        <x:v>КГ</x:v>
      </x:c>
      <x:c r="F127" s="26" t="n">
        <x:v>25.44</x:v>
      </x:c>
      <x:c r="G127" s="17" t="n">
        <x:v>54.48519999999999</x:v>
      </x:c>
      <x:c r="H127" s="17" t="n">
        <x:f>G127*F127</x:f>
        <x:v>1386.103488</x:v>
      </x:c>
      <x:c r="I127" s="22" t="str">
        <x:f>HYPERLINK("https://etp-aktiv.ru/catalog/materialy/rezino-tekhnicheskie-izdeliya/2000648329-V116/","Открыть позицию")</x:f>
        <x:v>Открыть позицию</x:v>
      </x:c>
    </x:row>
    <x:row r="128" ht="28" customHeight="1">
      <x:c r="A128" s="16" t="str">
        <x:v>Красноярская ГРЭС-2</x:v>
      </x:c>
      <x:c r="B128" s="16" t="str">
        <x:v>2000648331-V116</x:v>
      </x:c>
      <x:c r="C128" s="16" t="str">
        <x:v>ШНУР 1-2С 14 Г 6467-79</x:v>
      </x:c>
      <x:c r="D128" s="16" t="str">
        <x:v>Проч резино-тех изд</x:v>
      </x:c>
      <x:c r="E128" s="16" t="str">
        <x:v>КГ</x:v>
      </x:c>
      <x:c r="F128" s="26" t="n">
        <x:v>2.5</x:v>
      </x:c>
      <x:c r="G128" s="17" t="n">
        <x:v>79.3732</x:v>
      </x:c>
      <x:c r="H128" s="17" t="n">
        <x:f>G128*F128</x:f>
        <x:v>198.433</x:v>
      </x:c>
      <x:c r="I128" s="22" t="str">
        <x:f>HYPERLINK("https://etp-aktiv.ru/catalog/materialy/rezino-tekhnicheskie-izdeliya/2000648331-V116/","Открыть позицию")</x:f>
        <x:v>Открыть позицию</x:v>
      </x:c>
    </x:row>
    <x:row r="129" ht="28" customHeight="1">
      <x:c r="A129" s="16" t="str">
        <x:v>Красноярская ГРЭС-2</x:v>
      </x:c>
      <x:c r="B129" s="16" t="str">
        <x:v>2000648336-V116</x:v>
      </x:c>
      <x:c r="C129" s="16" t="str">
        <x:v>ШНУР 1-2С D15 ГОСТ6467-79</x:v>
      </x:c>
      <x:c r="D129" s="16" t="str">
        <x:v>Проч резино-тех изд</x:v>
      </x:c>
      <x:c r="E129" s="16" t="str">
        <x:v>КГ</x:v>
      </x:c>
      <x:c r="F129" s="30" t="n">
        <x:v>0.8</x:v>
      </x:c>
      <x:c r="G129" s="17" t="n">
        <x:v>110.5564</x:v>
      </x:c>
      <x:c r="H129" s="17" t="n">
        <x:f>G129*F129</x:f>
        <x:v>88.44512</x:v>
      </x:c>
      <x:c r="I129" s="22" t="str">
        <x:f>HYPERLINK("https://etp-aktiv.ru/catalog/materialy/rezino-tekhnicheskie-izdeliya/2000648336-V116/","Открыть позицию")</x:f>
        <x:v>Открыть позицию</x:v>
      </x:c>
    </x:row>
    <x:row r="130" ht="28" customHeight="1">
      <x:c r="A130" s="16" t="str">
        <x:v>Красноярская ГРЭС-2</x:v>
      </x:c>
      <x:c r="B130" s="16" t="str">
        <x:v>2000648338-V116</x:v>
      </x:c>
      <x:c r="C130" s="16" t="str">
        <x:v>ШНУР 1-4С 14 ГОСТ6467-78</x:v>
      </x:c>
      <x:c r="D130" s="16" t="str">
        <x:v>Проч резино-тех изд</x:v>
      </x:c>
      <x:c r="E130" s="16" t="str">
        <x:v>КГ</x:v>
      </x:c>
      <x:c r="F130" s="26" t="n">
        <x:v>4.6</x:v>
      </x:c>
      <x:c r="G130" s="17" t="n">
        <x:v>157.4044</x:v>
      </x:c>
      <x:c r="H130" s="17" t="n">
        <x:f>G130*F130</x:f>
        <x:v>724.06024</x:v>
      </x:c>
      <x:c r="I130" s="22" t="str">
        <x:f>HYPERLINK("https://etp-aktiv.ru/catalog/materialy/rezino-tekhnicheskie-izdeliya/2000648338-V116/","Открыть позицию")</x:f>
        <x:v>Открыть позицию</x:v>
      </x:c>
    </x:row>
    <x:row r="131" ht="28" customHeight="1">
      <x:c r="A131" s="16" t="str">
        <x:v>Красноярская ГРЭС-2</x:v>
      </x:c>
      <x:c r="B131" s="16" t="str">
        <x:v>2000648340-V116</x:v>
      </x:c>
      <x:c r="C131" s="16" t="str">
        <x:v>ШНУР 1-4С 28 Г6467</x:v>
      </x:c>
      <x:c r="D131" s="16" t="str">
        <x:v>Проч резино-тех изд</x:v>
      </x:c>
      <x:c r="E131" s="16" t="str">
        <x:v>КГ</x:v>
      </x:c>
      <x:c r="F131" s="26" t="n">
        <x:v>28.8</x:v>
      </x:c>
      <x:c r="G131" s="17" t="n">
        <x:v>55.3392</x:v>
      </x:c>
      <x:c r="H131" s="17" t="n">
        <x:f>G131*F131</x:f>
        <x:v>1593.7689599999999</x:v>
      </x:c>
      <x:c r="I131" s="22" t="str">
        <x:f>HYPERLINK("https://etp-aktiv.ru/catalog/materialy/rezino-tekhnicheskie-izdeliya/2000648340-V116/","Открыть позицию")</x:f>
        <x:v>Открыть позицию</x:v>
      </x:c>
    </x:row>
    <x:row r="132" ht="28" customHeight="1">
      <x:c r="A132" s="16" t="str">
        <x:v>Красноярская ГРЭС-2</x:v>
      </x:c>
      <x:c r="B132" s="16" t="str">
        <x:v>2000629891-V116</x:v>
      </x:c>
      <x:c r="C132" s="16" t="str">
        <x:v>ШНУР 1-5С 10*10 ГОСТ6467-79</x:v>
      </x:c>
      <x:c r="D132" s="16" t="str">
        <x:v>Проч резино-тех изд</x:v>
      </x:c>
      <x:c r="E132" s="16" t="str">
        <x:v>КГ</x:v>
      </x:c>
      <x:c r="F132" s="26" t="n">
        <x:v>42.5</x:v>
      </x:c>
      <x:c r="G132" s="17" t="n">
        <x:v>64.55019999999999</x:v>
      </x:c>
      <x:c r="H132" s="17" t="n">
        <x:f>G132*F132</x:f>
        <x:v>2743.3834999999995</x:v>
      </x:c>
      <x:c r="I132" s="22" t="str">
        <x:f>HYPERLINK("https://etp-aktiv.ru/catalog/materialy/rezino-tekhnicheskie-izdeliya/2000629891-V116/","Открыть позицию")</x:f>
        <x:v>Открыть позицию</x:v>
      </x:c>
    </x:row>
    <x:row r="133" ht="28" customHeight="1">
      <x:c r="A133" s="16" t="str">
        <x:v>Красноярская ГРЭС-2</x:v>
      </x:c>
      <x:c r="B133" s="16" t="str">
        <x:v>2000458223-V116</x:v>
      </x:c>
      <x:c r="C133" s="16" t="str">
        <x:v>ШНУР 1-5С D12ММ ГОСТ6467-79</x:v>
      </x:c>
      <x:c r="D133" s="16" t="str">
        <x:v>Проч резино-тех изд</x:v>
      </x:c>
      <x:c r="E133" s="16" t="str">
        <x:v>КГ</x:v>
      </x:c>
      <x:c r="F133" s="21" t="n">
        <x:v>3</x:v>
      </x:c>
      <x:c r="G133" s="17" t="n">
        <x:v>88.30359999999999</x:v>
      </x:c>
      <x:c r="H133" s="17" t="n">
        <x:f>G133*F133</x:f>
        <x:v>264.9108</x:v>
      </x:c>
      <x:c r="I133" s="22" t="str">
        <x:f>HYPERLINK("https://etp-aktiv.ru/catalog/materialy/rezino-tekhnicheskie-izdeliya/2000458223-V116/","Открыть позицию")</x:f>
        <x:v>Открыть позицию</x:v>
      </x:c>
    </x:row>
    <x:row r="134" ht="28" customHeight="1">
      <x:c r="A134" s="16" t="str">
        <x:v>Красноярская ГРЭС-2</x:v>
      </x:c>
      <x:c r="B134" s="16" t="str">
        <x:v>2000648328-V116</x:v>
      </x:c>
      <x:c r="C134" s="16" t="str">
        <x:v>ШНУР 10-5Р-129 ТУ 38.105108-76</x:v>
      </x:c>
      <x:c r="D134" s="16" t="str">
        <x:v>Проч резино-тех изд</x:v>
      </x:c>
      <x:c r="E134" s="16" t="str">
        <x:v>КГ</x:v>
      </x:c>
      <x:c r="F134" s="26" t="n">
        <x:v>24.2</x:v>
      </x:c>
      <x:c r="G134" s="17" t="n">
        <x:v>420.68039999999996</x:v>
      </x:c>
      <x:c r="H134" s="17" t="n">
        <x:f>G134*F134</x:f>
        <x:v>10180.46568</x:v>
      </x:c>
      <x:c r="I134" s="22" t="str">
        <x:f>HYPERLINK("https://etp-aktiv.ru/catalog/materialy/rezino-tekhnicheskie-izdeliya/2000648328-V116/","Открыть позицию")</x:f>
        <x:v>Открыть позицию</x:v>
      </x:c>
    </x:row>
    <x:row r="135" ht="28" customHeight="1">
      <x:c r="A135" s="16" t="str">
        <x:v>Красноярская ГРЭС-2</x:v>
      </x:c>
      <x:c r="B135" s="16" t="str">
        <x:v>2000546915-V116</x:v>
      </x:c>
      <x:c r="C135" s="16" t="str">
        <x:v>ШНУР 12*12ММ 51-2062 ТУ.38105108-76</x:v>
      </x:c>
      <x:c r="D135" s="16" t="str">
        <x:v>Проч резино-тех изд</x:v>
      </x:c>
      <x:c r="E135" s="16" t="str">
        <x:v>КГ</x:v>
      </x:c>
      <x:c r="F135" s="26" t="n">
        <x:v>161.49</x:v>
      </x:c>
      <x:c r="G135" s="17" t="n">
        <x:v>195.81</x:v>
      </x:c>
      <x:c r="H135" s="17" t="n">
        <x:f>G135*F135</x:f>
        <x:v>31621.356900000002</x:v>
      </x:c>
      <x:c r="I135" s="22" t="str">
        <x:f>HYPERLINK("https://etp-aktiv.ru/catalog/materialy/rezino-tekhnicheskie-izdeliya/2000546915-V116/","Открыть позицию")</x:f>
        <x:v>Открыть позицию</x:v>
      </x:c>
    </x:row>
    <x:row r="136" ht="28" customHeight="1">
      <x:c r="A136" s="16" t="str">
        <x:v>Красноярская ГРЭС-2</x:v>
      </x:c>
      <x:c r="B136" s="16" t="str">
        <x:v>2000641535-V116</x:v>
      </x:c>
      <x:c r="C136" s="16" t="str">
        <x:v>ШНУР 14Х14-7889 ТУ 38.105108-76</x:v>
      </x:c>
      <x:c r="D136" s="16" t="str">
        <x:v>Проч резино-тех изд</x:v>
      </x:c>
      <x:c r="E136" s="16" t="str">
        <x:v>КГ</x:v>
      </x:c>
      <x:c r="F136" s="26" t="n">
        <x:v>31.42</x:v>
      </x:c>
      <x:c r="G136" s="17" t="n">
        <x:v>76.1646</x:v>
      </x:c>
      <x:c r="H136" s="17" t="n">
        <x:f>G136*F136</x:f>
        <x:v>2393.091732</x:v>
      </x:c>
      <x:c r="I136" s="22" t="str">
        <x:f>HYPERLINK("https://etp-aktiv.ru/catalog/materialy/rezino-tekhnicheskie-izdeliya/2000641535-V116/","Открыть позицию")</x:f>
        <x:v>Открыть позицию</x:v>
      </x:c>
    </x:row>
    <x:row r="137" ht="28" customHeight="1">
      <x:c r="A137" s="16" t="str">
        <x:v>Красноярская ГРЭС-2</x:v>
      </x:c>
      <x:c r="B137" s="16" t="str">
        <x:v>2000720730-V116</x:v>
      </x:c>
      <x:c r="C137" s="16" t="str">
        <x:v>ШНУР 2-2С D14ММ ГОСТ6467-79</x:v>
      </x:c>
      <x:c r="D137" s="16" t="str">
        <x:v>Проч резино-тех изд</x:v>
      </x:c>
      <x:c r="E137" s="16" t="str">
        <x:v>КГ</x:v>
      </x:c>
      <x:c r="F137" s="26" t="n">
        <x:v>5.965</x:v>
      </x:c>
      <x:c r="G137" s="17" t="n">
        <x:v>239.2176</x:v>
      </x:c>
      <x:c r="H137" s="17" t="n">
        <x:f>G137*F137</x:f>
        <x:v>1426.932984</x:v>
      </x:c>
      <x:c r="I137" s="22" t="str">
        <x:f>HYPERLINK("https://etp-aktiv.ru/catalog/materialy/rezino-tekhnicheskie-izdeliya/2000720730-V116/","Открыть позицию")</x:f>
        <x:v>Открыть позицию</x:v>
      </x:c>
    </x:row>
    <x:row r="138" ht="28" customHeight="1">
      <x:c r="A138" s="16" t="str">
        <x:v>Красноярская ГРЭС-2</x:v>
      </x:c>
      <x:c r="B138" s="16" t="str">
        <x:v>2000648344-V116</x:v>
      </x:c>
      <x:c r="C138" s="16" t="str">
        <x:v>ШНУР 2-4С 22 Г 6467-79</x:v>
      </x:c>
      <x:c r="D138" s="16" t="str">
        <x:v>Проч резино-тех изд</x:v>
      </x:c>
      <x:c r="E138" s="16" t="str">
        <x:v>КГ</x:v>
      </x:c>
      <x:c r="F138" s="26" t="n">
        <x:v>8.4</x:v>
      </x:c>
      <x:c r="G138" s="17" t="n">
        <x:v>139.7998</x:v>
      </x:c>
      <x:c r="H138" s="17" t="n">
        <x:f>G138*F138</x:f>
        <x:v>1174.31832</x:v>
      </x:c>
      <x:c r="I138" s="22" t="str">
        <x:f>HYPERLINK("https://etp-aktiv.ru/catalog/materialy/rezino-tekhnicheskie-izdeliya/2000648344-V116/","Открыть позицию")</x:f>
        <x:v>Открыть позицию</x:v>
      </x:c>
    </x:row>
    <x:row r="139" ht="28" customHeight="1">
      <x:c r="A139" s="16" t="str">
        <x:v>Красноярская ГРЭС-2</x:v>
      </x:c>
      <x:c r="B139" s="16" t="str">
        <x:v>2000648345-V116</x:v>
      </x:c>
      <x:c r="C139" s="16" t="str">
        <x:v>ШНУР 2-4С 5 ГОСТ6467-79</x:v>
      </x:c>
      <x:c r="D139" s="16" t="str">
        <x:v>Проч резино-тех изд</x:v>
      </x:c>
      <x:c r="E139" s="16" t="str">
        <x:v>КГ</x:v>
      </x:c>
      <x:c r="F139" s="26" t="n">
        <x:v>7.94</x:v>
      </x:c>
      <x:c r="G139" s="17" t="n">
        <x:v>210.5598</x:v>
      </x:c>
      <x:c r="H139" s="17" t="n">
        <x:f>G139*F139</x:f>
        <x:v>1671.844812</x:v>
      </x:c>
      <x:c r="I139" s="22" t="str">
        <x:f>HYPERLINK("https://etp-aktiv.ru/catalog/materialy/rezino-tekhnicheskie-izdeliya/2000648345-V116/","Открыть позицию")</x:f>
        <x:v>Открыть позицию</x:v>
      </x:c>
    </x:row>
    <x:row r="140" ht="28" customHeight="1">
      <x:c r="A140" s="16" t="str">
        <x:v>Красноярская ГРЭС-2</x:v>
      </x:c>
      <x:c r="B140" s="16" t="str">
        <x:v>2000648346-V116</x:v>
      </x:c>
      <x:c r="C140" s="16" t="str">
        <x:v>ШНУР 2-4С 6 ГОСТ6467-79</x:v>
      </x:c>
      <x:c r="D140" s="16" t="str">
        <x:v>Проч резино-тех изд</x:v>
      </x:c>
      <x:c r="E140" s="16" t="str">
        <x:v>КГ</x:v>
      </x:c>
      <x:c r="F140" s="26" t="n">
        <x:v>37.345</x:v>
      </x:c>
      <x:c r="G140" s="17" t="n">
        <x:v>122.8784</x:v>
      </x:c>
      <x:c r="H140" s="17" t="n">
        <x:f>G140*F140</x:f>
        <x:v>4588.893848</x:v>
      </x:c>
      <x:c r="I140" s="22" t="str">
        <x:f>HYPERLINK("https://etp-aktiv.ru/catalog/materialy/rezino-tekhnicheskie-izdeliya/2000648346-V116/","Открыть позицию")</x:f>
        <x:v>Открыть позицию</x:v>
      </x:c>
    </x:row>
    <x:row r="141" ht="28" customHeight="1">
      <x:c r="A141" s="16" t="str">
        <x:v>Красноярская ГРЭС-2</x:v>
      </x:c>
      <x:c r="B141" s="16" t="str">
        <x:v>2000648347-V116</x:v>
      </x:c>
      <x:c r="C141" s="16" t="str">
        <x:v>ШНУР 2-4С 7 Г 6467-79</x:v>
      </x:c>
      <x:c r="D141" s="16" t="str">
        <x:v>Проч резино-тех изд</x:v>
      </x:c>
      <x:c r="E141" s="16" t="str">
        <x:v>КГ</x:v>
      </x:c>
      <x:c r="F141" s="21" t="n">
        <x:v>4</x:v>
      </x:c>
      <x:c r="G141" s="17" t="n">
        <x:v>67.8564</x:v>
      </x:c>
      <x:c r="H141" s="17" t="n">
        <x:f>G141*F141</x:f>
        <x:v>271.4256</x:v>
      </x:c>
      <x:c r="I141" s="22" t="str">
        <x:f>HYPERLINK("https://etp-aktiv.ru/catalog/materialy/rezino-tekhnicheskie-izdeliya/2000648347-V116/","Открыть позицию")</x:f>
        <x:v>Открыть позицию</x:v>
      </x:c>
    </x:row>
    <x:row r="142" ht="28" customHeight="1">
      <x:c r="A142" s="16" t="str">
        <x:v>Красноярская ГРЭС-2</x:v>
      </x:c>
      <x:c r="B142" s="16" t="str">
        <x:v>2000648348-V116</x:v>
      </x:c>
      <x:c r="C142" s="16" t="str">
        <x:v>ШНУР 2-4С 8 ГОСТ6467-79</x:v>
      </x:c>
      <x:c r="D142" s="16" t="str">
        <x:v>Проч резино-тех изд</x:v>
      </x:c>
      <x:c r="E142" s="16" t="str">
        <x:v>КГ</x:v>
      </x:c>
      <x:c r="F142" s="26" t="n">
        <x:v>37.62</x:v>
      </x:c>
      <x:c r="G142" s="17" t="n">
        <x:v>235.6186</x:v>
      </x:c>
      <x:c r="H142" s="17" t="n">
        <x:f>G142*F142</x:f>
        <x:v>8863.971731999998</x:v>
      </x:c>
      <x:c r="I142" s="22" t="str">
        <x:f>HYPERLINK("https://etp-aktiv.ru/catalog/materialy/rezino-tekhnicheskie-izdeliya/2000648348-V116/","Открыть позицию")</x:f>
        <x:v>Открыть позицию</x:v>
      </x:c>
    </x:row>
    <x:row r="143" ht="28" customHeight="1">
      <x:c r="A143" s="16" t="str">
        <x:v>Красноярская ГРЭС-2</x:v>
      </x:c>
      <x:c r="B143" s="16" t="str">
        <x:v>2000648351-V116</x:v>
      </x:c>
      <x:c r="C143" s="16" t="str">
        <x:v>ШНУР 6 ИРП 1338 ТУ 38.105.1165-90</x:v>
      </x:c>
      <x:c r="D143" s="16" t="str">
        <x:v>Проч резино-тех изд</x:v>
      </x:c>
      <x:c r="E143" s="16" t="str">
        <x:v>КГ</x:v>
      </x:c>
      <x:c r="F143" s="26" t="n">
        <x:v>2.5</x:v>
      </x:c>
      <x:c r="G143" s="17" t="n">
        <x:v>644.4771999999999</x:v>
      </x:c>
      <x:c r="H143" s="17" t="n">
        <x:f>G143*F143</x:f>
        <x:v>1611.1929999999998</x:v>
      </x:c>
      <x:c r="I143" s="22" t="str">
        <x:f>HYPERLINK("https://etp-aktiv.ru/catalog/materialy/rezino-tekhnicheskie-izdeliya/2000648351-V116/","Открыть позицию")</x:f>
        <x:v>Открыть позицию</x:v>
      </x:c>
    </x:row>
    <x:row r="144" ht="28" customHeight="1">
      <x:c r="A144" s="16" t="str">
        <x:v>Красноярская ГРЭС-2</x:v>
      </x:c>
      <x:c r="B144" s="16" t="str">
        <x:v>2000987366-V116</x:v>
      </x:c>
      <x:c r="C144" s="16" t="str">
        <x:v>ШНУР D4ММ 5Р-129 ТУ38.1051165-90</x:v>
      </x:c>
      <x:c r="D144" s="16" t="str">
        <x:v>Проч резино-тех изд</x:v>
      </x:c>
      <x:c r="E144" s="16" t="str">
        <x:v>КГ</x:v>
      </x:c>
      <x:c r="F144" s="26" t="n">
        <x:v>13.99</x:v>
      </x:c>
      <x:c r="G144" s="17" t="n">
        <x:v>1006.8904</x:v>
      </x:c>
      <x:c r="H144" s="17" t="n">
        <x:f>G144*F144</x:f>
        <x:v>14086.396696</x:v>
      </x:c>
      <x:c r="I144" s="22" t="str">
        <x:f>HYPERLINK("https://etp-aktiv.ru/catalog/materialy/rezino-tekhnicheskie-izdeliya/2000987366-V116/","Открыть позицию")</x:f>
        <x:v>Открыть позицию</x:v>
      </x:c>
    </x:row>
    <x:row r="145" ht="28" customHeight="1">
      <x:c r="A145" s="16" t="str">
        <x:v>Красноярская ГРЭС-2</x:v>
      </x:c>
      <x:c r="B145" s="16" t="str">
        <x:v>2000178670-V116</x:v>
      </x:c>
      <x:c r="C145" s="16" t="str">
        <x:v>ШНУР ИРП-1338 D8ММ ТУ38.105.1165-90</x:v>
      </x:c>
      <x:c r="D145" s="16" t="str">
        <x:v>Проч резино-тех изд</x:v>
      </x:c>
      <x:c r="E145" s="16" t="str">
        <x:v>КГ</x:v>
      </x:c>
      <x:c r="F145" s="26" t="n">
        <x:v>18.46</x:v>
      </x:c>
      <x:c r="G145" s="17" t="n">
        <x:v>1117.9714</x:v>
      </x:c>
      <x:c r="H145" s="17" t="n">
        <x:f>G145*F145</x:f>
        <x:v>20637.752044</x:v>
      </x:c>
      <x:c r="I145" s="22" t="str">
        <x:f>HYPERLINK("https://etp-aktiv.ru/catalog/materialy/rezino-tekhnicheskie-izdeliya/2000178670-V116/","Открыть позицию")</x:f>
        <x:v>Открыть позицию</x:v>
      </x:c>
    </x:row>
    <x:row r="146" ht="28" customHeight="1">
      <x:c r="A146" s="16" t="str">
        <x:v>Красноярская ГРЭС-2</x:v>
      </x:c>
      <x:c r="B146" s="16" t="str">
        <x:v>2000146941-V116</x:v>
      </x:c>
      <x:c r="C146" s="16" t="str">
        <x:v>ШНУР МБС 4С D6ММ ГОСТ6467-79</x:v>
      </x:c>
      <x:c r="D146" s="16" t="str">
        <x:v>Проч резино-тех изд</x:v>
      </x:c>
      <x:c r="E146" s="16" t="str">
        <x:v>КГ</x:v>
      </x:c>
      <x:c r="F146" s="30" t="n">
        <x:v>0.5</x:v>
      </x:c>
      <x:c r="G146" s="17" t="n">
        <x:v>230.23839999999998</x:v>
      </x:c>
      <x:c r="H146" s="17" t="n">
        <x:f>G146*F146</x:f>
        <x:v>115.11919999999999</x:v>
      </x:c>
      <x:c r="I146" s="22" t="str">
        <x:f>HYPERLINK("https://etp-aktiv.ru/catalog/materialy/rezino-tekhnicheskie-izdeliya/2000146941-V116/","Открыть позицию")</x:f>
        <x:v>Открыть позицию</x:v>
      </x:c>
    </x:row>
    <x:row r="147" ht="28" customHeight="1">
      <x:c r="A147" s="16" t="str">
        <x:v>Красноярская ГРЭС-2</x:v>
      </x:c>
      <x:c r="B147" s="16" t="str">
        <x:v>2000146458-V116</x:v>
      </x:c>
      <x:c r="C147" s="16" t="str">
        <x:v>ШНУР МБС 5ММ ГОСТ6467-79</x:v>
      </x:c>
      <x:c r="D147" s="16" t="str">
        <x:v>Проч резино-тех изд</x:v>
      </x:c>
      <x:c r="E147" s="16" t="str">
        <x:v>КГ</x:v>
      </x:c>
      <x:c r="F147" s="30" t="n">
        <x:v>0.55</x:v>
      </x:c>
      <x:c r="G147" s="17" t="n">
        <x:v>188.246</x:v>
      </x:c>
      <x:c r="H147" s="17" t="n">
        <x:f>G147*F147</x:f>
        <x:v>103.5353</x:v>
      </x:c>
      <x:c r="I147" s="22" t="str">
        <x:f>HYPERLINK("https://etp-aktiv.ru/catalog/materialy/rezino-tekhnicheskie-izdeliya/2000146458-V116/","Открыть позицию")</x:f>
        <x:v>Открыть позицию</x:v>
      </x:c>
    </x:row>
    <x:row r="148" ht="28" customHeight="1">
      <x:c r="A148" s="16" t="str">
        <x:v>Красноярская ГРЭС-2</x:v>
      </x:c>
      <x:c r="B148" s="16" t="str">
        <x:v>2000546766-V116</x:v>
      </x:c>
      <x:c r="C148" s="16" t="str">
        <x:v>ШНУР РЕЗ 1,2C 8 ГОСТ6467-79</x:v>
      </x:c>
      <x:c r="D148" s="16" t="str">
        <x:v>Проч резино-тех изд</x:v>
      </x:c>
      <x:c r="E148" s="16" t="str">
        <x:v>КГ</x:v>
      </x:c>
      <x:c r="F148" s="30" t="n">
        <x:v>0.15</x:v>
      </x:c>
      <x:c r="G148" s="17" t="n">
        <x:v>85.7782</x:v>
      </x:c>
      <x:c r="H148" s="17" t="n">
        <x:f>G148*F148</x:f>
        <x:v>12.866729999999999</x:v>
      </x:c>
      <x:c r="I148" s="22" t="str">
        <x:f>HYPERLINK("https://etp-aktiv.ru/catalog/materialy/rezino-tekhnicheskie-izdeliya/2000546766-V116/","Открыть позицию")</x:f>
        <x:v>Открыть позицию</x:v>
      </x:c>
    </x:row>
    <x:row r="149" ht="28" customHeight="1">
      <x:c r="A149" s="16" t="str">
        <x:v>Красноярская ГРЭС-2</x:v>
      </x:c>
      <x:c r="B149" s="16" t="str">
        <x:v>2000591059-V116</x:v>
      </x:c>
      <x:c r="C149" s="16" t="str">
        <x:v>ШНУР РЕЗ. D9ММ ИРП-1338 ТУ38103321-76</x:v>
      </x:c>
      <x:c r="D149" s="16" t="str">
        <x:v>Проч резино-тех изд</x:v>
      </x:c>
      <x:c r="E149" s="16" t="str">
        <x:v>КГ</x:v>
      </x:c>
      <x:c r="F149" s="26" t="n">
        <x:v>2.053</x:v>
      </x:c>
      <x:c r="G149" s="17" t="n">
        <x:v>1145.7264</x:v>
      </x:c>
      <x:c r="H149" s="17" t="n">
        <x:f>G149*F149</x:f>
        <x:v>2352.1762992</x:v>
      </x:c>
      <x:c r="I149" s="22" t="str">
        <x:f>HYPERLINK("https://etp-aktiv.ru/catalog/materialy/rezino-tekhnicheskie-izdeliya/2000591059-V116/","Открыть позицию")</x:f>
        <x:v>Открыть позицию</x:v>
      </x:c>
    </x:row>
    <x:row r="150" ht="28" customHeight="1">
      <x:c r="A150" s="16" t="str">
        <x:v>Красноярская ГРЭС-2</x:v>
      </x:c>
      <x:c r="B150" s="16" t="str">
        <x:v>2000590456-V116</x:v>
      </x:c>
      <x:c r="C150" s="16" t="str">
        <x:v>ШНУР ШПРИЦ D10ММ 5Р-129 ТУ38.105.1165</x:v>
      </x:c>
      <x:c r="D150" s="16" t="str">
        <x:v>Проч резино-тех изд</x:v>
      </x:c>
      <x:c r="E150" s="16" t="str">
        <x:v>КГ</x:v>
      </x:c>
      <x:c r="F150" s="30" t="n">
        <x:v>0.5</x:v>
      </x:c>
      <x:c r="G150" s="17" t="n">
        <x:v>699.853</x:v>
      </x:c>
      <x:c r="H150" s="17" t="n">
        <x:f>G150*F150</x:f>
        <x:v>349.9265</x:v>
      </x:c>
      <x:c r="I150" s="22" t="str">
        <x:f>HYPERLINK("https://etp-aktiv.ru/catalog/materialy/rezino-tekhnicheskie-izdeliya/2000590456-V116/","Открыть позицию")</x:f>
        <x:v>Открыть позицию</x:v>
      </x:c>
    </x:row>
    <x:row r="151" ht="28" customHeight="1">
      <x:c r="A151" s="16" t="str">
        <x:v>Красноярская ТЭЦ-1</x:v>
      </x:c>
      <x:c r="B151" s="16" t="str">
        <x:v>2000553791-V119</x:v>
      </x:c>
      <x:c r="C151" s="16" t="str">
        <x:v>КЛИН РЕБРОВЫЙ ДВУСТ ШБ-45 ГОСТ8691</x:v>
      </x:c>
      <x:c r="D151" s="16" t="str">
        <x:v>Огнеупорные мат-лы</x:v>
      </x:c>
      <x:c r="E151" s="16" t="str">
        <x:v>Т</x:v>
      </x:c>
      <x:c r="F151" s="26" t="n">
        <x:v>15.306</x:v>
      </x:c>
      <x:c r="G151" s="17" t="n">
        <x:v>13117.744999999999</x:v>
      </x:c>
      <x:c r="H151" s="17" t="n">
        <x:f>G151*F151</x:f>
        <x:v>200780.20496999996</x:v>
      </x:c>
      <x:c r="I151" s="22" t="str">
        <x:f>HYPERLINK("https://etp-aktiv.ru/catalog/materialy/ogneupornye-materialy/2000553791-V119/","Открыть позицию")</x:f>
        <x:v>Открыть позицию</x:v>
      </x:c>
    </x:row>
    <x:row r="152" ht="28" customHeight="1">
      <x:c r="A152" s="16" t="str">
        <x:v>Красноярская ТЭЦ-1</x:v>
      </x:c>
      <x:c r="B152" s="16" t="str">
        <x:v>2000538941-V119</x:v>
      </x:c>
      <x:c r="C152" s="16" t="str">
        <x:v>КОЛЬЦО 00-В-Б (КГФ-Г-ПО) 170*145*15</x:v>
      </x:c>
      <x:c r="D152" s="16" t="str">
        <x:v>Асбо-технические изд</x:v>
      </x:c>
      <x:c r="E152" s="16" t="str">
        <x:v>ШТ</x:v>
      </x:c>
      <x:c r="F152" s="21" t="n">
        <x:v>15</x:v>
      </x:c>
      <x:c r="G152" s="17" t="n">
        <x:v>117.3518</x:v>
      </x:c>
      <x:c r="H152" s="17" t="n">
        <x:f>G152*F152</x:f>
        <x:v>1760.277</x:v>
      </x:c>
      <x:c r="I152" s="22" t="str">
        <x:f>HYPERLINK("https://etp-aktiv.ru/catalog/materialy/asbo-tekhnicheskie-izdeliya/2000538941-V119/","Открыть позицию")</x:f>
        <x:v>Открыть позицию</x:v>
      </x:c>
    </x:row>
    <x:row r="153" ht="28" customHeight="1">
      <x:c r="A153" s="16" t="str">
        <x:v>Красноярская ТЭЦ-1</x:v>
      </x:c>
      <x:c r="B153" s="16" t="str">
        <x:v>2000026699-V119</x:v>
      </x:c>
      <x:c r="C153" s="16" t="str">
        <x:v>КОЛЬЦО 075-081-36</x:v>
      </x:c>
      <x:c r="D153" s="16" t="str">
        <x:v>Проч резино-тех изд</x:v>
      </x:c>
      <x:c r="E153" s="16" t="str">
        <x:v>ШТ</x:v>
      </x:c>
      <x:c r="F153" s="21" t="n">
        <x:v>4</x:v>
      </x:c>
      <x:c r="G153" s="17" t="n">
        <x:v>4.0626</x:v>
      </x:c>
      <x:c r="H153" s="17" t="n">
        <x:f>G153*F153</x:f>
        <x:v>16.2504</x:v>
      </x:c>
      <x:c r="I153" s="22" t="str">
        <x:f>HYPERLINK("https://etp-aktiv.ru/catalog/materialy/rezino-tekhnicheskie-izdeliya/2000026699-V119/","Открыть позицию")</x:f>
        <x:v>Открыть позицию</x:v>
      </x:c>
    </x:row>
    <x:row r="154" ht="28" customHeight="1">
      <x:c r="A154" s="16" t="str">
        <x:v>Красноярская ТЭЦ-1</x:v>
      </x:c>
      <x:c r="B154" s="16" t="str">
        <x:v>2000539010-V119</x:v>
      </x:c>
      <x:c r="C154" s="16" t="str">
        <x:v>КОЛЬЦО КГФ-Г 30*18*6</x:v>
      </x:c>
      <x:c r="D154" s="16" t="str">
        <x:v>Асбо-технические изд</x:v>
      </x:c>
      <x:c r="E154" s="16" t="str">
        <x:v>ШТ</x:v>
      </x:c>
      <x:c r="F154" s="21" t="n">
        <x:v>109</x:v>
      </x:c>
      <x:c r="G154" s="17" t="n">
        <x:v>5.673</x:v>
      </x:c>
      <x:c r="H154" s="17" t="n">
        <x:f>G154*F154</x:f>
        <x:v>618.357</x:v>
      </x:c>
      <x:c r="I154" s="22" t="str">
        <x:f>HYPERLINK("https://etp-aktiv.ru/catalog/materialy/asbo-tekhnicheskie-izdeliya/2000539010-V119/","Открыть позицию")</x:f>
        <x:v>Открыть позицию</x:v>
      </x:c>
    </x:row>
    <x:row r="155" ht="28" customHeight="1">
      <x:c r="A155" s="16" t="str">
        <x:v>Красноярская ТЭЦ-1</x:v>
      </x:c>
      <x:c r="B155" s="16" t="str">
        <x:v>2000539031-V119</x:v>
      </x:c>
      <x:c r="C155" s="16" t="str">
        <x:v>КОЛЬЦО КГФ-Г-ПО 170*145*15</x:v>
      </x:c>
      <x:c r="D155" s="16" t="str">
        <x:v>Асбо-технические изд</x:v>
      </x:c>
      <x:c r="E155" s="16" t="str">
        <x:v>ШТ</x:v>
      </x:c>
      <x:c r="F155" s="21" t="n">
        <x:v>47</x:v>
      </x:c>
      <x:c r="G155" s="17" t="n">
        <x:v>139.0556</x:v>
      </x:c>
      <x:c r="H155" s="17" t="n">
        <x:f>G155*F155</x:f>
        <x:v>6535.6132</x:v>
      </x:c>
      <x:c r="I155" s="22" t="str">
        <x:f>HYPERLINK("https://etp-aktiv.ru/catalog/materialy/asbo-tekhnicheskie-izdeliya/2000539031-V119/","Открыть позицию")</x:f>
        <x:v>Открыть позицию</x:v>
      </x:c>
    </x:row>
    <x:row r="156" ht="28" customHeight="1">
      <x:c r="A156" s="16" t="str">
        <x:v>Красноярская ТЭЦ-1</x:v>
      </x:c>
      <x:c r="B156" s="16" t="str">
        <x:v>2000539036-V119</x:v>
      </x:c>
      <x:c r="C156" s="16" t="str">
        <x:v>КОЛЬЦО КГФ-Г-С 62*36*13</x:v>
      </x:c>
      <x:c r="D156" s="16" t="str">
        <x:v>Асбо-технические изд</x:v>
      </x:c>
      <x:c r="E156" s="16" t="str">
        <x:v>ШТ</x:v>
      </x:c>
      <x:c r="F156" s="21" t="n">
        <x:v>142</x:v>
      </x:c>
      <x:c r="G156" s="17" t="n">
        <x:v>103.18759999999999</x:v>
      </x:c>
      <x:c r="H156" s="17" t="n">
        <x:f>G156*F156</x:f>
        <x:v>14652.639199999998</x:v>
      </x:c>
      <x:c r="I156" s="22" t="str">
        <x:f>HYPERLINK("https://etp-aktiv.ru/catalog/materialy/asbo-tekhnicheskie-izdeliya/2000539036-V119/","Открыть позицию")</x:f>
        <x:v>Открыть позицию</x:v>
      </x:c>
    </x:row>
    <x:row r="157" ht="28" customHeight="1">
      <x:c r="A157" s="16" t="str">
        <x:v>Красноярская ТЭЦ-1</x:v>
      </x:c>
      <x:c r="B157" s="16" t="str">
        <x:v>2000594463-V119</x:v>
      </x:c>
      <x:c r="C157" s="16" t="str">
        <x:v>КОЛЬЦО РЕЗИН 200-215-85-2-3 ГОСТ18829</x:v>
      </x:c>
      <x:c r="D157" s="16" t="str">
        <x:v>Проч резино-тех изд</x:v>
      </x:c>
      <x:c r="E157" s="16" t="str">
        <x:v>ШТ</x:v>
      </x:c>
      <x:c r="F157" s="21" t="n">
        <x:v>3</x:v>
      </x:c>
      <x:c r="G157" s="17" t="n">
        <x:v>60.085</x:v>
      </x:c>
      <x:c r="H157" s="17" t="n">
        <x:f>G157*F157</x:f>
        <x:v>180.255</x:v>
      </x:c>
      <x:c r="I157" s="22" t="str">
        <x:f>HYPERLINK("https://etp-aktiv.ru/catalog/materialy/rezino-tekhnicheskie-izdeliya/2000594463-V119/","Открыть позицию")</x:f>
        <x:v>Открыть позицию</x:v>
      </x:c>
    </x:row>
    <x:row r="158" ht="28" customHeight="1">
      <x:c r="A158" s="16" t="str">
        <x:v>Красноярская ТЭЦ-1</x:v>
      </x:c>
      <x:c r="B158" s="16" t="str">
        <x:v>2000000191-V119</x:v>
      </x:c>
      <x:c r="C158" s="16" t="str">
        <x:v>КОЛЬЦО УПЛОТНИТЕЛЬНОЕ 065-075-58-2-2</x:v>
      </x:c>
      <x:c r="D158" s="16" t="str">
        <x:v>Проч резино-тех изд</x:v>
      </x:c>
      <x:c r="E158" s="16" t="str">
        <x:v>ШТ</x:v>
      </x:c>
      <x:c r="F158" s="21" t="n">
        <x:v>18</x:v>
      </x:c>
      <x:c r="G158" s="17" t="n">
        <x:v>21.447599999999998</x:v>
      </x:c>
      <x:c r="H158" s="17" t="n">
        <x:f>G158*F158</x:f>
        <x:v>386.05679999999995</x:v>
      </x:c>
      <x:c r="I158" s="22" t="str">
        <x:f>HYPERLINK("https://etp-aktiv.ru/catalog/materialy/rezino-tekhnicheskie-izdeliya/2000000191-V119/","Открыть позицию")</x:f>
        <x:v>Открыть позицию</x:v>
      </x:c>
    </x:row>
    <x:row r="159" ht="28" customHeight="1">
      <x:c r="A159" s="16" t="str">
        <x:v>Красноярская ТЭЦ-1</x:v>
      </x:c>
      <x:c r="B159" s="16" t="str">
        <x:v>2000176981-V119</x:v>
      </x:c>
      <x:c r="C159" s="16" t="str">
        <x:v>ЛЕНТА ЛЭСБ 0,2*20ММ</x:v>
      </x:c>
      <x:c r="D159" s="16" t="str">
        <x:v>Э/изоляцион мат-лы</x:v>
      </x:c>
      <x:c r="E159" s="16" t="str">
        <x:v>ПМ</x:v>
      </x:c>
      <x:c r="F159" s="21" t="n">
        <x:v>978</x:v>
      </x:c>
      <x:c r="G159" s="17" t="n">
        <x:v>1.0614</x:v>
      </x:c>
      <x:c r="H159" s="17" t="n">
        <x:f>G159*F159</x:f>
        <x:v>1038.0492</x:v>
      </x:c>
      <x:c r="I159" s="22" t="str">
        <x:f>HYPERLINK("https://etp-aktiv.ru/catalog/materialy/ehlektroizolyacionnye-materialy/2000176981-V119/","Открыть позицию")</x:f>
        <x:v>Открыть позицию</x:v>
      </x:c>
    </x:row>
    <x:row r="160" ht="28" customHeight="1">
      <x:c r="A160" s="16" t="str">
        <x:v>Красноярская ТЭЦ-1</x:v>
      </x:c>
      <x:c r="B160" s="16" t="str">
        <x:v>2000169437-V119</x:v>
      </x:c>
      <x:c r="C160" s="16" t="str">
        <x:v>ЛЕНТА ФТОРОПЛ ЭО Ф-4 0,02*30 ГОСТ24222</x:v>
      </x:c>
      <x:c r="D160" s="16" t="str">
        <x:v>Э/изоляцион мат-лы</x:v>
      </x:c>
      <x:c r="E160" s="16" t="str">
        <x:v>КГ</x:v>
      </x:c>
      <x:c r="F160" s="21" t="n">
        <x:v>44</x:v>
      </x:c>
      <x:c r="G160" s="17" t="n">
        <x:v>1409.0634</x:v>
      </x:c>
      <x:c r="H160" s="17" t="n">
        <x:f>G160*F160</x:f>
        <x:v>61998.789600000004</x:v>
      </x:c>
      <x:c r="I160" s="22" t="str">
        <x:f>HYPERLINK("https://etp-aktiv.ru/catalog/materialy/ehlektroizolyacionnye-materialy/2000169437-V119/","Открыть позицию")</x:f>
        <x:v>Открыть позицию</x:v>
      </x:c>
    </x:row>
    <x:row r="161" ht="28" customHeight="1">
      <x:c r="A161" s="16" t="str">
        <x:v>Красноярская ТЭЦ-1</x:v>
      </x:c>
      <x:c r="B161" s="16" t="str">
        <x:v>2000699600-V119</x:v>
      </x:c>
      <x:c r="C161" s="16" t="str">
        <x:v>ЛИСТ 5*1000*1000 СКУ-7Л ТУ20.16.40.120-0</x:v>
      </x:c>
      <x:c r="D161" s="16" t="str">
        <x:v>Проч резино-тех изд</x:v>
      </x:c>
      <x:c r="E161" s="16" t="str">
        <x:v>ШТ</x:v>
      </x:c>
      <x:c r="F161" s="21" t="n">
        <x:v>3</x:v>
      </x:c>
      <x:c r="G161" s="17" t="n">
        <x:v>2896.0969999999998</x:v>
      </x:c>
      <x:c r="H161" s="17" t="n">
        <x:f>G161*F161</x:f>
        <x:v>8688.291</x:v>
      </x:c>
      <x:c r="I161" s="22" t="str">
        <x:f>HYPERLINK("https://etp-aktiv.ru/catalog/materialy/rezino-tekhnicheskie-izdeliya/2000699600-V119/","Открыть позицию")</x:f>
        <x:v>Открыть позицию</x:v>
      </x:c>
    </x:row>
    <x:row r="162" ht="28" customHeight="1">
      <x:c r="A162" s="16" t="str">
        <x:v>Красноярская ТЭЦ-1</x:v>
      </x:c>
      <x:c r="B162" s="16" t="str">
        <x:v>2000336512-V119</x:v>
      </x:c>
      <x:c r="C162" s="16" t="str">
        <x:v>МАНЖЕТА 1,1-35*58-1 ГОСТ8752-79</x:v>
      </x:c>
      <x:c r="D162" s="16" t="str">
        <x:v>Проч резино-тех изд</x:v>
      </x:c>
      <x:c r="E162" s="16" t="str">
        <x:v>ШТ</x:v>
      </x:c>
      <x:c r="F162" s="21" t="n">
        <x:v>20</x:v>
      </x:c>
      <x:c r="G162" s="17" t="n">
        <x:v>11.8218</x:v>
      </x:c>
      <x:c r="H162" s="17" t="n">
        <x:f>G162*F162</x:f>
        <x:v>236.43599999999998</x:v>
      </x:c>
      <x:c r="I162" s="22" t="str">
        <x:f>HYPERLINK("https://etp-aktiv.ru/catalog/materialy/rezino-tekhnicheskie-izdeliya/2000336512-V119/","Открыть позицию")</x:f>
        <x:v>Открыть позицию</x:v>
      </x:c>
    </x:row>
    <x:row r="163" ht="28" customHeight="1">
      <x:c r="A163" s="16" t="str">
        <x:v>Красноярская ТЭЦ-1</x:v>
      </x:c>
      <x:c r="B163" s="16" t="str">
        <x:v>2000160569-V119</x:v>
      </x:c>
      <x:c r="C163" s="16" t="str">
        <x:v>МАНЖЕТА 1,2-35*58-10 ГОСТ8752-79</x:v>
      </x:c>
      <x:c r="D163" s="16" t="str">
        <x:v>Проч резино-тех изд</x:v>
      </x:c>
      <x:c r="E163" s="16" t="str">
        <x:v>ШТ</x:v>
      </x:c>
      <x:c r="F163" s="21" t="n">
        <x:v>10</x:v>
      </x:c>
      <x:c r="G163" s="17" t="n">
        <x:v>78.48259999999999</x:v>
      </x:c>
      <x:c r="H163" s="17" t="n">
        <x:f>G163*F163</x:f>
        <x:v>784.8259999999999</x:v>
      </x:c>
      <x:c r="I163" s="22" t="str">
        <x:f>HYPERLINK("https://etp-aktiv.ru/catalog/materialy/rezino-tekhnicheskie-izdeliya/2000160569-V119/","Открыть позицию")</x:f>
        <x:v>Открыть позицию</x:v>
      </x:c>
    </x:row>
    <x:row r="164" ht="28" customHeight="1">
      <x:c r="A164" s="16" t="str">
        <x:v>Красноярская ТЭЦ-1</x:v>
      </x:c>
      <x:c r="B164" s="16" t="str">
        <x:v>2000125143-V119</x:v>
      </x:c>
      <x:c r="C164" s="16" t="str">
        <x:v>МАНЖЕТА 1-22*10-1 ГОСТ6969-54</x:v>
      </x:c>
      <x:c r="D164" s="16" t="str">
        <x:v>Проч резино-тех изд</x:v>
      </x:c>
      <x:c r="E164" s="16" t="str">
        <x:v>ШТ</x:v>
      </x:c>
      <x:c r="F164" s="21" t="n">
        <x:v>36</x:v>
      </x:c>
      <x:c r="G164" s="17" t="n">
        <x:v>67.0512</x:v>
      </x:c>
      <x:c r="H164" s="17" t="n">
        <x:f>G164*F164</x:f>
        <x:v>2413.8432</x:v>
      </x:c>
      <x:c r="I164" s="22" t="str">
        <x:f>HYPERLINK("https://etp-aktiv.ru/catalog/materialy/rezino-tekhnicheskie-izdeliya/2000125143-V119/","Открыть позицию")</x:f>
        <x:v>Открыть позицию</x:v>
      </x:c>
    </x:row>
    <x:row r="165" ht="28" customHeight="1">
      <x:c r="A165" s="16" t="str">
        <x:v>Красноярская ТЭЦ-1</x:v>
      </x:c>
      <x:c r="B165" s="16" t="str">
        <x:v>2000546743-V119</x:v>
      </x:c>
      <x:c r="C165" s="16" t="str">
        <x:v>МАНЖЕТА 12*24-1 ГОСТ22704-77</x:v>
      </x:c>
      <x:c r="D165" s="16" t="str">
        <x:v>Проч резино-тех изд</x:v>
      </x:c>
      <x:c r="E165" s="16" t="str">
        <x:v>ШТ</x:v>
      </x:c>
      <x:c r="F165" s="21" t="n">
        <x:v>118</x:v>
      </x:c>
      <x:c r="G165" s="17" t="n">
        <x:v>19.3126</x:v>
      </x:c>
      <x:c r="H165" s="17" t="n">
        <x:f>G165*F165</x:f>
        <x:v>2278.8867999999998</x:v>
      </x:c>
      <x:c r="I165" s="22" t="str">
        <x:f>HYPERLINK("https://etp-aktiv.ru/catalog/materialy/rezino-tekhnicheskie-izdeliya/2000546743-V119/","Открыть позицию")</x:f>
        <x:v>Открыть позицию</x:v>
      </x:c>
    </x:row>
    <x:row r="166" ht="28" customHeight="1">
      <x:c r="A166" s="16" t="str">
        <x:v>Красноярская ТЭЦ-1</x:v>
      </x:c>
      <x:c r="B166" s="16" t="str">
        <x:v>2000546736-V119</x:v>
      </x:c>
      <x:c r="C166" s="16" t="str">
        <x:v>МАНЖЕТА 2,1-140*170-1 ГОСТ8752-79</x:v>
      </x:c>
      <x:c r="D166" s="16" t="str">
        <x:v>Проч резино-тех изд</x:v>
      </x:c>
      <x:c r="E166" s="16" t="str">
        <x:v>ШТ</x:v>
      </x:c>
      <x:c r="F166" s="21" t="n">
        <x:v>4</x:v>
      </x:c>
      <x:c r="G166" s="17" t="n">
        <x:v>65.33099999999999</x:v>
      </x:c>
      <x:c r="H166" s="17" t="n">
        <x:f>G166*F166</x:f>
        <x:v>261.32399999999996</x:v>
      </x:c>
      <x:c r="I166" s="22" t="str">
        <x:f>HYPERLINK("https://etp-aktiv.ru/catalog/materialy/rezino-tekhnicheskie-izdeliya/2000546736-V119/","Открыть позицию")</x:f>
        <x:v>Открыть позицию</x:v>
      </x:c>
    </x:row>
    <x:row r="167" ht="28" customHeight="1">
      <x:c r="A167" s="16" t="str">
        <x:v>Красноярская ТЭЦ-1</x:v>
      </x:c>
      <x:c r="B167" s="16" t="str">
        <x:v>2000333559-V119</x:v>
      </x:c>
      <x:c r="C167" s="16" t="str">
        <x:v>МАНЖЕТА 2,2-50*75-10 ГОСТ8752-79</x:v>
      </x:c>
      <x:c r="D167" s="16" t="str">
        <x:v>Проч резино-тех изд</x:v>
      </x:c>
      <x:c r="E167" s="16" t="str">
        <x:v>ШТ</x:v>
      </x:c>
      <x:c r="F167" s="21" t="n">
        <x:v>8</x:v>
      </x:c>
      <x:c r="G167" s="17" t="n">
        <x:v>22.875</x:v>
      </x:c>
      <x:c r="H167" s="17" t="n">
        <x:f>G167*F167</x:f>
        <x:v>183</x:v>
      </x:c>
      <x:c r="I167" s="22" t="str">
        <x:f>HYPERLINK("https://etp-aktiv.ru/catalog/materialy/rezino-tekhnicheskie-izdeliya/2000333559-V119/","Открыть позицию")</x:f>
        <x:v>Открыть позицию</x:v>
      </x:c>
    </x:row>
    <x:row r="168" ht="28" customHeight="1">
      <x:c r="A168" s="16" t="str">
        <x:v>Красноярская ТЭЦ-1</x:v>
      </x:c>
      <x:c r="B168" s="16" t="str">
        <x:v>2000438372-V119</x:v>
      </x:c>
      <x:c r="C168" s="16" t="str">
        <x:v>МАНЖЕТА 2,2-75*100*12 ГОСТ8752-79</x:v>
      </x:c>
      <x:c r="D168" s="16" t="str">
        <x:v>Проч резино-тех изд</x:v>
      </x:c>
      <x:c r="E168" s="16" t="str">
        <x:v>ШТ</x:v>
      </x:c>
      <x:c r="F168" s="21" t="n">
        <x:v>3</x:v>
      </x:c>
      <x:c r="G168" s="17" t="n">
        <x:v>30.292599999999997</x:v>
      </x:c>
      <x:c r="H168" s="17" t="n">
        <x:f>G168*F168</x:f>
        <x:v>90.8778</x:v>
      </x:c>
      <x:c r="I168" s="22" t="str">
        <x:f>HYPERLINK("https://etp-aktiv.ru/catalog/materialy/rezino-tekhnicheskie-izdeliya/2000438372-V119/","Открыть позицию")</x:f>
        <x:v>Открыть позицию</x:v>
      </x:c>
    </x:row>
    <x:row r="169" ht="28" customHeight="1">
      <x:c r="A169" s="16" t="str">
        <x:v>Красноярская ТЭЦ-1</x:v>
      </x:c>
      <x:c r="B169" s="16" t="str">
        <x:v>2000789674-V119</x:v>
      </x:c>
      <x:c r="C169" s="16" t="str">
        <x:v>МАНЖЕТА 2.2-155*185*15 ГОСТ8752-79</x:v>
      </x:c>
      <x:c r="D169" s="16" t="str">
        <x:v>Проч резино-тех изд</x:v>
      </x:c>
      <x:c r="E169" s="16" t="str">
        <x:v>ШТ</x:v>
      </x:c>
      <x:c r="F169" s="21" t="n">
        <x:v>17</x:v>
      </x:c>
      <x:c r="G169" s="17" t="n">
        <x:v>642.2934</x:v>
      </x:c>
      <x:c r="H169" s="17" t="n">
        <x:f>G169*F169</x:f>
        <x:v>10918.9878</x:v>
      </x:c>
      <x:c r="I169" s="22" t="str">
        <x:f>HYPERLINK("https://etp-aktiv.ru/catalog/materialy/rezino-tekhnicheskie-izdeliya/2000789674-V119/","Открыть позицию")</x:f>
        <x:v>Открыть позицию</x:v>
      </x:c>
    </x:row>
    <x:row r="170" ht="28" customHeight="1">
      <x:c r="A170" s="16" t="str">
        <x:v>Красноярская ТЭЦ-1</x:v>
      </x:c>
      <x:c r="B170" s="16" t="str">
        <x:v>2000074267-V119</x:v>
      </x:c>
      <x:c r="C170" s="16" t="str">
        <x:v>МАНЖЕТА АРМИР 1,2-35*50-1 ГОСТ8752-79</x:v>
      </x:c>
      <x:c r="D170" s="16" t="str">
        <x:v>Проч резино-тех изд</x:v>
      </x:c>
      <x:c r="E170" s="16" t="str">
        <x:v>ШТ</x:v>
      </x:c>
      <x:c r="F170" s="21" t="n">
        <x:v>5</x:v>
      </x:c>
      <x:c r="G170" s="17" t="n">
        <x:v>13.6396</x:v>
      </x:c>
      <x:c r="H170" s="17" t="n">
        <x:f>G170*F170</x:f>
        <x:v>68.198</x:v>
      </x:c>
      <x:c r="I170" s="22" t="str">
        <x:f>HYPERLINK("https://etp-aktiv.ru/catalog/materialy/rezino-tekhnicheskie-izdeliya/2000074267-V119/","Открыть позицию")</x:f>
        <x:v>Открыть позицию</x:v>
      </x:c>
    </x:row>
    <x:row r="171" ht="28" customHeight="1">
      <x:c r="A171" s="16" t="str">
        <x:v>Красноярская ТЭЦ-1</x:v>
      </x:c>
      <x:c r="B171" s="16" t="str">
        <x:v>2000589429-V119</x:v>
      </x:c>
      <x:c r="C171" s="16" t="str">
        <x:v>МАНЖЕТА Ф-4 60*80 ГОСТ22704-77</x:v>
      </x:c>
      <x:c r="D171" s="16" t="str">
        <x:v>Проч резино-тех изд</x:v>
      </x:c>
      <x:c r="E171" s="16" t="str">
        <x:v>ШТ</x:v>
      </x:c>
      <x:c r="F171" s="21" t="n">
        <x:v>30</x:v>
      </x:c>
      <x:c r="G171" s="17" t="n">
        <x:v>232.4954</x:v>
      </x:c>
      <x:c r="H171" s="17" t="n">
        <x:f>G171*F171</x:f>
        <x:v>6974.862</x:v>
      </x:c>
      <x:c r="I171" s="22" t="str">
        <x:f>HYPERLINK("https://etp-aktiv.ru/catalog/materialy/rezino-tekhnicheskie-izdeliya/2000589429-V119/","Открыть позицию")</x:f>
        <x:v>Открыть позицию</x:v>
      </x:c>
    </x:row>
    <x:row r="172" ht="28" customHeight="1">
      <x:c r="A172" s="16" t="str">
        <x:v>Красноярская ТЭЦ-1</x:v>
      </x:c>
      <x:c r="B172" s="16" t="str">
        <x:v>2000157556-V119</x:v>
      </x:c>
      <x:c r="C172" s="16" t="str">
        <x:v>НАБИВКА АГИ 12*12ММ</x:v>
      </x:c>
      <x:c r="D172" s="16" t="str">
        <x:v>Асбо-технические изд</x:v>
      </x:c>
      <x:c r="E172" s="16" t="str">
        <x:v>КГ</x:v>
      </x:c>
      <x:c r="F172" s="26" t="n">
        <x:v>14.62</x:v>
      </x:c>
      <x:c r="G172" s="17" t="n">
        <x:v>184.68359999999998</x:v>
      </x:c>
      <x:c r="H172" s="17" t="n">
        <x:f>G172*F172</x:f>
        <x:v>2700.0742319999995</x:v>
      </x:c>
      <x:c r="I172" s="22" t="str">
        <x:f>HYPERLINK("https://etp-aktiv.ru/catalog/materialy/asbo-tekhnicheskie-izdeliya/2000157556-V119/","Открыть позицию")</x:f>
        <x:v>Открыть позицию</x:v>
      </x:c>
    </x:row>
    <x:row r="173" ht="28" customHeight="1">
      <x:c r="A173" s="16" t="str">
        <x:v>Красноярская ТЭЦ-1</x:v>
      </x:c>
      <x:c r="B173" s="16" t="str">
        <x:v>2000085271-V119</x:v>
      </x:c>
      <x:c r="C173" s="16" t="str">
        <x:v>НАБИВКА АГИ 6ММ</x:v>
      </x:c>
      <x:c r="D173" s="16" t="str">
        <x:v>Асбо-технические изд</x:v>
      </x:c>
      <x:c r="E173" s="16" t="str">
        <x:v>КГ</x:v>
      </x:c>
      <x:c r="F173" s="26" t="n">
        <x:v>21.05</x:v>
      </x:c>
      <x:c r="G173" s="17" t="n">
        <x:v>265.7282</x:v>
      </x:c>
      <x:c r="H173" s="17" t="n">
        <x:f>G173*F173</x:f>
        <x:v>5593.5786100000005</x:v>
      </x:c>
      <x:c r="I173" s="22" t="str">
        <x:f>HYPERLINK("https://etp-aktiv.ru/catalog/materialy/asbo-tekhnicheskie-izdeliya/2000085271-V119/","Открыть позицию")</x:f>
        <x:v>Открыть позицию</x:v>
      </x:c>
    </x:row>
    <x:row r="174" ht="28" customHeight="1">
      <x:c r="A174" s="16" t="str">
        <x:v>Красноярская ТЭЦ-1</x:v>
      </x:c>
      <x:c r="B174" s="16" t="str">
        <x:v>2000157605-V119</x:v>
      </x:c>
      <x:c r="C174" s="16" t="str">
        <x:v>НАБИВКА АГИ 8*8ММ</x:v>
      </x:c>
      <x:c r="D174" s="16" t="str">
        <x:v>Асбо-технические изд</x:v>
      </x:c>
      <x:c r="E174" s="16" t="str">
        <x:v>КГ</x:v>
      </x:c>
      <x:c r="F174" s="26" t="n">
        <x:v>29.405</x:v>
      </x:c>
      <x:c r="G174" s="17" t="n">
        <x:v>484.15700000000004</x:v>
      </x:c>
      <x:c r="H174" s="17" t="n">
        <x:f>G174*F174</x:f>
        <x:v>14236.636585000002</x:v>
      </x:c>
      <x:c r="I174" s="22" t="str">
        <x:f>HYPERLINK("https://etp-aktiv.ru/catalog/materialy/asbo-tekhnicheskie-izdeliya/2000157605-V119/","Открыть позицию")</x:f>
        <x:v>Открыть позицию</x:v>
      </x:c>
    </x:row>
    <x:row r="175" ht="28" customHeight="1">
      <x:c r="A175" s="16" t="str">
        <x:v>Красноярская ТЭЦ-1</x:v>
      </x:c>
      <x:c r="B175" s="16" t="str">
        <x:v>2000165147-V119</x:v>
      </x:c>
      <x:c r="C175" s="16" t="str">
        <x:v>НАБИВКА АПР-31 10*10ММ</x:v>
      </x:c>
      <x:c r="D175" s="16" t="str">
        <x:v>Асбо-технические изд</x:v>
      </x:c>
      <x:c r="E175" s="16" t="str">
        <x:v>КГ</x:v>
      </x:c>
      <x:c r="F175" s="26" t="n">
        <x:v>9.54</x:v>
      </x:c>
      <x:c r="G175" s="17" t="n">
        <x:v>373.6738</x:v>
      </x:c>
      <x:c r="H175" s="17" t="n">
        <x:f>G175*F175</x:f>
        <x:v>3564.848052</x:v>
      </x:c>
      <x:c r="I175" s="22" t="str">
        <x:f>HYPERLINK("https://etp-aktiv.ru/catalog/materialy/asbo-tekhnicheskie-izdeliya/2000165147-V119/","Открыть позицию")</x:f>
        <x:v>Открыть позицию</x:v>
      </x:c>
    </x:row>
    <x:row r="176" ht="28" customHeight="1">
      <x:c r="A176" s="16" t="str">
        <x:v>Красноярская ТЭЦ-1</x:v>
      </x:c>
      <x:c r="B176" s="16" t="str">
        <x:v>2000085272-V119</x:v>
      </x:c>
      <x:c r="C176" s="16" t="str">
        <x:v>НАБИВКА АПР-31 10ММ</x:v>
      </x:c>
      <x:c r="D176" s="16" t="str">
        <x:v>Асбо-технические изд</x:v>
      </x:c>
      <x:c r="E176" s="16" t="str">
        <x:v>КГ</x:v>
      </x:c>
      <x:c r="F176" s="26" t="n">
        <x:v>168.9</x:v>
      </x:c>
      <x:c r="G176" s="17" t="n">
        <x:v>380.83520000000004</x:v>
      </x:c>
      <x:c r="H176" s="17" t="n">
        <x:f>G176*F176</x:f>
        <x:v>64323.06528000001</x:v>
      </x:c>
      <x:c r="I176" s="22" t="str">
        <x:f>HYPERLINK("https://etp-aktiv.ru/catalog/materialy/asbo-tekhnicheskie-izdeliya/2000085272-V119/","Открыть позицию")</x:f>
        <x:v>Открыть позицию</x:v>
      </x:c>
    </x:row>
    <x:row r="177" ht="28" customHeight="1">
      <x:c r="A177" s="16" t="str">
        <x:v>Красноярская ТЭЦ-1</x:v>
      </x:c>
      <x:c r="B177" s="16" t="str">
        <x:v>2000165250-V119</x:v>
      </x:c>
      <x:c r="C177" s="16" t="str">
        <x:v>НАБИВКА АС 16*16ММ</x:v>
      </x:c>
      <x:c r="D177" s="16" t="str">
        <x:v>Асбо-технические изд</x:v>
      </x:c>
      <x:c r="E177" s="16" t="str">
        <x:v>КГ</x:v>
      </x:c>
      <x:c r="F177" s="21" t="n">
        <x:v>296</x:v>
      </x:c>
      <x:c r="G177" s="17" t="n">
        <x:v>185.79379999999998</x:v>
      </x:c>
      <x:c r="H177" s="17" t="n">
        <x:f>G177*F177</x:f>
        <x:v>54994.964799999994</x:v>
      </x:c>
      <x:c r="I177" s="22" t="str">
        <x:f>HYPERLINK("https://etp-aktiv.ru/catalog/materialy/asbo-tekhnicheskie-izdeliya/2000165250-V119/","Открыть позицию")</x:f>
        <x:v>Открыть позицию</x:v>
      </x:c>
    </x:row>
    <x:row r="178" ht="28" customHeight="1">
      <x:c r="A178" s="16" t="str">
        <x:v>Красноярская ТЭЦ-1</x:v>
      </x:c>
      <x:c r="B178" s="16" t="str">
        <x:v>2000894273-V119</x:v>
      </x:c>
      <x:c r="C178" s="16" t="str">
        <x:v>НАБИВКА МС101-С 8*8 ТУ2573-003-56508584</x:v>
      </x:c>
      <x:c r="D178" s="16" t="str">
        <x:v>Асбо-технические изд</x:v>
      </x:c>
      <x:c r="E178" s="16" t="str">
        <x:v>КГ</x:v>
      </x:c>
      <x:c r="F178" s="21" t="n">
        <x:v>63</x:v>
      </x:c>
      <x:c r="G178" s="17" t="n">
        <x:v>480.86299999999994</x:v>
      </x:c>
      <x:c r="H178" s="17" t="n">
        <x:f>G178*F178</x:f>
        <x:v>30294.368999999995</x:v>
      </x:c>
      <x:c r="I178" s="22" t="str">
        <x:f>HYPERLINK("https://etp-aktiv.ru/catalog/materialy/asbo-tekhnicheskie-izdeliya/2000894273-V119/","Открыть позицию")</x:f>
        <x:v>Открыть позицию</x:v>
      </x:c>
    </x:row>
    <x:row r="179" ht="28" customHeight="1">
      <x:c r="A179" s="16" t="str">
        <x:v>Красноярская ТЭЦ-1</x:v>
      </x:c>
      <x:c r="B179" s="16" t="str">
        <x:v>2000174716-V119</x:v>
      </x:c>
      <x:c r="C179" s="16" t="str">
        <x:v>НАБИВКА НГ-100 14*14ММ</x:v>
      </x:c>
      <x:c r="D179" s="16" t="str">
        <x:v>Асбо-технические изд</x:v>
      </x:c>
      <x:c r="E179" s="16" t="str">
        <x:v>КГ</x:v>
      </x:c>
      <x:c r="F179" s="26" t="n">
        <x:v>67.42</x:v>
      </x:c>
      <x:c r="G179" s="17" t="n">
        <x:v>456.57280000000003</x:v>
      </x:c>
      <x:c r="H179" s="17" t="n">
        <x:f>G179*F179</x:f>
        <x:v>30782.138176000004</x:v>
      </x:c>
      <x:c r="I179" s="22" t="str">
        <x:f>HYPERLINK("https://etp-aktiv.ru/catalog/materialy/asbo-tekhnicheskie-izdeliya/2000174716-V119/","Открыть позицию")</x:f>
        <x:v>Открыть позицию</x:v>
      </x:c>
    </x:row>
    <x:row r="180" ht="28" customHeight="1">
      <x:c r="A180" s="16" t="str">
        <x:v>Красноярская ТЭЦ-1</x:v>
      </x:c>
      <x:c r="B180" s="16" t="str">
        <x:v>2000160352-V119</x:v>
      </x:c>
      <x:c r="C180" s="16" t="str">
        <x:v>НАБИВКА НГ-200 10*10</x:v>
      </x:c>
      <x:c r="D180" s="16" t="str">
        <x:v>Проч резино-тех изд</x:v>
      </x:c>
      <x:c r="E180" s="16" t="str">
        <x:v>КГ</x:v>
      </x:c>
      <x:c r="F180" s="26" t="n">
        <x:v>6.75</x:v>
      </x:c>
      <x:c r="G180" s="17" t="n">
        <x:v>1085.6414</x:v>
      </x:c>
      <x:c r="H180" s="17" t="n">
        <x:f>G180*F180</x:f>
        <x:v>7328.07945</x:v>
      </x:c>
      <x:c r="I180" s="22" t="str">
        <x:f>HYPERLINK("https://etp-aktiv.ru/catalog/materialy/rezino-tekhnicheskie-izdeliya/2000160352-V119/","Открыть позицию")</x:f>
        <x:v>Открыть позицию</x:v>
      </x:c>
    </x:row>
    <x:row r="181" ht="28" customHeight="1">
      <x:c r="A181" s="16" t="str">
        <x:v>Красноярская ТЭЦ-1</x:v>
      </x:c>
      <x:c r="B181" s="16" t="str">
        <x:v>2000160354-V119</x:v>
      </x:c>
      <x:c r="C181" s="16" t="str">
        <x:v>НАБИВКА НГ-200 14*14</x:v>
      </x:c>
      <x:c r="D181" s="16" t="str">
        <x:v>Проч резино-тех изд</x:v>
      </x:c>
      <x:c r="E181" s="16" t="str">
        <x:v>КГ</x:v>
      </x:c>
      <x:c r="F181" s="21" t="n">
        <x:v>30</x:v>
      </x:c>
      <x:c r="G181" s="17" t="n">
        <x:v>951.722</x:v>
      </x:c>
      <x:c r="H181" s="17" t="n">
        <x:f>G181*F181</x:f>
        <x:v>28551.66</x:v>
      </x:c>
      <x:c r="I181" s="22" t="str">
        <x:f>HYPERLINK("https://etp-aktiv.ru/catalog/materialy/rezino-tekhnicheskie-izdeliya/2000160354-V119/","Открыть позицию")</x:f>
        <x:v>Открыть позицию</x:v>
      </x:c>
    </x:row>
    <x:row r="182" ht="28" customHeight="1">
      <x:c r="A182" s="16" t="str">
        <x:v>Красноярская ТЭЦ-1</x:v>
      </x:c>
      <x:c r="B182" s="16" t="str">
        <x:v>2000160356-V119</x:v>
      </x:c>
      <x:c r="C182" s="16" t="str">
        <x:v>НАБИВКА НГ-200 16*16</x:v>
      </x:c>
      <x:c r="D182" s="16" t="str">
        <x:v>Проч резино-тех изд</x:v>
      </x:c>
      <x:c r="E182" s="16" t="str">
        <x:v>КГ</x:v>
      </x:c>
      <x:c r="F182" s="26" t="n">
        <x:v>30.5</x:v>
      </x:c>
      <x:c r="G182" s="17" t="n">
        <x:v>951.722</x:v>
      </x:c>
      <x:c r="H182" s="17" t="n">
        <x:f>G182*F182</x:f>
        <x:v>29027.521</x:v>
      </x:c>
      <x:c r="I182" s="22" t="str">
        <x:f>HYPERLINK("https://etp-aktiv.ru/catalog/materialy/rezino-tekhnicheskie-izdeliya/2000160356-V119/","Открыть позицию")</x:f>
        <x:v>Открыть позицию</x:v>
      </x:c>
    </x:row>
    <x:row r="183" ht="28" customHeight="1">
      <x:c r="A183" s="16" t="str">
        <x:v>Красноярская ТЭЦ-1</x:v>
      </x:c>
      <x:c r="B183" s="16" t="str">
        <x:v>2000171024-V119</x:v>
      </x:c>
      <x:c r="C183" s="16" t="str">
        <x:v>НАБИВКА НГ-200 18*18</x:v>
      </x:c>
      <x:c r="D183" s="16" t="str">
        <x:v>Проч резино-тех изд</x:v>
      </x:c>
      <x:c r="E183" s="16" t="str">
        <x:v>КГ</x:v>
      </x:c>
      <x:c r="F183" s="26" t="n">
        <x:v>16.974</x:v>
      </x:c>
      <x:c r="G183" s="17" t="n">
        <x:v>1378.3682</x:v>
      </x:c>
      <x:c r="H183" s="17" t="n">
        <x:f>G183*F183</x:f>
        <x:v>23396.421826799997</x:v>
      </x:c>
      <x:c r="I183" s="22" t="str">
        <x:f>HYPERLINK("https://etp-aktiv.ru/catalog/materialy/rezino-tekhnicheskie-izdeliya/2000171024-V119/","Открыть позицию")</x:f>
        <x:v>Открыть позицию</x:v>
      </x:c>
    </x:row>
    <x:row r="184" ht="28" customHeight="1">
      <x:c r="A184" s="16" t="str">
        <x:v>Красноярская ТЭЦ-1</x:v>
      </x:c>
      <x:c r="B184" s="16" t="str">
        <x:v>2000171026-V119</x:v>
      </x:c>
      <x:c r="C184" s="16" t="str">
        <x:v>НАБИВКА НГ-200 20*20</x:v>
      </x:c>
      <x:c r="D184" s="16" t="str">
        <x:v>Проч резино-тех изд</x:v>
      </x:c>
      <x:c r="E184" s="16" t="str">
        <x:v>КГ</x:v>
      </x:c>
      <x:c r="F184" s="26" t="n">
        <x:v>10.4</x:v>
      </x:c>
      <x:c r="G184" s="17" t="n">
        <x:v>517.9875999999999</x:v>
      </x:c>
      <x:c r="H184" s="17" t="n">
        <x:f>G184*F184</x:f>
        <x:v>5387.07104</x:v>
      </x:c>
      <x:c r="I184" s="22" t="str">
        <x:f>HYPERLINK("https://etp-aktiv.ru/catalog/materialy/rezino-tekhnicheskie-izdeliya/2000171026-V119/","Открыть позицию")</x:f>
        <x:v>Открыть позицию</x:v>
      </x:c>
    </x:row>
    <x:row r="185" ht="28" customHeight="1">
      <x:c r="A185" s="16" t="str">
        <x:v>Красноярская ТЭЦ-1</x:v>
      </x:c>
      <x:c r="B185" s="16" t="str">
        <x:v>2000220942-V119</x:v>
      </x:c>
      <x:c r="C185" s="16" t="str">
        <x:v>НАБИВКА НГ-301 14*14 ММ</x:v>
      </x:c>
      <x:c r="D185" s="16" t="str">
        <x:v>Асбо-технические изд</x:v>
      </x:c>
      <x:c r="E185" s="16" t="str">
        <x:v>КГ</x:v>
      </x:c>
      <x:c r="F185" s="26" t="n">
        <x:v>17.5</x:v>
      </x:c>
      <x:c r="G185" s="17" t="n">
        <x:v>480.4482</x:v>
      </x:c>
      <x:c r="H185" s="17" t="n">
        <x:f>G185*F185</x:f>
        <x:v>8407.843499999999</x:v>
      </x:c>
      <x:c r="I185" s="22" t="str">
        <x:f>HYPERLINK("https://etp-aktiv.ru/catalog/materialy/asbo-tekhnicheskie-izdeliya/2000220942-V119/","Открыть позицию")</x:f>
        <x:v>Открыть позицию</x:v>
      </x:c>
    </x:row>
    <x:row r="186" ht="28" customHeight="1">
      <x:c r="A186" s="16" t="str">
        <x:v>Красноярская ТЭЦ-1</x:v>
      </x:c>
      <x:c r="B186" s="16" t="str">
        <x:v>2000171493-V119</x:v>
      </x:c>
      <x:c r="C186" s="16" t="str">
        <x:v>НАБИВКА НГ-301 16*16ММ</x:v>
      </x:c>
      <x:c r="D186" s="16" t="str">
        <x:v>Асбо-технические изд</x:v>
      </x:c>
      <x:c r="E186" s="16" t="str">
        <x:v>КГ</x:v>
      </x:c>
      <x:c r="F186" s="26" t="n">
        <x:v>60.18</x:v>
      </x:c>
      <x:c r="G186" s="17" t="n">
        <x:v>442.8478</x:v>
      </x:c>
      <x:c r="H186" s="17" t="n">
        <x:f>G186*F186</x:f>
        <x:v>26650.580604</x:v>
      </x:c>
      <x:c r="I186" s="22" t="str">
        <x:f>HYPERLINK("https://etp-aktiv.ru/catalog/materialy/asbo-tekhnicheskie-izdeliya/2000171493-V119/","Открыть позицию")</x:f>
        <x:v>Открыть позицию</x:v>
      </x:c>
    </x:row>
    <x:row r="187" ht="28" customHeight="1">
      <x:c r="A187" s="16" t="str">
        <x:v>Красноярская ТЭЦ-1</x:v>
      </x:c>
      <x:c r="B187" s="16" t="str">
        <x:v>2000172332-V119</x:v>
      </x:c>
      <x:c r="C187" s="16" t="str">
        <x:v>НАБИВКА НГ-Н 16*16ММ</x:v>
      </x:c>
      <x:c r="D187" s="16" t="str">
        <x:v>Асбо-технические изд</x:v>
      </x:c>
      <x:c r="E187" s="16" t="str">
        <x:v>КГ</x:v>
      </x:c>
      <x:c r="F187" s="26" t="n">
        <x:v>42.5</x:v>
      </x:c>
      <x:c r="G187" s="17" t="n">
        <x:v>906.1428</x:v>
      </x:c>
      <x:c r="H187" s="17" t="n">
        <x:f>G187*F187</x:f>
        <x:v>38511.068999999996</x:v>
      </x:c>
      <x:c r="I187" s="22" t="str">
        <x:f>HYPERLINK("https://etp-aktiv.ru/catalog/materialy/asbo-tekhnicheskie-izdeliya/2000172332-V119/","Открыть позицию")</x:f>
        <x:v>Открыть позицию</x:v>
      </x:c>
    </x:row>
    <x:row r="188" ht="28" customHeight="1">
      <x:c r="A188" s="16" t="str">
        <x:v>Красноярская ТЭЦ-1</x:v>
      </x:c>
      <x:c r="B188" s="16" t="str">
        <x:v>2000172331-V119</x:v>
      </x:c>
      <x:c r="C188" s="16" t="str">
        <x:v>НАБИВКА НГ-Н-14*14ММ</x:v>
      </x:c>
      <x:c r="D188" s="16" t="str">
        <x:v>Асбо-технические изд</x:v>
      </x:c>
      <x:c r="E188" s="16" t="str">
        <x:v>КГ</x:v>
      </x:c>
      <x:c r="F188" s="21" t="n">
        <x:v>20</x:v>
      </x:c>
      <x:c r="G188" s="17" t="n">
        <x:v>979.5745999999999</x:v>
      </x:c>
      <x:c r="H188" s="17" t="n">
        <x:f>G188*F188</x:f>
        <x:v>19591.492</x:v>
      </x:c>
      <x:c r="I188" s="22" t="str">
        <x:f>HYPERLINK("https://etp-aktiv.ru/catalog/materialy/asbo-tekhnicheskie-izdeliya/2000172331-V119/","Открыть позицию")</x:f>
        <x:v>Открыть позицию</x:v>
      </x:c>
    </x:row>
    <x:row r="189" ht="28" customHeight="1">
      <x:c r="A189" s="16" t="str">
        <x:v>Красноярская ТЭЦ-1</x:v>
      </x:c>
      <x:c r="B189" s="16" t="str">
        <x:v>2000140993-V119</x:v>
      </x:c>
      <x:c r="C189" s="16" t="str">
        <x:v>НАБИВКА НГ-Н-8*8</x:v>
      </x:c>
      <x:c r="D189" s="16" t="str">
        <x:v>Асбо-технические изд</x:v>
      </x:c>
      <x:c r="E189" s="16" t="str">
        <x:v>КГ</x:v>
      </x:c>
      <x:c r="F189" s="21" t="n">
        <x:v>4</x:v>
      </x:c>
      <x:c r="G189" s="17" t="n">
        <x:v>863.0036</x:v>
      </x:c>
      <x:c r="H189" s="17" t="n">
        <x:f>G189*F189</x:f>
        <x:v>3452.0144</x:v>
      </x:c>
      <x:c r="I189" s="22" t="str">
        <x:f>HYPERLINK("https://etp-aktiv.ru/catalog/materialy/asbo-tekhnicheskie-izdeliya/2000140993-V119/","Открыть позицию")</x:f>
        <x:v>Открыть позицию</x:v>
      </x:c>
    </x:row>
    <x:row r="190" ht="28" customHeight="1">
      <x:c r="A190" s="16" t="str">
        <x:v>Красноярская ТЭЦ-1</x:v>
      </x:c>
      <x:c r="B190" s="16" t="str">
        <x:v>2000539176-V119</x:v>
      </x:c>
      <x:c r="C190" s="16" t="str">
        <x:v>НАБИВКА ОДНОСЛОЙНОЕ ПЛЕТЕНИЕ АП-31 12*12</x:v>
      </x:c>
      <x:c r="D190" s="16" t="str">
        <x:v>Асбо-технические изд</x:v>
      </x:c>
      <x:c r="E190" s="16" t="str">
        <x:v>КГ</x:v>
      </x:c>
      <x:c r="F190" s="21" t="n">
        <x:v>4</x:v>
      </x:c>
      <x:c r="G190" s="17" t="n">
        <x:v>153.5858</x:v>
      </x:c>
      <x:c r="H190" s="17" t="n">
        <x:f>G190*F190</x:f>
        <x:v>614.3432</x:v>
      </x:c>
      <x:c r="I190" s="22" t="str">
        <x:f>HYPERLINK("https://etp-aktiv.ru/catalog/materialy/asbo-tekhnicheskie-izdeliya/2000539176-V119/","Открыть позицию")</x:f>
        <x:v>Открыть позицию</x:v>
      </x:c>
    </x:row>
    <x:row r="191" ht="28" customHeight="1">
      <x:c r="A191" s="16" t="str">
        <x:v>Красноярская ТЭЦ-1</x:v>
      </x:c>
      <x:c r="B191" s="16" t="str">
        <x:v>2000690815-V119</x:v>
      </x:c>
      <x:c r="C191" s="16" t="str">
        <x:v>НАБИВКА САЛЬНИКОВАЯ НГ-200 12*12ММ</x:v>
      </x:c>
      <x:c r="D191" s="16" t="str">
        <x:v>Асбо-технические изд</x:v>
      </x:c>
      <x:c r="E191" s="16" t="str">
        <x:v>КГ</x:v>
      </x:c>
      <x:c r="F191" s="21" t="n">
        <x:v>30</x:v>
      </x:c>
      <x:c r="G191" s="17" t="n">
        <x:v>690.093</x:v>
      </x:c>
      <x:c r="H191" s="17" t="n">
        <x:f>G191*F191</x:f>
        <x:v>20702.789999999997</x:v>
      </x:c>
      <x:c r="I191" s="22" t="str">
        <x:f>HYPERLINK("https://etp-aktiv.ru/catalog/materialy/asbo-tekhnicheskie-izdeliya/2000690815-V119/","Открыть позицию")</x:f>
        <x:v>Открыть позицию</x:v>
      </x:c>
    </x:row>
    <x:row r="192" ht="28" customHeight="1">
      <x:c r="A192" s="16" t="str">
        <x:v>Красноярская ТЭЦ-1</x:v>
      </x:c>
      <x:c r="B192" s="16" t="str">
        <x:v>2000539276-V119</x:v>
      </x:c>
      <x:c r="C192" s="16" t="str">
        <x:v>НАБИВКА СКВОЗНОЕ ПЛЕТЕНИЕ ХБП-31 22*22</x:v>
      </x:c>
      <x:c r="D192" s="16" t="str">
        <x:v>Асбо-технические изд</x:v>
      </x:c>
      <x:c r="E192" s="16" t="str">
        <x:v>КГ</x:v>
      </x:c>
      <x:c r="F192" s="26" t="n">
        <x:v>35.9</x:v>
      </x:c>
      <x:c r="G192" s="17" t="n">
        <x:v>228.933</x:v>
      </x:c>
      <x:c r="H192" s="17" t="n">
        <x:f>G192*F192</x:f>
        <x:v>8218.6947</x:v>
      </x:c>
      <x:c r="I192" s="22" t="str">
        <x:f>HYPERLINK("https://etp-aktiv.ru/catalog/materialy/asbo-tekhnicheskie-izdeliya/2000539276-V119/","Открыть позицию")</x:f>
        <x:v>Открыть позицию</x:v>
      </x:c>
    </x:row>
    <x:row r="193" ht="28" customHeight="1">
      <x:c r="A193" s="16" t="str">
        <x:v>Красноярская ТЭЦ-1</x:v>
      </x:c>
      <x:c r="B193" s="16" t="str">
        <x:v>2000207569-V119</x:v>
      </x:c>
      <x:c r="C193" s="16" t="str">
        <x:v>НАБИВКА ХБП-31 14*14ММ</x:v>
      </x:c>
      <x:c r="D193" s="16" t="str">
        <x:v>Асбо-технические изд</x:v>
      </x:c>
      <x:c r="E193" s="16" t="str">
        <x:v>КГ</x:v>
      </x:c>
      <x:c r="F193" s="26" t="n">
        <x:v>15.2</x:v>
      </x:c>
      <x:c r="G193" s="17" t="n">
        <x:v>160.6008</x:v>
      </x:c>
      <x:c r="H193" s="17" t="n">
        <x:f>G193*F193</x:f>
        <x:v>2441.1321599999997</x:v>
      </x:c>
      <x:c r="I193" s="22" t="str">
        <x:f>HYPERLINK("https://etp-aktiv.ru/catalog/materialy/asbo-tekhnicheskie-izdeliya/2000207569-V119/","Открыть позицию")</x:f>
        <x:v>Открыть позицию</x:v>
      </x:c>
    </x:row>
    <x:row r="194" ht="28" customHeight="1">
      <x:c r="A194" s="16" t="str">
        <x:v>Красноярская ТЭЦ-1</x:v>
      </x:c>
      <x:c r="B194" s="16" t="str">
        <x:v>2000141926-V119</x:v>
      </x:c>
      <x:c r="C194" s="16" t="str">
        <x:v>НАБИВКА ХБП-31 30ММ</x:v>
      </x:c>
      <x:c r="D194" s="16" t="str">
        <x:v>Проч резино-тех изд</x:v>
      </x:c>
      <x:c r="E194" s="16" t="str">
        <x:v>КГ</x:v>
      </x:c>
      <x:c r="F194" s="21" t="n">
        <x:v>40</x:v>
      </x:c>
      <x:c r="G194" s="17" t="n">
        <x:v>117.2298</x:v>
      </x:c>
      <x:c r="H194" s="17" t="n">
        <x:f>G194*F194</x:f>
        <x:v>4689.192</x:v>
      </x:c>
      <x:c r="I194" s="22" t="str">
        <x:f>HYPERLINK("https://etp-aktiv.ru/catalog/materialy/rezino-tekhnicheskie-izdeliya/2000141926-V119/","Открыть позицию")</x:f>
        <x:v>Открыть позицию</x:v>
      </x:c>
    </x:row>
    <x:row r="195" ht="28" customHeight="1">
      <x:c r="A195" s="16" t="str">
        <x:v>Красноярская ТЭЦ-1</x:v>
      </x:c>
      <x:c r="B195" s="16" t="str">
        <x:v>2000033104-V119</x:v>
      </x:c>
      <x:c r="C195" s="16" t="str">
        <x:v>ПАРОНИТ ПОН-А 1ММ</x:v>
      </x:c>
      <x:c r="D195" s="16" t="str">
        <x:v>Асбо-технические изд</x:v>
      </x:c>
      <x:c r="E195" s="16" t="str">
        <x:v>КГ</x:v>
      </x:c>
      <x:c r="F195" s="26" t="n">
        <x:v>6.177</x:v>
      </x:c>
      <x:c r="G195" s="17" t="n">
        <x:v>80.1784</x:v>
      </x:c>
      <x:c r="H195" s="17" t="n">
        <x:f>G195*F195</x:f>
        <x:v>495.26197679999996</x:v>
      </x:c>
      <x:c r="I195" s="22" t="str">
        <x:f>HYPERLINK("https://etp-aktiv.ru/catalog/materialy/asbo-tekhnicheskie-izdeliya/2000033104-V119/","Открыть позицию")</x:f>
        <x:v>Открыть позицию</x:v>
      </x:c>
    </x:row>
    <x:row r="196" ht="28" customHeight="1">
      <x:c r="A196" s="16" t="str">
        <x:v>Красноярская ТЭЦ-1</x:v>
      </x:c>
      <x:c r="B196" s="16" t="str">
        <x:v>2000033100-V119</x:v>
      </x:c>
      <x:c r="C196" s="16" t="str">
        <x:v>ПАРОНИТ ПОН-Б 0,4ММ</x:v>
      </x:c>
      <x:c r="D196" s="16" t="str">
        <x:v>Асбо-технические изд</x:v>
      </x:c>
      <x:c r="E196" s="16" t="str">
        <x:v>КГ</x:v>
      </x:c>
      <x:c r="F196" s="26" t="n">
        <x:v>16.1</x:v>
      </x:c>
      <x:c r="G196" s="17" t="n">
        <x:v>58.3648</x:v>
      </x:c>
      <x:c r="H196" s="17" t="n">
        <x:f>G196*F196</x:f>
        <x:v>939.6732800000001</x:v>
      </x:c>
      <x:c r="I196" s="22" t="str">
        <x:f>HYPERLINK("https://etp-aktiv.ru/catalog/materialy/asbo-tekhnicheskie-izdeliya/2000033100-V119/","Открыть позицию")</x:f>
        <x:v>Открыть позицию</x:v>
      </x:c>
    </x:row>
    <x:row r="197" ht="28" customHeight="1">
      <x:c r="A197" s="16" t="str">
        <x:v>Красноярская ТЭЦ-1</x:v>
      </x:c>
      <x:c r="B197" s="16" t="str">
        <x:v>2000569908-V119</x:v>
      </x:c>
      <x:c r="C197" s="16" t="str">
        <x:v>ПАРОНИТ ПОН-Б 0,5*1000*1500 ГОСТ481</x:v>
      </x:c>
      <x:c r="D197" s="16" t="str">
        <x:v>Асбо-технические изд</x:v>
      </x:c>
      <x:c r="E197" s="16" t="str">
        <x:v>КГ</x:v>
      </x:c>
      <x:c r="F197" s="26" t="n">
        <x:v>5.85</x:v>
      </x:c>
      <x:c r="G197" s="17" t="n">
        <x:v>102.48</x:v>
      </x:c>
      <x:c r="H197" s="17" t="n">
        <x:f>G197*F197</x:f>
        <x:v>599.508</x:v>
      </x:c>
      <x:c r="I197" s="22" t="str">
        <x:f>HYPERLINK("https://etp-aktiv.ru/catalog/materialy/asbo-tekhnicheskie-izdeliya/2000569908-V119/","Открыть позицию")</x:f>
        <x:v>Открыть позицию</x:v>
      </x:c>
    </x:row>
    <x:row r="198" ht="28" customHeight="1">
      <x:c r="A198" s="16" t="str">
        <x:v>Красноярская ТЭЦ-1</x:v>
      </x:c>
      <x:c r="B198" s="16" t="str">
        <x:v>2000838264-V119</x:v>
      </x:c>
      <x:c r="C198" s="16" t="str">
        <x:v>ПЛАСТИНА 2Ф-II-МБС-С-3 3ММ ГОСТ7338-90</x:v>
      </x:c>
      <x:c r="D198" s="16" t="str">
        <x:v>Проч резино-тех изд</x:v>
      </x:c>
      <x:c r="E198" s="16" t="str">
        <x:v>КГ</x:v>
      </x:c>
      <x:c r="F198" s="26" t="n">
        <x:v>32.6</x:v>
      </x:c>
      <x:c r="G198" s="17" t="n">
        <x:v>92.0368</x:v>
      </x:c>
      <x:c r="H198" s="17" t="n">
        <x:f>G198*F198</x:f>
        <x:v>3000.39968</x:v>
      </x:c>
      <x:c r="I198" s="22" t="str">
        <x:f>HYPERLINK("https://etp-aktiv.ru/catalog/materialy/rezino-tekhnicheskie-izdeliya/2000838264-V119/","Открыть позицию")</x:f>
        <x:v>Открыть позицию</x:v>
      </x:c>
    </x:row>
    <x:row r="199" ht="28" customHeight="1">
      <x:c r="A199" s="16" t="str">
        <x:v>Красноярская ТЭЦ-1</x:v>
      </x:c>
      <x:c r="B199" s="16" t="str">
        <x:v>2000628406-V119</x:v>
      </x:c>
      <x:c r="C199" s="16" t="str">
        <x:v>ПЛАСТИНА 5*1000*3000 1Н-I МБС-С ГОСТ7338</x:v>
      </x:c>
      <x:c r="D199" s="16" t="str">
        <x:v>Проч резино-тех изд</x:v>
      </x:c>
      <x:c r="E199" s="16" t="str">
        <x:v>КГ</x:v>
      </x:c>
      <x:c r="F199" s="26" t="n">
        <x:v>7.8</x:v>
      </x:c>
      <x:c r="G199" s="17" t="n">
        <x:v>85.7782</x:v>
      </x:c>
      <x:c r="H199" s="17" t="n">
        <x:f>G199*F199</x:f>
        <x:v>669.0699599999999</x:v>
      </x:c>
      <x:c r="I199" s="22" t="str">
        <x:f>HYPERLINK("https://etp-aktiv.ru/catalog/materialy/rezino-tekhnicheskie-izdeliya/2000628406-V119/","Открыть позицию")</x:f>
        <x:v>Открыть позицию</x:v>
      </x:c>
    </x:row>
    <x:row r="200" ht="28" customHeight="1">
      <x:c r="A200" s="16" t="str">
        <x:v>Красноярская ТЭЦ-1</x:v>
      </x:c>
      <x:c r="B200" s="16" t="str">
        <x:v>2000548580-V119</x:v>
      </x:c>
      <x:c r="C200" s="16" t="str">
        <x:v>ПЛЕНКА ФТОРОПЛАСТОВАЯ Ф-4 ЭО 0,04*60ММ</x:v>
      </x:c>
      <x:c r="D200" s="16" t="str">
        <x:v>Э/изоляцион мат-лы</x:v>
      </x:c>
      <x:c r="E200" s="16" t="str">
        <x:v>КГ</x:v>
      </x:c>
      <x:c r="F200" s="30" t="n">
        <x:v>0.2</x:v>
      </x:c>
      <x:c r="G200" s="17" t="n">
        <x:v>1303.875</x:v>
      </x:c>
      <x:c r="H200" s="17" t="n">
        <x:f>G200*F200</x:f>
        <x:v>260.77500000000003</x:v>
      </x:c>
      <x:c r="I200" s="22" t="str">
        <x:f>HYPERLINK("https://etp-aktiv.ru/catalog/materialy/ehlektroizolyacionnye-materialy/2000548580-V119/","Открыть позицию")</x:f>
        <x:v>Открыть позицию</x:v>
      </x:c>
    </x:row>
    <x:row r="201" ht="28" customHeight="1">
      <x:c r="A201" s="16" t="str">
        <x:v>Красноярская ТЭЦ-1</x:v>
      </x:c>
      <x:c r="B201" s="16" t="str">
        <x:v>2000486147-V119</x:v>
      </x:c>
      <x:c r="C201" s="16" t="str">
        <x:v>ПЛИТКА МЕТЛ КИСЛОТОУПОР КС 300*300*30</x:v>
      </x:c>
      <x:c r="D201" s="16" t="str">
        <x:v>Кислотоупорн мат-лы</x:v>
      </x:c>
      <x:c r="E201" s="16" t="str">
        <x:v>М2</x:v>
      </x:c>
      <x:c r="F201" s="26" t="n">
        <x:v>68.04</x:v>
      </x:c>
      <x:c r="G201" s="17" t="n">
        <x:v>1325.2738</x:v>
      </x:c>
      <x:c r="H201" s="17" t="n">
        <x:f>G201*F201</x:f>
        <x:v>90171.629352</x:v>
      </x:c>
      <x:c r="I201" s="22" t="str">
        <x:f>HYPERLINK("https://etp-aktiv.ru/catalog/materialy/stroitelnye-materialy/2000486147-V119/","Открыть позицию")</x:f>
        <x:v>Открыть позицию</x:v>
      </x:c>
    </x:row>
    <x:row r="202" ht="28" customHeight="1">
      <x:c r="A202" s="16" t="str">
        <x:v>Красноярская ТЭЦ-1</x:v>
      </x:c>
      <x:c r="B202" s="16" t="str">
        <x:v>2000570302-V119</x:v>
      </x:c>
      <x:c r="C202" s="16" t="str">
        <x:v>ПРОКЛАДКА А-150-10 ПОН 150*10</x:v>
      </x:c>
      <x:c r="D202" s="16" t="str">
        <x:v>Асбо-технические изд</x:v>
      </x:c>
      <x:c r="E202" s="16" t="str">
        <x:v>ШТ</x:v>
      </x:c>
      <x:c r="F202" s="21" t="n">
        <x:v>19</x:v>
      </x:c>
      <x:c r="G202" s="17" t="n">
        <x:v>25.2418</x:v>
      </x:c>
      <x:c r="H202" s="17" t="n">
        <x:f>G202*F202</x:f>
        <x:v>479.5942</x:v>
      </x:c>
      <x:c r="I202" s="22" t="str">
        <x:f>HYPERLINK("https://etp-aktiv.ru/catalog/materialy/asbo-tekhnicheskie-izdeliya/2000570302-V119/","Открыть позицию")</x:f>
        <x:v>Открыть позицию</x:v>
      </x:c>
    </x:row>
    <x:row r="203" ht="28" customHeight="1">
      <x:c r="A203" s="16" t="str">
        <x:v>Красноярская ТЭЦ-1</x:v>
      </x:c>
      <x:c r="B203" s="16" t="str">
        <x:v>2000502058-V119</x:v>
      </x:c>
      <x:c r="C203" s="16" t="str">
        <x:v>ПРОКЛАДКА ПАРОНИТОВАЯ 150*4 ПОН-Б</x:v>
      </x:c>
      <x:c r="D203" s="16" t="str">
        <x:v>Асбо-технические изд</x:v>
      </x:c>
      <x:c r="E203" s="16" t="str">
        <x:v>ШТ</x:v>
      </x:c>
      <x:c r="F203" s="21" t="n">
        <x:v>8</x:v>
      </x:c>
      <x:c r="G203" s="17" t="n">
        <x:v>104.9932</x:v>
      </x:c>
      <x:c r="H203" s="17" t="n">
        <x:f>G203*F203</x:f>
        <x:v>839.9456</x:v>
      </x:c>
      <x:c r="I203" s="22" t="str">
        <x:f>HYPERLINK("https://etp-aktiv.ru/catalog/materialy/asbo-tekhnicheskie-izdeliya/2000502058-V119/","Открыть позицию")</x:f>
        <x:v>Открыть позицию</x:v>
      </x:c>
    </x:row>
    <x:row r="204" ht="28" customHeight="1">
      <x:c r="A204" s="16" t="str">
        <x:v>Красноярская ТЭЦ-1</x:v>
      </x:c>
      <x:c r="B204" s="16" t="str">
        <x:v>2000455604-V119</x:v>
      </x:c>
      <x:c r="C204" s="16" t="str">
        <x:v>ПРОКЛАДКА ПМБ 1*100ММ</x:v>
      </x:c>
      <x:c r="D204" s="16" t="str">
        <x:v>Асбо-технические изд</x:v>
      </x:c>
      <x:c r="E204" s="16" t="str">
        <x:v>ШТ</x:v>
      </x:c>
      <x:c r="F204" s="21" t="n">
        <x:v>8</x:v>
      </x:c>
      <x:c r="G204" s="17" t="n">
        <x:v>349.9936</x:v>
      </x:c>
      <x:c r="H204" s="17" t="n">
        <x:f>G204*F204</x:f>
        <x:v>2799.9488</x:v>
      </x:c>
      <x:c r="I204" s="22" t="str">
        <x:f>HYPERLINK("https://etp-aktiv.ru/catalog/materialy/asbo-tekhnicheskie-izdeliya/2000455604-V119/","Открыть позицию")</x:f>
        <x:v>Открыть позицию</x:v>
      </x:c>
    </x:row>
    <x:row r="205" ht="28" customHeight="1">
      <x:c r="A205" s="16" t="str">
        <x:v>Красноярская ТЭЦ-1</x:v>
      </x:c>
      <x:c r="B205" s="16" t="str">
        <x:v>2000698730-V119</x:v>
      </x:c>
      <x:c r="C205" s="16" t="str">
        <x:v>ПРОКЛАДКА ПОН Б-65-10</x:v>
      </x:c>
      <x:c r="D205" s="16" t="str">
        <x:v>Асбо-технические изд</x:v>
      </x:c>
      <x:c r="E205" s="16" t="str">
        <x:v>ШТ</x:v>
      </x:c>
      <x:c r="F205" s="21" t="n">
        <x:v>19</x:v>
      </x:c>
      <x:c r="G205" s="17" t="n">
        <x:v>8.845</x:v>
      </x:c>
      <x:c r="H205" s="17" t="n">
        <x:f>G205*F205</x:f>
        <x:v>168.055</x:v>
      </x:c>
      <x:c r="I205" s="22" t="str">
        <x:f>HYPERLINK("https://etp-aktiv.ru/catalog/materialy/asbo-tekhnicheskie-izdeliya/2000698730-V119/","Открыть позицию")</x:f>
        <x:v>Открыть позицию</x:v>
      </x:c>
    </x:row>
    <x:row r="206" ht="28" customHeight="1">
      <x:c r="A206" s="16" t="str">
        <x:v>Красноярская ТЭЦ-1</x:v>
      </x:c>
      <x:c r="B206" s="16" t="str">
        <x:v>2000698731-V119</x:v>
      </x:c>
      <x:c r="C206" s="16" t="str">
        <x:v>ПРОКЛАДКА ПОН Б-80-10</x:v>
      </x:c>
      <x:c r="D206" s="16" t="str">
        <x:v>Асбо-технические изд</x:v>
      </x:c>
      <x:c r="E206" s="16" t="str">
        <x:v>ШТ</x:v>
      </x:c>
      <x:c r="F206" s="21" t="n">
        <x:v>63</x:v>
      </x:c>
      <x:c r="G206" s="17" t="n">
        <x:v>9.5404</x:v>
      </x:c>
      <x:c r="H206" s="17" t="n">
        <x:f>G206*F206</x:f>
        <x:v>601.0452</x:v>
      </x:c>
      <x:c r="I206" s="22" t="str">
        <x:f>HYPERLINK("https://etp-aktiv.ru/catalog/materialy/asbo-tekhnicheskie-izdeliya/2000698731-V119/","Открыть позицию")</x:f>
        <x:v>Открыть позицию</x:v>
      </x:c>
    </x:row>
    <x:row r="207" ht="28" customHeight="1">
      <x:c r="A207" s="16" t="str">
        <x:v>Красноярская ТЭЦ-1</x:v>
      </x:c>
      <x:c r="B207" s="16" t="str">
        <x:v>2000308692-V119</x:v>
      </x:c>
      <x:c r="C207" s="16" t="str">
        <x:v>РВД D16 P350 4SP S32 М27*1,5 L1400</x:v>
      </x:c>
      <x:c r="D207" s="16" t="str">
        <x:v>Рукава высокого давл</x:v>
      </x:c>
      <x:c r="E207" s="16" t="str">
        <x:v>ШТ</x:v>
      </x:c>
      <x:c r="F207" s="21" t="n">
        <x:v>2</x:v>
      </x:c>
      <x:c r="G207" s="17" t="n">
        <x:v>525.6736</x:v>
      </x:c>
      <x:c r="H207" s="17" t="n">
        <x:f>G207*F207</x:f>
        <x:v>1051.3472</x:v>
      </x:c>
      <x:c r="I207" s="22" t="str">
        <x:f>HYPERLINK("https://etp-aktiv.ru/catalog/materialy/rezino-tekhnicheskie-izdeliya/2000308692-V119/","Открыть позицию")</x:f>
        <x:v>Открыть позицию</x:v>
      </x:c>
    </x:row>
    <x:row r="208" ht="28" customHeight="1">
      <x:c r="A208" s="16" t="str">
        <x:v>Красноярская ТЭЦ-1</x:v>
      </x:c>
      <x:c r="B208" s="16" t="str">
        <x:v>2000165703-V119</x:v>
      </x:c>
      <x:c r="C208" s="16" t="str">
        <x:v>РЕЗИНА ЛИСТОВАЯ 5ММ ТМКЩС ГОСТ7338-90</x:v>
      </x:c>
      <x:c r="D208" s="16" t="str">
        <x:v>Проч резино-тех изд</x:v>
      </x:c>
      <x:c r="E208" s="16" t="str">
        <x:v>КГ</x:v>
      </x:c>
      <x:c r="F208" s="26" t="n">
        <x:v>18.9</x:v>
      </x:c>
      <x:c r="G208" s="17" t="n">
        <x:v>36.112</x:v>
      </x:c>
      <x:c r="H208" s="17" t="n">
        <x:f>G208*F208</x:f>
        <x:v>682.5168</x:v>
      </x:c>
      <x:c r="I208" s="22" t="str">
        <x:f>HYPERLINK("https://etp-aktiv.ru/catalog/materialy/rezino-tekhnicheskie-izdeliya/2000165703-V119/","Открыть позицию")</x:f>
        <x:v>Открыть позицию</x:v>
      </x:c>
    </x:row>
    <x:row r="209" ht="28" customHeight="1">
      <x:c r="A209" s="16" t="str">
        <x:v>Красноярская ТЭЦ-1</x:v>
      </x:c>
      <x:c r="B209" s="16" t="str">
        <x:v>2000001467-V119</x:v>
      </x:c>
      <x:c r="C209" s="16" t="str">
        <x:v>РЕМЕНЬ ВЕНТИЛЯТОРА 1-11*10-1280</x:v>
      </x:c>
      <x:c r="D209" s="16" t="str">
        <x:v>Проч резино-тех изд</x:v>
      </x:c>
      <x:c r="E209" s="16" t="str">
        <x:v>ШТ</x:v>
      </x:c>
      <x:c r="F209" s="21" t="n">
        <x:v>3</x:v>
      </x:c>
      <x:c r="G209" s="17" t="n">
        <x:v>33.757400000000004</x:v>
      </x:c>
      <x:c r="H209" s="17" t="n">
        <x:f>G209*F209</x:f>
        <x:v>101.27220000000001</x:v>
      </x:c>
      <x:c r="I209" s="22" t="str">
        <x:f>HYPERLINK("https://etp-aktiv.ru/catalog/materialy/rezino-tekhnicheskie-izdeliya/2000001467-V119/","Открыть позицию")</x:f>
        <x:v>Открыть позицию</x:v>
      </x:c>
    </x:row>
    <x:row r="210" ht="28" customHeight="1">
      <x:c r="A210" s="16" t="str">
        <x:v>Красноярская ТЭЦ-1</x:v>
      </x:c>
      <x:c r="B210" s="16" t="str">
        <x:v>2000007258-V119</x:v>
      </x:c>
      <x:c r="C210" s="16" t="str">
        <x:v>РУКАВ НАП-ВС ГОФ В D150 P10 ГОСТ5398-76</x:v>
      </x:c>
      <x:c r="D210" s="16" t="str">
        <x:v>РТИ и прч спец.заказ</x:v>
      </x:c>
      <x:c r="E210" s="16" t="str">
        <x:v>ПМ</x:v>
      </x:c>
      <x:c r="F210" s="21" t="n">
        <x:v>60</x:v>
      </x:c>
      <x:c r="G210" s="17" t="n">
        <x:v>1200.0529999999999</x:v>
      </x:c>
      <x:c r="H210" s="17" t="n">
        <x:f>G210*F210</x:f>
        <x:v>72003.18</x:v>
      </x:c>
      <x:c r="I210" s="22" t="str">
        <x:f>HYPERLINK("https://etp-aktiv.ru/catalog/materialy/rezino-tekhnicheskie-izdeliya/2000007258-V119/","Открыть позицию")</x:f>
        <x:v>Открыть позицию</x:v>
      </x:c>
    </x:row>
    <x:row r="211" ht="28" customHeight="1">
      <x:c r="A211" s="16" t="str">
        <x:v>Красноярская ТЭЦ-1</x:v>
      </x:c>
      <x:c r="B211" s="16" t="str">
        <x:v>2000199560-V119</x:v>
      </x:c>
      <x:c r="C211" s="16" t="str">
        <x:v>РУКАВ НАПОР-ВСАС Б D100 P1 ГОСТ5398-76</x:v>
      </x:c>
      <x:c r="D211" s="16" t="str">
        <x:v>РТИ и прч спец.заказ</x:v>
      </x:c>
      <x:c r="E211" s="16" t="str">
        <x:v>М</x:v>
      </x:c>
      <x:c r="F211" s="21" t="n">
        <x:v>4</x:v>
      </x:c>
      <x:c r="G211" s="17" t="n">
        <x:v>579.7318</x:v>
      </x:c>
      <x:c r="H211" s="17" t="n">
        <x:f>G211*F211</x:f>
        <x:v>2318.9272</x:v>
      </x:c>
      <x:c r="I211" s="22" t="str">
        <x:f>HYPERLINK("https://etp-aktiv.ru/catalog/materialy/rezino-tekhnicheskie-izdeliya/2000199560-V119/","Открыть позицию")</x:f>
        <x:v>Открыть позицию</x:v>
      </x:c>
    </x:row>
    <x:row r="212" ht="28" customHeight="1">
      <x:c r="A212" s="16" t="str">
        <x:v>Красноярская ТЭЦ-1</x:v>
      </x:c>
      <x:c r="B212" s="16" t="str">
        <x:v>2000549056-V119</x:v>
      </x:c>
      <x:c r="C212" s="16" t="str">
        <x:v>СКОРЛУПА ППУ СПЛ 108/50</x:v>
      </x:c>
      <x:c r="D212" s="16" t="str">
        <x:v>Теплоизоляция</x:v>
      </x:c>
      <x:c r="E212" s="16" t="str">
        <x:v>ПМ</x:v>
      </x:c>
      <x:c r="F212" s="21" t="n">
        <x:v>890</x:v>
      </x:c>
      <x:c r="G212" s="17" t="n">
        <x:v>154.696</x:v>
      </x:c>
      <x:c r="H212" s="17" t="n">
        <x:f>G212*F212</x:f>
        <x:v>137679.44</x:v>
      </x:c>
      <x:c r="I212" s="22" t="str">
        <x:f>HYPERLINK("https://etp-aktiv.ru/catalog/materialy/teploizolyaciya/2000549056-V119/","Открыть позицию")</x:f>
        <x:v>Открыть позицию</x:v>
      </x:c>
    </x:row>
    <x:row r="213" ht="28" customHeight="1">
      <x:c r="A213" s="16" t="str">
        <x:v>Красноярская ТЭЦ-1</x:v>
      </x:c>
      <x:c r="B213" s="16" t="str">
        <x:v>2000548588-V119</x:v>
      </x:c>
      <x:c r="C213" s="16" t="str">
        <x:v>СТЕКЛОЛАКОТКАНЬ ЛСМ 0,15ММ</x:v>
      </x:c>
      <x:c r="D213" s="16" t="str">
        <x:v>Э/изоляцион мат-лы</x:v>
      </x:c>
      <x:c r="E213" s="16" t="str">
        <x:v>М</x:v>
      </x:c>
      <x:c r="F213" s="26" t="n">
        <x:v>3.45</x:v>
      </x:c>
      <x:c r="G213" s="17" t="n">
        <x:v>99.1128</x:v>
      </x:c>
      <x:c r="H213" s="17" t="n">
        <x:f>G213*F213</x:f>
        <x:v>341.93916</x:v>
      </x:c>
      <x:c r="I213" s="22" t="str">
        <x:f>HYPERLINK("https://etp-aktiv.ru/catalog/materialy/ehlektroizolyacionnye-materialy/2000548588-V119/","Открыть позицию")</x:f>
        <x:v>Открыть позицию</x:v>
      </x:c>
    </x:row>
    <x:row r="214" ht="28" customHeight="1">
      <x:c r="A214" s="16" t="str">
        <x:v>Красноярская ТЭЦ-1</x:v>
      </x:c>
      <x:c r="B214" s="16" t="str">
        <x:v>2000548622-V119</x:v>
      </x:c>
      <x:c r="C214" s="16" t="str">
        <x:v>СТЕРЖЕНЬ ТЕКСТОЛИТ 1С 80*1000 ГОСТ5385</x:v>
      </x:c>
      <x:c r="D214" s="16" t="str">
        <x:v>Э/изоляцион мат-лы</x:v>
      </x:c>
      <x:c r="E214" s="16" t="str">
        <x:v>КГ</x:v>
      </x:c>
      <x:c r="F214" s="26" t="n">
        <x:v>5.2</x:v>
      </x:c>
      <x:c r="G214" s="17" t="n">
        <x:v>218.81920000000002</x:v>
      </x:c>
      <x:c r="H214" s="17" t="n">
        <x:f>G214*F214</x:f>
        <x:v>1137.85984</x:v>
      </x:c>
      <x:c r="I214" s="22" t="str">
        <x:f>HYPERLINK("https://etp-aktiv.ru/catalog/materialy/ehlektroizolyacionnye-materialy/2000548622-V119/","Открыть позицию")</x:f>
        <x:v>Открыть позицию</x:v>
      </x:c>
    </x:row>
    <x:row r="215" ht="28" customHeight="1">
      <x:c r="A215" s="16" t="str">
        <x:v>Красноярская ТЭЦ-1</x:v>
      </x:c>
      <x:c r="B215" s="16" t="str">
        <x:v>2000548628-V119</x:v>
      </x:c>
      <x:c r="C215" s="16" t="str">
        <x:v>СТЕРЖЕНЬ ФТОРОПЛАСТ Ф-4 30*400ММ (ШТ)</x:v>
      </x:c>
      <x:c r="D215" s="16" t="str">
        <x:v>Э/изоляцион мат-лы</x:v>
      </x:c>
      <x:c r="E215" s="16" t="str">
        <x:v>ШТ</x:v>
      </x:c>
      <x:c r="F215" s="21" t="n">
        <x:v>4</x:v>
      </x:c>
      <x:c r="G215" s="17" t="n">
        <x:v>511.2532</x:v>
      </x:c>
      <x:c r="H215" s="17" t="n">
        <x:f>G215*F215</x:f>
        <x:v>2045.0128</x:v>
      </x:c>
      <x:c r="I215" s="22" t="str">
        <x:f>HYPERLINK("https://etp-aktiv.ru/catalog/materialy/ehlektroizolyacionnye-materialy/2000548628-V119/","Открыть позицию")</x:f>
        <x:v>Открыть позицию</x:v>
      </x:c>
    </x:row>
    <x:row r="216" ht="28" customHeight="1">
      <x:c r="A216" s="16" t="str">
        <x:v>Красноярская ТЭЦ-1</x:v>
      </x:c>
      <x:c r="B216" s="16" t="str">
        <x:v>2000548631-V119</x:v>
      </x:c>
      <x:c r="C216" s="16" t="str">
        <x:v>СТЕРЖЕНЬ ФТОРОПЛАСТ Ф-4 50*1000ММ</x:v>
      </x:c>
      <x:c r="D216" s="16" t="str">
        <x:v>Э/изоляцион мат-лы</x:v>
      </x:c>
      <x:c r="E216" s="16" t="str">
        <x:v>КГ</x:v>
      </x:c>
      <x:c r="F216" s="26" t="n">
        <x:v>41.3</x:v>
      </x:c>
      <x:c r="G216" s="17" t="n">
        <x:v>478.8744</x:v>
      </x:c>
      <x:c r="H216" s="17" t="n">
        <x:f>G216*F216</x:f>
        <x:v>19777.51272</x:v>
      </x:c>
      <x:c r="I216" s="22" t="str">
        <x:f>HYPERLINK("https://etp-aktiv.ru/catalog/materialy/ehlektroizolyacionnye-materialy/2000548631-V119/","Открыть позицию")</x:f>
        <x:v>Открыть позицию</x:v>
      </x:c>
    </x:row>
    <x:row r="217" ht="28" customHeight="1">
      <x:c r="A217" s="16" t="str">
        <x:v>Красноярская ТЭЦ-1</x:v>
      </x:c>
      <x:c r="B217" s="16" t="str">
        <x:v>2000548640-V119</x:v>
      </x:c>
      <x:c r="C217" s="16" t="str">
        <x:v>ТЕКСТОЛИТ А 1С 10ММ ГОСТ2910-74</x:v>
      </x:c>
      <x:c r="D217" s="16" t="str">
        <x:v>Э/изоляцион мат-лы</x:v>
      </x:c>
      <x:c r="E217" s="16" t="str">
        <x:v>КГ</x:v>
      </x:c>
      <x:c r="F217" s="26" t="n">
        <x:v>25.8</x:v>
      </x:c>
      <x:c r="G217" s="17" t="n">
        <x:v>149.3524</x:v>
      </x:c>
      <x:c r="H217" s="17" t="n">
        <x:f>G217*F217</x:f>
        <x:v>3853.2919199999997</x:v>
      </x:c>
      <x:c r="I217" s="22" t="str">
        <x:f>HYPERLINK("https://etp-aktiv.ru/catalog/materialy/ehlektroizolyacionnye-materialy/2000548640-V119/","Открыть позицию")</x:f>
        <x:v>Открыть позицию</x:v>
      </x:c>
    </x:row>
    <x:row r="218" ht="28" customHeight="1">
      <x:c r="A218" s="16" t="str">
        <x:v>Красноярская ТЭЦ-1</x:v>
      </x:c>
      <x:c r="B218" s="16" t="str">
        <x:v>2000548653-V119</x:v>
      </x:c>
      <x:c r="C218" s="16" t="str">
        <x:v>ТЕКСТОЛИТ Б 1С 60ММ ГОСТ2910-74</x:v>
      </x:c>
      <x:c r="D218" s="16" t="str">
        <x:v>Э/изоляцион мат-лы</x:v>
      </x:c>
      <x:c r="E218" s="16" t="str">
        <x:v>КГ</x:v>
      </x:c>
      <x:c r="F218" s="26" t="n">
        <x:v>7.4</x:v>
      </x:c>
      <x:c r="G218" s="17" t="n">
        <x:v>235.93579999999997</x:v>
      </x:c>
      <x:c r="H218" s="17" t="n">
        <x:f>G218*F218</x:f>
        <x:v>1745.92492</x:v>
      </x:c>
      <x:c r="I218" s="22" t="str">
        <x:f>HYPERLINK("https://etp-aktiv.ru/catalog/materialy/ehlektroizolyacionnye-materialy/2000548653-V119/","Открыть позицию")</x:f>
        <x:v>Открыть позицию</x:v>
      </x:c>
    </x:row>
    <x:row r="219" ht="28" customHeight="1">
      <x:c r="A219" s="16" t="str">
        <x:v>Красноярская ТЭЦ-1</x:v>
      </x:c>
      <x:c r="B219" s="16" t="str">
        <x:v>2000546975-V119</x:v>
      </x:c>
      <x:c r="C219" s="16" t="str">
        <x:v>ТЕХПЛАСТИНА 10ММ 1Ф-I-ТМКЩ-С ГОСТ7338-90</x:v>
      </x:c>
      <x:c r="D219" s="16" t="str">
        <x:v>Проч резино-тех изд</x:v>
      </x:c>
      <x:c r="E219" s="16" t="str">
        <x:v>КГ</x:v>
      </x:c>
      <x:c r="F219" s="21" t="n">
        <x:v>7</x:v>
      </x:c>
      <x:c r="G219" s="17" t="n">
        <x:v>52.435599999999994</x:v>
      </x:c>
      <x:c r="H219" s="17" t="n">
        <x:f>G219*F219</x:f>
        <x:v>367.0491999999999</x:v>
      </x:c>
      <x:c r="I219" s="22" t="str">
        <x:f>HYPERLINK("https://etp-aktiv.ru/catalog/materialy/rezino-tekhnicheskie-izdeliya/2000546975-V119/","Открыть позицию")</x:f>
        <x:v>Открыть позицию</x:v>
      </x:c>
    </x:row>
    <x:row r="220" ht="28" customHeight="1">
      <x:c r="A220" s="16" t="str">
        <x:v>Красноярская ТЭЦ-1</x:v>
      </x:c>
      <x:c r="B220" s="16" t="str">
        <x:v>2000546988-V119</x:v>
      </x:c>
      <x:c r="C220" s="16" t="str">
        <x:v>ТЕХПЛАСТИНА 14ММ 2Н I-ТИП МБС ГОСТ7338</x:v>
      </x:c>
      <x:c r="D220" s="16" t="str">
        <x:v>Проч резино-тех изд</x:v>
      </x:c>
      <x:c r="E220" s="16" t="str">
        <x:v>КГ</x:v>
      </x:c>
      <x:c r="F220" s="26" t="n">
        <x:v>48.7</x:v>
      </x:c>
      <x:c r="G220" s="17" t="n">
        <x:v>77.5066</x:v>
      </x:c>
      <x:c r="H220" s="17" t="n">
        <x:f>G220*F220</x:f>
        <x:v>3774.5714200000007</x:v>
      </x:c>
      <x:c r="I220" s="22" t="str">
        <x:f>HYPERLINK("https://etp-aktiv.ru/catalog/materialy/rezino-tekhnicheskie-izdeliya/2000546988-V119/","Открыть позицию")</x:f>
        <x:v>Открыть позицию</x:v>
      </x:c>
    </x:row>
    <x:row r="221" ht="28" customHeight="1">
      <x:c r="A221" s="16" t="str">
        <x:v>Красноярская ТЭЦ-1</x:v>
      </x:c>
      <x:c r="B221" s="16" t="str">
        <x:v>2000546994-V119</x:v>
      </x:c>
      <x:c r="C221" s="16" t="str">
        <x:v>ТЕХПЛАСТИНА 3 2Н-I-ТМКЩ-С ГОСТ7338-90</x:v>
      </x:c>
      <x:c r="D221" s="16" t="str">
        <x:v>Проч резино-тех изд</x:v>
      </x:c>
      <x:c r="E221" s="16" t="str">
        <x:v>КГ</x:v>
      </x:c>
      <x:c r="F221" s="26" t="n">
        <x:v>5.85</x:v>
      </x:c>
      <x:c r="G221" s="17" t="n">
        <x:v>45.94519999999999</x:v>
      </x:c>
      <x:c r="H221" s="17" t="n">
        <x:f>G221*F221</x:f>
        <x:v>268.77941999999996</x:v>
      </x:c>
      <x:c r="I221" s="22" t="str">
        <x:f>HYPERLINK("https://etp-aktiv.ru/catalog/materialy/rezino-tekhnicheskie-izdeliya/2000546994-V119/","Открыть позицию")</x:f>
        <x:v>Открыть позицию</x:v>
      </x:c>
    </x:row>
    <x:row r="222" ht="28" customHeight="1">
      <x:c r="A222" s="16" t="str">
        <x:v>Красноярская ТЭЦ-1</x:v>
      </x:c>
      <x:c r="B222" s="16" t="str">
        <x:v>2000546978-V119</x:v>
      </x:c>
      <x:c r="C222" s="16" t="str">
        <x:v>ТЕХПЛАСТИНА 40 2H-I-МБС-С-40 ГОСТ7338-90</x:v>
      </x:c>
      <x:c r="D222" s="16" t="str">
        <x:v>Проч резино-тех изд</x:v>
      </x:c>
      <x:c r="E222" s="16" t="str">
        <x:v>КГ</x:v>
      </x:c>
      <x:c r="F222" s="26" t="n">
        <x:v>65.1</x:v>
      </x:c>
      <x:c r="G222" s="17" t="n">
        <x:v>66.7828</x:v>
      </x:c>
      <x:c r="H222" s="17" t="n">
        <x:f>G222*F222</x:f>
        <x:v>4347.56028</x:v>
      </x:c>
      <x:c r="I222" s="22" t="str">
        <x:f>HYPERLINK("https://etp-aktiv.ru/catalog/materialy/rezino-tekhnicheskie-izdeliya/2000546978-V119/","Открыть позицию")</x:f>
        <x:v>Открыть позицию</x:v>
      </x:c>
    </x:row>
    <x:row r="223" ht="28" customHeight="1">
      <x:c r="A223" s="16" t="str">
        <x:v>Красноярская ТЭЦ-1</x:v>
      </x:c>
      <x:c r="B223" s="16" t="str">
        <x:v>2000141951-V119</x:v>
      </x:c>
      <x:c r="C223" s="16" t="str">
        <x:v>ТЕХПЛАСТИНА 5ММ ТКМЩ ГОСТ7338-90</x:v>
      </x:c>
      <x:c r="D223" s="16" t="str">
        <x:v>Проч резино-тех изд</x:v>
      </x:c>
      <x:c r="E223" s="16" t="str">
        <x:v>КГ</x:v>
      </x:c>
      <x:c r="F223" s="26" t="n">
        <x:v>3.08</x:v>
      </x:c>
      <x:c r="G223" s="17" t="n">
        <x:v>56.6202</x:v>
      </x:c>
      <x:c r="H223" s="17" t="n">
        <x:f>G223*F223</x:f>
        <x:v>174.39021599999998</x:v>
      </x:c>
      <x:c r="I223" s="22" t="str">
        <x:f>HYPERLINK("https://etp-aktiv.ru/catalog/materialy/rezino-tekhnicheskie-izdeliya/2000141951-V119/","Открыть позицию")</x:f>
        <x:v>Открыть позицию</x:v>
      </x:c>
    </x:row>
    <x:row r="224" ht="28" customHeight="1">
      <x:c r="A224" s="16" t="str">
        <x:v>Красноярская ТЭЦ-1</x:v>
      </x:c>
      <x:c r="B224" s="16" t="str">
        <x:v>2000546981-V119</x:v>
      </x:c>
      <x:c r="C224" s="16" t="str">
        <x:v>ТЕХПЛАСТИНА 8 2Н-1 МБС-С ГОСТ7338-90</x:v>
      </x:c>
      <x:c r="D224" s="16" t="str">
        <x:v>Проч резино-тех изд</x:v>
      </x:c>
      <x:c r="E224" s="16" t="str">
        <x:v>КГ</x:v>
      </x:c>
      <x:c r="F224" s="26" t="n">
        <x:v>138.17</x:v>
      </x:c>
      <x:c r="G224" s="17" t="n">
        <x:v>205.3992</x:v>
      </x:c>
      <x:c r="H224" s="17" t="n">
        <x:f>G224*F224</x:f>
        <x:v>28380.007464</x:v>
      </x:c>
      <x:c r="I224" s="22" t="str">
        <x:f>HYPERLINK("https://etp-aktiv.ru/catalog/materialy/rezino-tekhnicheskie-izdeliya/2000546981-V119/","Открыть позицию")</x:f>
        <x:v>Открыть позицию</x:v>
      </x:c>
    </x:row>
    <x:row r="225" ht="28" customHeight="1">
      <x:c r="A225" s="16" t="str">
        <x:v>Красноярская ТЭЦ-1</x:v>
      </x:c>
      <x:c r="B225" s="16" t="str">
        <x:v>2000547055-V119</x:v>
      </x:c>
      <x:c r="C225" s="16" t="str">
        <x:v>ТЕХПЛАСТИНА 8 2Н-1ТМКЩ-С ГОСТ7338-90</x:v>
      </x:c>
      <x:c r="D225" s="16" t="str">
        <x:v>Проч резино-тех изд</x:v>
      </x:c>
      <x:c r="E225" s="16" t="str">
        <x:v>КГ</x:v>
      </x:c>
      <x:c r="F225" s="26" t="n">
        <x:v>65.047</x:v>
      </x:c>
      <x:c r="G225" s="17" t="n">
        <x:v>104.5174</x:v>
      </x:c>
      <x:c r="H225" s="17" t="n">
        <x:f>G225*F225</x:f>
        <x:v>6798.543317799999</x:v>
      </x:c>
      <x:c r="I225" s="22" t="str">
        <x:f>HYPERLINK("https://etp-aktiv.ru/catalog/materialy/rezino-tekhnicheskie-izdeliya/2000547055-V119/","Открыть позицию")</x:f>
        <x:v>Открыть позицию</x:v>
      </x:c>
    </x:row>
    <x:row r="226" ht="28" customHeight="1">
      <x:c r="A226" s="16" t="str">
        <x:v>Красноярская ТЭЦ-1</x:v>
      </x:c>
      <x:c r="B226" s="16" t="str">
        <x:v>2000547082-V119</x:v>
      </x:c>
      <x:c r="C226" s="16" t="str">
        <x:v>ТЕХПЛАСТИНА ЛИСТ 6 1000*800 УМ ГОСТ12855</x:v>
      </x:c>
      <x:c r="D226" s="16" t="str">
        <x:v>Проч резино-тех изд</x:v>
      </x:c>
      <x:c r="E226" s="16" t="str">
        <x:v>КГ</x:v>
      </x:c>
      <x:c r="F226" s="30" t="n">
        <x:v>0.9</x:v>
      </x:c>
      <x:c r="G226" s="17" t="n">
        <x:v>120.658</x:v>
      </x:c>
      <x:c r="H226" s="17" t="n">
        <x:f>G226*F226</x:f>
        <x:v>108.5922</x:v>
      </x:c>
      <x:c r="I226" s="22" t="str">
        <x:f>HYPERLINK("https://etp-aktiv.ru/catalog/materialy/rezino-tekhnicheskie-izdeliya/2000547082-V119/","Открыть позицию")</x:f>
        <x:v>Открыть позицию</x:v>
      </x:c>
    </x:row>
    <x:row r="227" ht="28" customHeight="1">
      <x:c r="A227" s="16" t="str">
        <x:v>Красноярская ТЭЦ-1</x:v>
      </x:c>
      <x:c r="B227" s="16" t="str">
        <x:v>2000563531-V119</x:v>
      </x:c>
      <x:c r="C227" s="16" t="str">
        <x:v>ТЕХПЛАСТИНА РУЛОН УМ 6*1000*3000</x:v>
      </x:c>
      <x:c r="D227" s="16" t="str">
        <x:v>Проч резино-тех изд</x:v>
      </x:c>
      <x:c r="E227" s="16" t="str">
        <x:v>КГ</x:v>
      </x:c>
      <x:c r="F227" s="26" t="n">
        <x:v>1.35</x:v>
      </x:c>
      <x:c r="G227" s="17" t="n">
        <x:v>190.015</x:v>
      </x:c>
      <x:c r="H227" s="17" t="n">
        <x:f>G227*F227</x:f>
        <x:v>256.52025</x:v>
      </x:c>
      <x:c r="I227" s="22" t="str">
        <x:f>HYPERLINK("https://etp-aktiv.ru/catalog/materialy/rezino-tekhnicheskie-izdeliya/2000563531-V119/","Открыть позицию")</x:f>
        <x:v>Открыть позицию</x:v>
      </x:c>
    </x:row>
    <x:row r="228" ht="28" customHeight="1">
      <x:c r="A228" s="16" t="str">
        <x:v>Красноярская ТЭЦ-1</x:v>
      </x:c>
      <x:c r="B228" s="16" t="str">
        <x:v>2000546896-V119</x:v>
      </x:c>
      <x:c r="C228" s="16" t="str">
        <x:v>ШНУР 10*20 1,1С ГОСТ6467-79</x:v>
      </x:c>
      <x:c r="D228" s="16" t="str">
        <x:v>Проч резино-тех изд</x:v>
      </x:c>
      <x:c r="E228" s="16" t="str">
        <x:v>КГ</x:v>
      </x:c>
      <x:c r="F228" s="26" t="n">
        <x:v>13.55</x:v>
      </x:c>
      <x:c r="G228" s="17" t="n">
        <x:v>120.97519999999999</x:v>
      </x:c>
      <x:c r="H228" s="17" t="n">
        <x:f>G228*F228</x:f>
        <x:v>1639.2139599999998</x:v>
      </x:c>
      <x:c r="I228" s="22" t="str">
        <x:f>HYPERLINK("https://etp-aktiv.ru/catalog/materialy/rezino-tekhnicheskie-izdeliya/2000546896-V119/","Открыть позицию")</x:f>
        <x:v>Открыть позицию</x:v>
      </x:c>
    </x:row>
    <x:row r="229" ht="28" customHeight="1">
      <x:c r="A229" s="16" t="str">
        <x:v>Красноярская ТЭЦ-1</x:v>
      </x:c>
      <x:c r="B229" s="16" t="str">
        <x:v>2000546914-V119</x:v>
      </x:c>
      <x:c r="C229" s="16" t="str">
        <x:v>ШНУР 10ММ ИРП-1338 ТУ38.1051165-90</x:v>
      </x:c>
      <x:c r="D229" s="16" t="str">
        <x:v>Проч резино-тех изд</x:v>
      </x:c>
      <x:c r="E229" s="16" t="str">
        <x:v>КГ</x:v>
      </x:c>
      <x:c r="F229" s="26" t="n">
        <x:v>6.55</x:v>
      </x:c>
      <x:c r="G229" s="17" t="n">
        <x:v>907.0822</x:v>
      </x:c>
      <x:c r="H229" s="17" t="n">
        <x:f>G229*F229</x:f>
        <x:v>5941.38841</x:v>
      </x:c>
      <x:c r="I229" s="22" t="str">
        <x:f>HYPERLINK("https://etp-aktiv.ru/catalog/materialy/rezino-tekhnicheskie-izdeliya/2000546914-V119/","Открыть позицию")</x:f>
        <x:v>Открыть позицию</x:v>
      </x:c>
    </x:row>
    <x:row r="230" ht="28" customHeight="1">
      <x:c r="A230" s="16" t="str">
        <x:v>Красноярская ТЭЦ-1</x:v>
      </x:c>
      <x:c r="B230" s="16" t="str">
        <x:v>2000546904-V119</x:v>
      </x:c>
      <x:c r="C230" s="16" t="str">
        <x:v>ШНУР 12*32 2-4С ГОСТ6467-79</x:v>
      </x:c>
      <x:c r="D230" s="16" t="str">
        <x:v>Проч резино-тех изд</x:v>
      </x:c>
      <x:c r="E230" s="16" t="str">
        <x:v>КГ</x:v>
      </x:c>
      <x:c r="F230" s="30" t="n">
        <x:v>0.02</x:v>
      </x:c>
      <x:c r="G230" s="17" t="n">
        <x:v>216.1718</x:v>
      </x:c>
      <x:c r="H230" s="17" t="n">
        <x:f>G230*F230</x:f>
        <x:v>4.323436</x:v>
      </x:c>
      <x:c r="I230" s="22" t="str">
        <x:f>HYPERLINK("https://etp-aktiv.ru/catalog/materialy/rezino-tekhnicheskie-izdeliya/2000546904-V119/","Открыть позицию")</x:f>
        <x:v>Открыть позицию</x:v>
      </x:c>
    </x:row>
    <x:row r="231" ht="28" customHeight="1">
      <x:c r="A231" s="16" t="str">
        <x:v>Красноярская ТЭЦ-1</x:v>
      </x:c>
      <x:c r="B231" s="16" t="str">
        <x:v>2000546913-V119</x:v>
      </x:c>
      <x:c r="C231" s="16" t="str">
        <x:v>ШНУР 14Р-2 10ММ ТУ38.1051165-90</x:v>
      </x:c>
      <x:c r="D231" s="16" t="str">
        <x:v>Проч резино-тех изд</x:v>
      </x:c>
      <x:c r="E231" s="16" t="str">
        <x:v>КГ</x:v>
      </x:c>
      <x:c r="F231" s="30" t="n">
        <x:v>0.56</x:v>
      </x:c>
      <x:c r="G231" s="17" t="n">
        <x:v>1306.864</x:v>
      </x:c>
      <x:c r="H231" s="17" t="n">
        <x:f>G231*F231</x:f>
        <x:v>731.8438400000001</x:v>
      </x:c>
      <x:c r="I231" s="22" t="str">
        <x:f>HYPERLINK("https://etp-aktiv.ru/catalog/materialy/rezino-tekhnicheskie-izdeliya/2000546913-V119/","Открыть позицию")</x:f>
        <x:v>Открыть позицию</x:v>
      </x:c>
    </x:row>
    <x:row r="232" ht="28" customHeight="1">
      <x:c r="A232" s="16" t="str">
        <x:v>Красноярская ТЭЦ-1</x:v>
      </x:c>
      <x:c r="B232" s="16" t="str">
        <x:v>2000046190-V119</x:v>
      </x:c>
      <x:c r="C232" s="16" t="str">
        <x:v>ШНУР АСБЕСТ ШАОН 3ММ</x:v>
      </x:c>
      <x:c r="D232" s="16" t="str">
        <x:v>Асбо-технические изд</x:v>
      </x:c>
      <x:c r="E232" s="16" t="str">
        <x:v>КГ</x:v>
      </x:c>
      <x:c r="F232" s="21" t="n">
        <x:v>20</x:v>
      </x:c>
      <x:c r="G232" s="17" t="n">
        <x:v>124.44</x:v>
      </x:c>
      <x:c r="H232" s="17" t="n">
        <x:f>G232*F232</x:f>
        <x:v>2488.8</x:v>
      </x:c>
      <x:c r="I232" s="22" t="str">
        <x:f>HYPERLINK("https://etp-aktiv.ru/catalog/materialy/asbo-tekhnicheskie-izdeliya/2000046190-V119/","Открыть позицию")</x:f>
        <x:v>Открыть позицию</x:v>
      </x:c>
    </x:row>
    <x:row r="233" ht="28" customHeight="1">
      <x:c r="A233" s="16" t="str">
        <x:v>Красноярская ТЭЦ-1</x:v>
      </x:c>
      <x:c r="B233" s="16" t="str">
        <x:v>2000133782-V119</x:v>
      </x:c>
      <x:c r="C233" s="16" t="str">
        <x:v>ШНУР МБС 4С D8ММ ГОСТ6467-79</x:v>
      </x:c>
      <x:c r="D233" s="16" t="str">
        <x:v>Проч резино-тех изд</x:v>
      </x:c>
      <x:c r="E233" s="16" t="str">
        <x:v>КГ</x:v>
      </x:c>
      <x:c r="F233" s="26" t="n">
        <x:v>66.23</x:v>
      </x:c>
      <x:c r="G233" s="17" t="n">
        <x:v>124.84259999999999</x:v>
      </x:c>
      <x:c r="H233" s="17" t="n">
        <x:f>G233*F233</x:f>
        <x:v>8268.325397999999</x:v>
      </x:c>
      <x:c r="I233" s="22" t="str">
        <x:f>HYPERLINK("https://etp-aktiv.ru/catalog/materialy/rezino-tekhnicheskie-izdeliya/2000133782-V119/","Открыть позицию")</x:f>
        <x:v>Открыть позицию</x:v>
      </x:c>
    </x:row>
    <x:row r="234" ht="28" customHeight="1">
      <x:c r="A234" s="16" t="str">
        <x:v>Красноярская ТЭЦ-1</x:v>
      </x:c>
      <x:c r="B234" s="16" t="str">
        <x:v>2000546763-V119</x:v>
      </x:c>
      <x:c r="C234" s="16" t="str">
        <x:v>ШНУР РЕЗ 1,2C 5 ГОСТ6467-79</x:v>
      </x:c>
      <x:c r="D234" s="16" t="str">
        <x:v>Проч резино-тех изд</x:v>
      </x:c>
      <x:c r="E234" s="16" t="str">
        <x:v>КГ</x:v>
      </x:c>
      <x:c r="F234" s="26" t="n">
        <x:v>2.175</x:v>
      </x:c>
      <x:c r="G234" s="17" t="n">
        <x:v>111.3006</x:v>
      </x:c>
      <x:c r="H234" s="17" t="n">
        <x:f>G234*F234</x:f>
        <x:v>242.078805</x:v>
      </x:c>
      <x:c r="I234" s="22" t="str">
        <x:f>HYPERLINK("https://etp-aktiv.ru/catalog/materialy/rezino-tekhnicheskie-izdeliya/2000546763-V119/","Открыть позицию")</x:f>
        <x:v>Открыть позицию</x:v>
      </x:c>
    </x:row>
    <x:row r="235" ht="28" customHeight="1">
      <x:c r="A235" s="16" t="str">
        <x:v>Красноярская ТЭЦ-1</x:v>
      </x:c>
      <x:c r="B235" s="16" t="str">
        <x:v>2000546765-V119</x:v>
      </x:c>
      <x:c r="C235" s="16" t="str">
        <x:v>ШНУР РЕЗ 1,2C 7 ГОСТ6467-79</x:v>
      </x:c>
      <x:c r="D235" s="16" t="str">
        <x:v>Проч резино-тех изд</x:v>
      </x:c>
      <x:c r="E235" s="16" t="str">
        <x:v>КГ</x:v>
      </x:c>
      <x:c r="F235" s="26" t="n">
        <x:v>4.25</x:v>
      </x:c>
      <x:c r="G235" s="17" t="n">
        <x:v>106.018</x:v>
      </x:c>
      <x:c r="H235" s="17" t="n">
        <x:f>G235*F235</x:f>
        <x:v>450.5765</x:v>
      </x:c>
      <x:c r="I235" s="22" t="str">
        <x:f>HYPERLINK("https://etp-aktiv.ru/catalog/materialy/rezino-tekhnicheskie-izdeliya/2000546765-V119/","Открыть позицию")</x:f>
        <x:v>Открыть позицию</x:v>
      </x:c>
    </x:row>
    <x:row r="236" ht="28" customHeight="1">
      <x:c r="A236" s="16" t="str">
        <x:v>Красноярская ТЭЦ-1</x:v>
      </x:c>
      <x:c r="B236" s="16" t="str">
        <x:v>2000546782-V119</x:v>
      </x:c>
      <x:c r="C236" s="16" t="str">
        <x:v>ШНУР РЕЗ 2,4C 11,0 ГОСТ6467-79</x:v>
      </x:c>
      <x:c r="D236" s="16" t="str">
        <x:v>Проч резино-тех изд</x:v>
      </x:c>
      <x:c r="E236" s="16" t="str">
        <x:v>КГ</x:v>
      </x:c>
      <x:c r="F236" s="30" t="n">
        <x:v>0.6</x:v>
      </x:c>
      <x:c r="G236" s="17" t="n">
        <x:v>195.2122</x:v>
      </x:c>
      <x:c r="H236" s="17" t="n">
        <x:f>G236*F236</x:f>
        <x:v>117.12732</x:v>
      </x:c>
      <x:c r="I236" s="22" t="str">
        <x:f>HYPERLINK("https://etp-aktiv.ru/catalog/materialy/rezino-tekhnicheskie-izdeliya/2000546782-V119/","Открыть позицию")</x:f>
        <x:v>Открыть позицию</x:v>
      </x:c>
    </x:row>
    <x:row r="237" ht="28" customHeight="1">
      <x:c r="A237" s="16" t="str">
        <x:v>Красноярская ТЭЦ-1</x:v>
      </x:c>
      <x:c r="B237" s="16" t="str">
        <x:v>2000594975-V119</x:v>
      </x:c>
      <x:c r="C237" s="16" t="str">
        <x:v>ШНУР РЕЗ. 1,2С 10*20 ГОСТ6467</x:v>
      </x:c>
      <x:c r="D237" s="16" t="str">
        <x:v>Проч резино-тех изд</x:v>
      </x:c>
      <x:c r="E237" s="16" t="str">
        <x:v>КГ</x:v>
      </x:c>
      <x:c r="F237" s="21" t="n">
        <x:v>3</x:v>
      </x:c>
      <x:c r="G237" s="17" t="n">
        <x:v>86.6932</x:v>
      </x:c>
      <x:c r="H237" s="17" t="n">
        <x:f>G237*F237</x:f>
        <x:v>260.0796</x:v>
      </x:c>
      <x:c r="I237" s="22" t="str">
        <x:f>HYPERLINK("https://etp-aktiv.ru/catalog/materialy/rezino-tekhnicheskie-izdeliya/2000594975-V119/","Открыть позицию")</x:f>
        <x:v>Открыть позицию</x:v>
      </x:c>
    </x:row>
    <x:row r="238" ht="28" customHeight="1">
      <x:c r="A238" s="16" t="str">
        <x:v>Красноярская ТЭЦ-1</x:v>
      </x:c>
      <x:c r="B238" s="16" t="str">
        <x:v>2000548738-V119</x:v>
      </x:c>
      <x:c r="C238" s="16" t="str">
        <x:v>ШНУР-ЧУЛОК ЛАВСАН ПЭ 4 8153-001-00214936</x:v>
      </x:c>
      <x:c r="D238" s="16" t="str">
        <x:v>Э/изоляцион мат-лы</x:v>
      </x:c>
      <x:c r="E238" s="16" t="str">
        <x:v>М</x:v>
      </x:c>
      <x:c r="F238" s="21" t="n">
        <x:v>1310</x:v>
      </x:c>
      <x:c r="G238" s="17" t="n">
        <x:v>2.074</x:v>
      </x:c>
      <x:c r="H238" s="17" t="n">
        <x:f>G238*F238</x:f>
        <x:v>2716.9399999999996</x:v>
      </x:c>
      <x:c r="I238" s="22" t="str">
        <x:f>HYPERLINK("https://etp-aktiv.ru/catalog/materialy/ehlektroizolyacionnye-materialy/2000548738-V119/","Открыть позицию")</x:f>
        <x:v>Открыть позицию</x:v>
      </x:c>
    </x:row>
    <x:row r="239" ht="28" customHeight="1">
      <x:c r="A239" s="16" t="str">
        <x:v>Красноярская ТЭЦ-1</x:v>
      </x:c>
      <x:c r="B239" s="16" t="str">
        <x:v>2000673973-V119</x:v>
      </x:c>
      <x:c r="C239" s="16" t="str">
        <x:v>ШНУР-ЧУЛОК ЛАВСАН ПЭ 5 ТУ8153-001-002149</x:v>
      </x:c>
      <x:c r="D239" s="16" t="str">
        <x:v>Э/изоляцион мат-лы</x:v>
      </x:c>
      <x:c r="E239" s="16" t="str">
        <x:v>М</x:v>
      </x:c>
      <x:c r="F239" s="21" t="n">
        <x:v>2700</x:v>
      </x:c>
      <x:c r="G239" s="17" t="n">
        <x:v>2.0496</x:v>
      </x:c>
      <x:c r="H239" s="17" t="n">
        <x:f>G239*F239</x:f>
        <x:v>5533.92</x:v>
      </x:c>
      <x:c r="I239" s="22" t="str">
        <x:f>HYPERLINK("https://etp-aktiv.ru/catalog/materialy/ehlektroizolyacionnye-materialy/2000673973-V119/","Открыть позицию")</x:f>
        <x:v>Открыть позицию</x:v>
      </x:c>
    </x:row>
    <x:row r="240" ht="28" customHeight="1">
      <x:c r="A240" s="16" t="str">
        <x:v>Красноярская ТЭЦ-2</x:v>
      </x:c>
      <x:c r="B240" s="16" t="str">
        <x:v>2000548517-V113</x:v>
      </x:c>
      <x:c r="C240" s="16" t="str">
        <x:v>ИЗОФЛЕКС 191 0,15ММ ТУ3491-003-00214639</x:v>
      </x:c>
      <x:c r="D240" s="16" t="str">
        <x:v>Э/изоляцион мат-лы</x:v>
      </x:c>
      <x:c r="E240" s="16" t="str">
        <x:v>КГ</x:v>
      </x:c>
      <x:c r="F240" s="26" t="n">
        <x:v>27.33</x:v>
      </x:c>
      <x:c r="G240" s="17" t="n">
        <x:v>412.3356</x:v>
      </x:c>
      <x:c r="H240" s="17" t="n">
        <x:f>G240*F240</x:f>
        <x:v>11269.131947999998</x:v>
      </x:c>
      <x:c r="I240" s="22" t="str">
        <x:f>HYPERLINK("https://etp-aktiv.ru/catalog/materialy/ehlektroizolyacionnye-materialy/2000548517-V113/","Открыть позицию")</x:f>
        <x:v>Открыть позицию</x:v>
      </x:c>
    </x:row>
    <x:row r="241" ht="28" customHeight="1">
      <x:c r="A241" s="16" t="str">
        <x:v>Красноярская ТЭЦ-2</x:v>
      </x:c>
      <x:c r="B241" s="16" t="str">
        <x:v>2000548519-V113</x:v>
      </x:c>
      <x:c r="C241" s="16" t="str">
        <x:v>ИЗОФЛЕКС 191 0,2ММ ТУ3491-003-00214639</x:v>
      </x:c>
      <x:c r="D241" s="16" t="str">
        <x:v>Э/изоляцион мат-лы</x:v>
      </x:c>
      <x:c r="E241" s="16" t="str">
        <x:v>КГ</x:v>
      </x:c>
      <x:c r="F241" s="26" t="n">
        <x:v>10.15</x:v>
      </x:c>
      <x:c r="G241" s="17" t="n">
        <x:v>675.9531999999999</x:v>
      </x:c>
      <x:c r="H241" s="17" t="n">
        <x:f>G241*F241</x:f>
        <x:v>6860.92498</x:v>
      </x:c>
      <x:c r="I241" s="22" t="str">
        <x:f>HYPERLINK("https://etp-aktiv.ru/catalog/materialy/ehlektroizolyacionnye-materialy/2000548519-V113/","Открыть позицию")</x:f>
        <x:v>Открыть позицию</x:v>
      </x:c>
    </x:row>
    <x:row r="242" ht="28" customHeight="1">
      <x:c r="A242" s="16" t="str">
        <x:v>Красноярская ТЭЦ-2</x:v>
      </x:c>
      <x:c r="B242" s="16" t="str">
        <x:v>2000548520-V113</x:v>
      </x:c>
      <x:c r="C242" s="16" t="str">
        <x:v>ИЗОФЛЕКС 191 0,3ММ ТУ3491-003-00214639</x:v>
      </x:c>
      <x:c r="D242" s="16" t="str">
        <x:v>Э/изоляцион мат-лы</x:v>
      </x:c>
      <x:c r="E242" s="16" t="str">
        <x:v>КГ</x:v>
      </x:c>
      <x:c r="F242" s="26" t="n">
        <x:v>6.3</x:v>
      </x:c>
      <x:c r="G242" s="17" t="n">
        <x:v>455.10880000000003</x:v>
      </x:c>
      <x:c r="H242" s="17" t="n">
        <x:f>G242*F242</x:f>
        <x:v>2867.18544</x:v>
      </x:c>
      <x:c r="I242" s="22" t="str">
        <x:f>HYPERLINK("https://etp-aktiv.ru/catalog/materialy/ehlektroizolyacionnye-materialy/2000548520-V113/","Открыть позицию")</x:f>
        <x:v>Открыть позицию</x:v>
      </x:c>
    </x:row>
    <x:row r="243" ht="28" customHeight="1">
      <x:c r="A243" s="16" t="str">
        <x:v>Красноярская ТЭЦ-2</x:v>
      </x:c>
      <x:c r="B243" s="16" t="str">
        <x:v>2000691774-V113</x:v>
      </x:c>
      <x:c r="C243" s="16" t="str">
        <x:v>КОЛЬЦО 02-В-Б-ГФ-2 92*80*6</x:v>
      </x:c>
      <x:c r="D243" s="16" t="str">
        <x:v>Асбо-технические изд</x:v>
      </x:c>
      <x:c r="E243" s="16" t="str">
        <x:v>ШТ</x:v>
      </x:c>
      <x:c r="F243" s="21" t="n">
        <x:v>12</x:v>
      </x:c>
      <x:c r="G243" s="17" t="n">
        <x:v>63.2326</x:v>
      </x:c>
      <x:c r="H243" s="17" t="n">
        <x:f>G243*F243</x:f>
        <x:v>758.7912</x:v>
      </x:c>
      <x:c r="I243" s="22" t="str">
        <x:f>HYPERLINK("https://etp-aktiv.ru/catalog/materialy/asbo-tekhnicheskie-izdeliya/2000691774-V113/","Открыть позицию")</x:f>
        <x:v>Открыть позицию</x:v>
      </x:c>
    </x:row>
    <x:row r="244" ht="28" customHeight="1">
      <x:c r="A244" s="16" t="str">
        <x:v>Красноярская ТЭЦ-2</x:v>
      </x:c>
      <x:c r="B244" s="16" t="str">
        <x:v>2000213193-V113</x:v>
      </x:c>
      <x:c r="C244" s="16" t="str">
        <x:v>ЛЕНТА ЛЭС 0,2*35ММ ГОСТ5937-81</x:v>
      </x:c>
      <x:c r="D244" s="16" t="str">
        <x:v>Э/изоляцион мат-лы</x:v>
      </x:c>
      <x:c r="E244" s="16" t="str">
        <x:v>ПМ</x:v>
      </x:c>
      <x:c r="F244" s="21" t="n">
        <x:v>6250</x:v>
      </x:c>
      <x:c r="G244" s="17" t="n">
        <x:v>4.026</x:v>
      </x:c>
      <x:c r="H244" s="17" t="n">
        <x:f>G244*F244</x:f>
        <x:v>25162.5</x:v>
      </x:c>
      <x:c r="I244" s="22" t="str">
        <x:f>HYPERLINK("https://etp-aktiv.ru/catalog/materialy/ehlektroizolyacionnye-materialy/2000213193-V113/","Открыть позицию")</x:f>
        <x:v>Открыть позицию</x:v>
      </x:c>
    </x:row>
    <x:row r="245" ht="28" customHeight="1">
      <x:c r="A245" s="16" t="str">
        <x:v>Красноярская ТЭЦ-2</x:v>
      </x:c>
      <x:c r="B245" s="16" t="str">
        <x:v>2000192700-V113</x:v>
      </x:c>
      <x:c r="C245" s="16" t="str">
        <x:v>ЛЕНТА ЭМ-К 140*8 ГОСТ15960-96</x:v>
      </x:c>
      <x:c r="D245" s="16" t="str">
        <x:v>Асбо-технические изд</x:v>
      </x:c>
      <x:c r="E245" s="16" t="str">
        <x:v>М2</x:v>
      </x:c>
      <x:c r="F245" s="30" t="n">
        <x:v>0.08</x:v>
      </x:c>
      <x:c r="G245" s="17" t="n">
        <x:v>4403.4192</x:v>
      </x:c>
      <x:c r="H245" s="17" t="n">
        <x:f>G245*F245</x:f>
        <x:v>352.27353600000004</x:v>
      </x:c>
      <x:c r="I245" s="22" t="str">
        <x:f>HYPERLINK("https://etp-aktiv.ru/catalog/materialy/asbo-tekhnicheskie-izdeliya/2000192700-V113/","Открыть позицию")</x:f>
        <x:v>Открыть позицию</x:v>
      </x:c>
    </x:row>
    <x:row r="246" ht="28" customHeight="1">
      <x:c r="A246" s="16" t="str">
        <x:v>Красноярская ТЭЦ-2</x:v>
      </x:c>
      <x:c r="B246" s="16" t="str">
        <x:v>2000563533-V113</x:v>
      </x:c>
      <x:c r="C246" s="16" t="str">
        <x:v>ЛИСТ ФТОРОПЛАСТ Ф-4 1С 8ММ</x:v>
      </x:c>
      <x:c r="D246" s="16" t="str">
        <x:v>Э/изоляцион мат-лы</x:v>
      </x:c>
      <x:c r="E246" s="16" t="str">
        <x:v>КГ</x:v>
      </x:c>
      <x:c r="F246" s="26" t="n">
        <x:v>4.6</x:v>
      </x:c>
      <x:c r="G246" s="17" t="n">
        <x:v>523.5142</x:v>
      </x:c>
      <x:c r="H246" s="17" t="n">
        <x:f>G246*F246</x:f>
        <x:v>2408.1653199999996</x:v>
      </x:c>
      <x:c r="I246" s="22" t="str">
        <x:f>HYPERLINK("https://etp-aktiv.ru/catalog/materialy/ehlektroizolyacionnye-materialy/2000563533-V113/","Открыть позицию")</x:f>
        <x:v>Открыть позицию</x:v>
      </x:c>
    </x:row>
    <x:row r="247" ht="28" customHeight="1">
      <x:c r="A247" s="16" t="str">
        <x:v>Красноярская ТЭЦ-2</x:v>
      </x:c>
      <x:c r="B247" s="16" t="str">
        <x:v>2000001003-V113</x:v>
      </x:c>
      <x:c r="C247" s="16" t="str">
        <x:v>МАНЖЕТА 1,1-50*70-1 ГОСТ8752-79</x:v>
      </x:c>
      <x:c r="D247" s="16" t="str">
        <x:v>Проч резино-тех изд</x:v>
      </x:c>
      <x:c r="E247" s="16" t="str">
        <x:v>ШТ</x:v>
      </x:c>
      <x:c r="F247" s="21" t="n">
        <x:v>9</x:v>
      </x:c>
      <x:c r="G247" s="17" t="n">
        <x:v>13.773799999999998</x:v>
      </x:c>
      <x:c r="H247" s="17" t="n">
        <x:f>G247*F247</x:f>
        <x:v>123.96419999999998</x:v>
      </x:c>
      <x:c r="I247" s="22" t="str">
        <x:f>HYPERLINK("https://etp-aktiv.ru/catalog/materialy/rezino-tekhnicheskie-izdeliya/2000001003-V113/","Открыть позицию")</x:f>
        <x:v>Открыть позицию</x:v>
      </x:c>
    </x:row>
    <x:row r="248" ht="28" customHeight="1">
      <x:c r="A248" s="16" t="str">
        <x:v>Красноярская ТЭЦ-2</x:v>
      </x:c>
      <x:c r="B248" s="16" t="str">
        <x:v>2000574852-V113</x:v>
      </x:c>
      <x:c r="C248" s="16" t="str">
        <x:v>МАНЖЕТА 1,2-135*160-15 ГОСТ8752-79</x:v>
      </x:c>
      <x:c r="D248" s="16" t="str">
        <x:v>Проч резино-тех изд</x:v>
      </x:c>
      <x:c r="E248" s="16" t="str">
        <x:v>ШТ</x:v>
      </x:c>
      <x:c r="F248" s="21" t="n">
        <x:v>2</x:v>
      </x:c>
      <x:c r="G248" s="17" t="n">
        <x:v>262.4952</x:v>
      </x:c>
      <x:c r="H248" s="17" t="n">
        <x:f>G248*F248</x:f>
        <x:v>524.9904</x:v>
      </x:c>
      <x:c r="I248" s="22" t="str">
        <x:f>HYPERLINK("https://etp-aktiv.ru/catalog/materialy/rezino-tekhnicheskie-izdeliya/2000574852-V113/","Открыть позицию")</x:f>
        <x:v>Открыть позицию</x:v>
      </x:c>
    </x:row>
    <x:row r="249" ht="28" customHeight="1">
      <x:c r="A249" s="16" t="str">
        <x:v>Красноярская ТЭЦ-2</x:v>
      </x:c>
      <x:c r="B249" s="16" t="str">
        <x:v>2000169375-V113</x:v>
      </x:c>
      <x:c r="C249" s="16" t="str">
        <x:v>МАНЖЕТА 2,2-50*70-10 ГОСТ8752-79</x:v>
      </x:c>
      <x:c r="D249" s="16" t="str">
        <x:v>Проч резино-тех изд</x:v>
      </x:c>
      <x:c r="E249" s="16" t="str">
        <x:v>ШТ</x:v>
      </x:c>
      <x:c r="F249" s="21" t="n">
        <x:v>40</x:v>
      </x:c>
      <x:c r="G249" s="17" t="n">
        <x:v>11.1874</x:v>
      </x:c>
      <x:c r="H249" s="17" t="n">
        <x:f>G249*F249</x:f>
        <x:v>447.496</x:v>
      </x:c>
      <x:c r="I249" s="22" t="str">
        <x:f>HYPERLINK("https://etp-aktiv.ru/catalog/materialy/rezino-tekhnicheskie-izdeliya/2000169375-V113/","Открыть позицию")</x:f>
        <x:v>Открыть позицию</x:v>
      </x:c>
    </x:row>
    <x:row r="250" ht="28" customHeight="1">
      <x:c r="A250" s="16" t="str">
        <x:v>Красноярская ТЭЦ-2</x:v>
      </x:c>
      <x:c r="B250" s="16" t="str">
        <x:v>2000029859-V113</x:v>
      </x:c>
      <x:c r="C250" s="16" t="str">
        <x:v>МАНЖЕТА 30*52 ГОСТ6969-54</x:v>
      </x:c>
      <x:c r="D250" s="16" t="str">
        <x:v>Проч резино-тех изд</x:v>
      </x:c>
      <x:c r="E250" s="16" t="str">
        <x:v>ШТ</x:v>
      </x:c>
      <x:c r="F250" s="21" t="n">
        <x:v>2</x:v>
      </x:c>
      <x:c r="G250" s="17" t="n">
        <x:v>78.92179999999999</x:v>
      </x:c>
      <x:c r="H250" s="17" t="n">
        <x:f>G250*F250</x:f>
        <x:v>157.84359999999998</x:v>
      </x:c>
      <x:c r="I250" s="22" t="str">
        <x:f>HYPERLINK("https://etp-aktiv.ru/catalog/materialy/rezino-tekhnicheskie-izdeliya/2000029859-V113/","Открыть позицию")</x:f>
        <x:v>Открыть позицию</x:v>
      </x:c>
    </x:row>
    <x:row r="251" ht="28" customHeight="1">
      <x:c r="A251" s="16" t="str">
        <x:v>Красноярская ТЭЦ-2</x:v>
      </x:c>
      <x:c r="B251" s="16" t="str">
        <x:v>2000165525-V113</x:v>
      </x:c>
      <x:c r="C251" s="16" t="str">
        <x:v>НАБИВКА АС 6*6ММ ОДНОСЛОЙ ПЛЕТЕНИЕ</x:v>
      </x:c>
      <x:c r="D251" s="16" t="str">
        <x:v>Асбо-технические изд</x:v>
      </x:c>
      <x:c r="E251" s="16" t="str">
        <x:v>КГ</x:v>
      </x:c>
      <x:c r="F251" s="21" t="n">
        <x:v>15</x:v>
      </x:c>
      <x:c r="G251" s="17" t="n">
        <x:v>165.1636</x:v>
      </x:c>
      <x:c r="H251" s="17" t="n">
        <x:f>G251*F251</x:f>
        <x:v>2477.454</x:v>
      </x:c>
      <x:c r="I251" s="22" t="str">
        <x:f>HYPERLINK("https://etp-aktiv.ru/catalog/materialy/asbo-tekhnicheskie-izdeliya/2000165525-V113/","Открыть позицию")</x:f>
        <x:v>Открыть позицию</x:v>
      </x:c>
    </x:row>
    <x:row r="252" ht="28" customHeight="1">
      <x:c r="A252" s="16" t="str">
        <x:v>Красноярская ТЭЦ-2</x:v>
      </x:c>
      <x:c r="B252" s="16" t="str">
        <x:v>2000539206-V113</x:v>
      </x:c>
      <x:c r="C252" s="16" t="str">
        <x:v>НАБИВКА СКВОЗНОЕ ПЛЕТЕНИЕ АС 6*6</x:v>
      </x:c>
      <x:c r="D252" s="16" t="str">
        <x:v>Асбо-технические изд</x:v>
      </x:c>
      <x:c r="E252" s="16" t="str">
        <x:v>КГ</x:v>
      </x:c>
      <x:c r="F252" s="21" t="n">
        <x:v>5</x:v>
      </x:c>
      <x:c r="G252" s="17" t="n">
        <x:v>165.1636</x:v>
      </x:c>
      <x:c r="H252" s="17" t="n">
        <x:f>G252*F252</x:f>
        <x:v>825.818</x:v>
      </x:c>
      <x:c r="I252" s="22" t="str">
        <x:f>HYPERLINK("https://etp-aktiv.ru/catalog/materialy/asbo-tekhnicheskie-izdeliya/2000539206-V113/","Открыть позицию")</x:f>
        <x:v>Открыть позицию</x:v>
      </x:c>
    </x:row>
    <x:row r="253" ht="28" customHeight="1">
      <x:c r="A253" s="16" t="str">
        <x:v>Красноярская ТЭЦ-2</x:v>
      </x:c>
      <x:c r="B253" s="16" t="str">
        <x:v>2000539276-V113</x:v>
      </x:c>
      <x:c r="C253" s="16" t="str">
        <x:v>НАБИВКА СКВОЗНОЕ ПЛЕТЕНИЕ ХБП-31 22*22</x:v>
      </x:c>
      <x:c r="D253" s="16" t="str">
        <x:v>Асбо-технические изд</x:v>
      </x:c>
      <x:c r="E253" s="16" t="str">
        <x:v>КГ</x:v>
      </x:c>
      <x:c r="F253" s="21" t="n">
        <x:v>50</x:v>
      </x:c>
      <x:c r="G253" s="17" t="n">
        <x:v>159.57600000000002</x:v>
      </x:c>
      <x:c r="H253" s="17" t="n">
        <x:f>G253*F253</x:f>
        <x:v>7978.800000000001</x:v>
      </x:c>
      <x:c r="I253" s="22" t="str">
        <x:f>HYPERLINK("https://etp-aktiv.ru/catalog/materialy/asbo-tekhnicheskie-izdeliya/2000539276-V113/","Открыть позицию")</x:f>
        <x:v>Открыть позицию</x:v>
      </x:c>
    </x:row>
    <x:row r="254" ht="28" customHeight="1">
      <x:c r="A254" s="16" t="str">
        <x:v>Красноярская ТЭЦ-2</x:v>
      </x:c>
      <x:c r="B254" s="16" t="str">
        <x:v>2000031485-V113</x:v>
      </x:c>
      <x:c r="C254" s="16" t="str">
        <x:v>НАБИВКА ХБП-31 10ММ</x:v>
      </x:c>
      <x:c r="D254" s="16" t="str">
        <x:v>Асбо-технические изд</x:v>
      </x:c>
      <x:c r="E254" s="16" t="str">
        <x:v>КГ</x:v>
      </x:c>
      <x:c r="F254" s="26" t="n">
        <x:v>7.2</x:v>
      </x:c>
      <x:c r="G254" s="17" t="n">
        <x:v>306.8666</x:v>
      </x:c>
      <x:c r="H254" s="17" t="n">
        <x:f>G254*F254</x:f>
        <x:v>2209.43952</x:v>
      </x:c>
      <x:c r="I254" s="22" t="str">
        <x:f>HYPERLINK("https://etp-aktiv.ru/catalog/materialy/asbo-tekhnicheskie-izdeliya/2000031485-V113/","Открыть позицию")</x:f>
        <x:v>Открыть позицию</x:v>
      </x:c>
    </x:row>
    <x:row r="255" ht="28" customHeight="1">
      <x:c r="A255" s="16" t="str">
        <x:v>Красноярская ТЭЦ-2</x:v>
      </x:c>
      <x:c r="B255" s="16" t="str">
        <x:v>2000546671-V113</x:v>
      </x:c>
      <x:c r="C255" s="16" t="str">
        <x:v>РЕМЕНЬ C(В) 3150</x:v>
      </x:c>
      <x:c r="D255" s="16" t="str">
        <x:v>Проч резино-тех изд</x:v>
      </x:c>
      <x:c r="E255" s="16" t="str">
        <x:v>ШТ</x:v>
      </x:c>
      <x:c r="F255" s="21" t="n">
        <x:v>2</x:v>
      </x:c>
      <x:c r="G255" s="17" t="n">
        <x:v>521.8793999999999</x:v>
      </x:c>
      <x:c r="H255" s="17" t="n">
        <x:f>G255*F255</x:f>
        <x:v>1043.7587999999998</x:v>
      </x:c>
      <x:c r="I255" s="22" t="str">
        <x:f>HYPERLINK("https://etp-aktiv.ru/catalog/materialy/rezino-tekhnicheskie-izdeliya/2000546671-V113/","Открыть позицию")</x:f>
        <x:v>Открыть позицию</x:v>
      </x:c>
    </x:row>
    <x:row r="256" ht="28" customHeight="1">
      <x:c r="A256" s="16" t="str">
        <x:v>Красноярская ТЭЦ-2</x:v>
      </x:c>
      <x:c r="B256" s="16" t="str">
        <x:v>2000635897-V113</x:v>
      </x:c>
      <x:c r="C256" s="16" t="str">
        <x:v>СТЕРЖЕНЬ ТЕКСТОЛИТ 1С 150*1000 ГОСТ5385</x:v>
      </x:c>
      <x:c r="D256" s="16" t="str">
        <x:v>Э/изоляцион мат-лы</x:v>
      </x:c>
      <x:c r="E256" s="16" t="str">
        <x:v>КГ</x:v>
      </x:c>
      <x:c r="F256" s="26" t="n">
        <x:v>27.3</x:v>
      </x:c>
      <x:c r="G256" s="17" t="n">
        <x:v>226.46859999999998</x:v>
      </x:c>
      <x:c r="H256" s="17" t="n">
        <x:f>G256*F256</x:f>
        <x:v>6182.59278</x:v>
      </x:c>
      <x:c r="I256" s="22" t="str">
        <x:f>HYPERLINK("https://etp-aktiv.ru/catalog/materialy/ehlektroizolyacionnye-materialy/2000635897-V113/","Открыть позицию")</x:f>
        <x:v>Открыть позицию</x:v>
      </x:c>
    </x:row>
    <x:row r="257" ht="28" customHeight="1">
      <x:c r="A257" s="16" t="str">
        <x:v>Красноярская ТЭЦ-2</x:v>
      </x:c>
      <x:c r="B257" s="16" t="str">
        <x:v>2000570606-V113</x:v>
      </x:c>
      <x:c r="C257" s="16" t="str">
        <x:v>ТЕКСТОЛИТ Б 1С 4ММ ГОСТ2910-74</x:v>
      </x:c>
      <x:c r="D257" s="16" t="str">
        <x:v>Э/изоляцион мат-лы</x:v>
      </x:c>
      <x:c r="E257" s="16" t="str">
        <x:v>КГ</x:v>
      </x:c>
      <x:c r="F257" s="26" t="n">
        <x:v>102.31</x:v>
      </x:c>
      <x:c r="G257" s="17" t="n">
        <x:v>144.7652</x:v>
      </x:c>
      <x:c r="H257" s="17" t="n">
        <x:f>G257*F257</x:f>
        <x:v>14810.927612</x:v>
      </x:c>
      <x:c r="I257" s="22" t="str">
        <x:f>HYPERLINK("https://etp-aktiv.ru/catalog/materialy/ehlektroizolyacionnye-materialy/2000570606-V113/","Открыть позицию")</x:f>
        <x:v>Открыть позицию</x:v>
      </x:c>
    </x:row>
    <x:row r="258" ht="28" customHeight="1">
      <x:c r="A258" s="16" t="str">
        <x:v>Красноярская ТЭЦ-2</x:v>
      </x:c>
      <x:c r="B258" s="16" t="str">
        <x:v>2000548652-V113</x:v>
      </x:c>
      <x:c r="C258" s="16" t="str">
        <x:v>ТЕКСТОЛИТ Б 1С 5ММ ГОСТ2910-74</x:v>
      </x:c>
      <x:c r="D258" s="16" t="str">
        <x:v>Э/изоляцион мат-лы</x:v>
      </x:c>
      <x:c r="E258" s="16" t="str">
        <x:v>КГ</x:v>
      </x:c>
      <x:c r="F258" s="26" t="n">
        <x:v>8.8</x:v>
      </x:c>
      <x:c r="G258" s="17" t="n">
        <x:v>195.5782</x:v>
      </x:c>
      <x:c r="H258" s="17" t="n">
        <x:f>G258*F258</x:f>
        <x:v>1721.0881600000002</x:v>
      </x:c>
      <x:c r="I258" s="22" t="str">
        <x:f>HYPERLINK("https://etp-aktiv.ru/catalog/materialy/ehlektroizolyacionnye-materialy/2000548652-V113/","Открыть позицию")</x:f>
        <x:v>Открыть позицию</x:v>
      </x:c>
    </x:row>
    <x:row r="259" ht="28" customHeight="1">
      <x:c r="A259" s="16" t="str">
        <x:v>Красноярская ТЭЦ-2</x:v>
      </x:c>
      <x:c r="B259" s="16" t="str">
        <x:v>2000068913-V113</x:v>
      </x:c>
      <x:c r="C259" s="16" t="str">
        <x:v>ТЕКСТОЛИТ ПТ Т 4ММ ГОСТ5-78</x:v>
      </x:c>
      <x:c r="D259" s="16" t="str">
        <x:v>Э/изоляцион мат-лы</x:v>
      </x:c>
      <x:c r="E259" s="16" t="str">
        <x:v>КГ</x:v>
      </x:c>
      <x:c r="F259" s="26" t="n">
        <x:v>45.9</x:v>
      </x:c>
      <x:c r="G259" s="17" t="n">
        <x:v>157.51420000000002</x:v>
      </x:c>
      <x:c r="H259" s="17" t="n">
        <x:f>G259*F259</x:f>
        <x:v>7229.90178</x:v>
      </x:c>
      <x:c r="I259" s="22" t="str">
        <x:f>HYPERLINK("https://etp-aktiv.ru/catalog/materialy/ehlektroizolyacionnye-materialy/2000068913-V113/","Открыть позицию")</x:f>
        <x:v>Открыть позицию</x:v>
      </x:c>
    </x:row>
    <x:row r="260" ht="28" customHeight="1">
      <x:c r="A260" s="16" t="str">
        <x:v>Красноярская ТЭЦ-2</x:v>
      </x:c>
      <x:c r="B260" s="16" t="str">
        <x:v>2000376079-V113</x:v>
      </x:c>
      <x:c r="C260" s="16" t="str">
        <x:v>ШЛАНГ КИСЛОРОДНЫЙ 765-996</x:v>
      </x:c>
      <x:c r="D260" s="16" t="str">
        <x:v>Проч резино-тех изд</x:v>
      </x:c>
      <x:c r="E260" s="16" t="str">
        <x:v>М</x:v>
      </x:c>
      <x:c r="F260" s="21" t="n">
        <x:v>40</x:v>
      </x:c>
      <x:c r="G260" s="17" t="n">
        <x:v>960.75</x:v>
      </x:c>
      <x:c r="H260" s="17" t="n">
        <x:f>G260*F260</x:f>
        <x:v>38430</x:v>
      </x:c>
      <x:c r="I260" s="22" t="str">
        <x:f>HYPERLINK("https://etp-aktiv.ru/catalog/materialy/rezino-tekhnicheskie-izdeliya/2000376079-V113/","Открыть позицию")</x:f>
        <x:v>Открыть позицию</x:v>
      </x:c>
    </x:row>
    <x:row r="261" ht="28" customHeight="1">
      <x:c r="A261" s="16" t="str">
        <x:v>Красноярская ТЭЦ-2</x:v>
      </x:c>
      <x:c r="B261" s="16" t="str">
        <x:v>2000673973-V113</x:v>
      </x:c>
      <x:c r="C261" s="16" t="str">
        <x:v>ШНУР-ЧУЛОК ЛАВСАН ПЭ 5 ТУ8153-001-002149</x:v>
      </x:c>
      <x:c r="D261" s="16" t="str">
        <x:v>Э/изоляцион мат-лы</x:v>
      </x:c>
      <x:c r="E261" s="16" t="str">
        <x:v>М</x:v>
      </x:c>
      <x:c r="F261" s="26" t="n">
        <x:v>3616.515</x:v>
      </x:c>
      <x:c r="G261" s="17" t="n">
        <x:v>2.0374</x:v>
      </x:c>
      <x:c r="H261" s="17" t="n">
        <x:f>G261*F261</x:f>
        <x:v>7368.287660999999</x:v>
      </x:c>
      <x:c r="I261" s="22" t="str">
        <x:f>HYPERLINK("https://etp-aktiv.ru/catalog/materialy/ehlektroizolyacionnye-materialy/2000673973-V113/","Открыть позицию")</x:f>
        <x:v>Открыть позицию</x:v>
      </x:c>
    </x:row>
    <x:row r="262" ht="28" customHeight="1">
      <x:c r="A262" s="16" t="str">
        <x:v>Красноярская ТЭЦ-3</x:v>
      </x:c>
      <x:c r="B262" s="16" t="str">
        <x:v>2000553787-V114</x:v>
      </x:c>
      <x:c r="C262" s="16" t="str">
        <x:v>ЗАПОЛНИТЕЛЬ АЛЮМОСИЛ ЗШБУ ГОСТ23037-99</x:v>
      </x:c>
      <x:c r="D262" s="16" t="str">
        <x:v>Огнеупорные мат-лы</x:v>
      </x:c>
      <x:c r="E262" s="16" t="str">
        <x:v>Т</x:v>
      </x:c>
      <x:c r="F262" s="30" t="n">
        <x:v>0.04</x:v>
      </x:c>
      <x:c r="G262" s="17" t="n">
        <x:v>6999.75</x:v>
      </x:c>
      <x:c r="H262" s="17" t="n">
        <x:f>G262*F262</x:f>
        <x:v>279.99</x:v>
      </x:c>
      <x:c r="I262" s="22" t="str">
        <x:f>HYPERLINK("https://etp-aktiv.ru/catalog/materialy/ogneupornye-materialy/2000553787-V114/","Открыть позицию")</x:f>
        <x:v>Открыть позицию</x:v>
      </x:c>
    </x:row>
    <x:row r="263" ht="28" customHeight="1">
      <x:c r="A263" s="16" t="str">
        <x:v>Красноярская ТЭЦ-3</x:v>
      </x:c>
      <x:c r="B263" s="16" t="str">
        <x:v>2000004144-V114</x:v>
      </x:c>
      <x:c r="C263" s="16" t="str">
        <x:v>ИЗОЛЕНТА ПХВ 0,3*20ММ ГОСТ162М</x:v>
      </x:c>
      <x:c r="D263" s="16" t="str">
        <x:v>Э/изоляцион мат-лы</x:v>
      </x:c>
      <x:c r="E263" s="16" t="str">
        <x:v>КГ</x:v>
      </x:c>
      <x:c r="F263" s="21" t="n">
        <x:v>8</x:v>
      </x:c>
      <x:c r="G263" s="17" t="n">
        <x:v>189.6856</x:v>
      </x:c>
      <x:c r="H263" s="17" t="n">
        <x:f>G263*F263</x:f>
        <x:v>1517.4848</x:v>
      </x:c>
      <x:c r="I263" s="22" t="str">
        <x:f>HYPERLINK("https://etp-aktiv.ru/catalog/materialy/ehlektroizolyacionnye-materialy/2000004144-V114/","Открыть позицию")</x:f>
        <x:v>Открыть позицию</x:v>
      </x:c>
    </x:row>
    <x:row r="264" ht="28" customHeight="1">
      <x:c r="A264" s="16" t="str">
        <x:v>Красноярская ТЭЦ-3</x:v>
      </x:c>
      <x:c r="B264" s="16" t="str">
        <x:v>2000548519-V114</x:v>
      </x:c>
      <x:c r="C264" s="16" t="str">
        <x:v>ИЗОФЛЕКС 191 0,2ММ ТУ3491-003-00214639</x:v>
      </x:c>
      <x:c r="D264" s="16" t="str">
        <x:v>Э/изоляцион мат-лы</x:v>
      </x:c>
      <x:c r="E264" s="16" t="str">
        <x:v>КГ</x:v>
      </x:c>
      <x:c r="F264" s="21" t="n">
        <x:v>1</x:v>
      </x:c>
      <x:c r="G264" s="17" t="n">
        <x:v>917.8914</x:v>
      </x:c>
      <x:c r="H264" s="17" t="n">
        <x:f>G264*F264</x:f>
        <x:v>917.8914</x:v>
      </x:c>
      <x:c r="I264" s="22" t="str">
        <x:f>HYPERLINK("https://etp-aktiv.ru/catalog/materialy/ehlektroizolyacionnye-materialy/2000548519-V114/","Открыть позицию")</x:f>
        <x:v>Открыть позицию</x:v>
      </x:c>
    </x:row>
    <x:row r="265" ht="28" customHeight="1">
      <x:c r="A265" s="16" t="str">
        <x:v>Красноярская ТЭЦ-3</x:v>
      </x:c>
      <x:c r="B265" s="16" t="str">
        <x:v>2000548520-V114</x:v>
      </x:c>
      <x:c r="C265" s="16" t="str">
        <x:v>ИЗОФЛЕКС 191 0,3ММ ТУ3491-003-00214639</x:v>
      </x:c>
      <x:c r="D265" s="16" t="str">
        <x:v>Э/изоляцион мат-лы</x:v>
      </x:c>
      <x:c r="E265" s="16" t="str">
        <x:v>КГ</x:v>
      </x:c>
      <x:c r="F265" s="26" t="n">
        <x:v>11.8</x:v>
      </x:c>
      <x:c r="G265" s="17" t="n">
        <x:v>480.5946</x:v>
      </x:c>
      <x:c r="H265" s="17" t="n">
        <x:f>G265*F265</x:f>
        <x:v>5671.016280000001</x:v>
      </x:c>
      <x:c r="I265" s="22" t="str">
        <x:f>HYPERLINK("https://etp-aktiv.ru/catalog/materialy/ehlektroizolyacionnye-materialy/2000548520-V114/","Открыть позицию")</x:f>
        <x:v>Открыть позицию</x:v>
      </x:c>
    </x:row>
    <x:row r="266" ht="28" customHeight="1">
      <x:c r="A266" s="16" t="str">
        <x:v>Красноярская ТЭЦ-3</x:v>
      </x:c>
      <x:c r="B266" s="16" t="str">
        <x:v>2000024558-V114</x:v>
      </x:c>
      <x:c r="C266" s="16" t="str">
        <x:v>ИЗОФЛЕКС Т-191 0.3ММ</x:v>
      </x:c>
      <x:c r="D266" s="16" t="str">
        <x:v>Э/изоляцион мат-лы</x:v>
      </x:c>
      <x:c r="E266" s="16" t="str">
        <x:v>КГ</x:v>
      </x:c>
      <x:c r="F266" s="26" t="n">
        <x:v>8.7</x:v>
      </x:c>
      <x:c r="G266" s="17" t="n">
        <x:v>750.2268</x:v>
      </x:c>
      <x:c r="H266" s="17" t="n">
        <x:f>G266*F266</x:f>
        <x:v>6526.97316</x:v>
      </x:c>
      <x:c r="I266" s="22" t="str">
        <x:f>HYPERLINK("https://etp-aktiv.ru/catalog/materialy/ehlektroizolyacionnye-materialy/2000024558-V114/","Открыть позицию")</x:f>
        <x:v>Открыть позицию</x:v>
      </x:c>
    </x:row>
    <x:row r="267" ht="28" customHeight="1">
      <x:c r="A267" s="16" t="str">
        <x:v>Красноярская ТЭЦ-3</x:v>
      </x:c>
      <x:c r="B267" s="16" t="str">
        <x:v>2000538968-V114</x:v>
      </x:c>
      <x:c r="C267" s="16" t="str">
        <x:v>КМП КОЛЕЦ 2ШТ КП-04 210*190*20 ГФ-2</x:v>
      </x:c>
      <x:c r="D267" s="16" t="str">
        <x:v>Асбо-технические изд</x:v>
      </x:c>
      <x:c r="E267" s="16" t="str">
        <x:v>КМП</x:v>
      </x:c>
      <x:c r="F267" s="21" t="n">
        <x:v>2</x:v>
      </x:c>
      <x:c r="G267" s="17" t="n">
        <x:v>658.4096</x:v>
      </x:c>
      <x:c r="H267" s="17" t="n">
        <x:f>G267*F267</x:f>
        <x:v>1316.8192</x:v>
      </x:c>
      <x:c r="I267" s="22" t="str">
        <x:f>HYPERLINK("https://etp-aktiv.ru/catalog/materialy/asbo-tekhnicheskie-izdeliya/2000538968-V114/","Открыть позицию")</x:f>
        <x:v>Открыть позицию</x:v>
      </x:c>
    </x:row>
    <x:row r="268" ht="28" customHeight="1">
      <x:c r="A268" s="16" t="str">
        <x:v>Красноярская ТЭЦ-3</x:v>
      </x:c>
      <x:c r="B268" s="16" t="str">
        <x:v>2000696911-V114</x:v>
      </x:c>
      <x:c r="C268" s="16" t="str">
        <x:v>КМП КОЛЕЦ 4ШТ КШ-04-2*2-28*16-24-ГФ-2</x:v>
      </x:c>
      <x:c r="D268" s="16" t="str">
        <x:v>Асбо-технические изд</x:v>
      </x:c>
      <x:c r="E268" s="16" t="str">
        <x:v>ШТ</x:v>
      </x:c>
      <x:c r="F268" s="21" t="n">
        <x:v>14</x:v>
      </x:c>
      <x:c r="G268" s="17" t="n">
        <x:v>35.685</x:v>
      </x:c>
      <x:c r="H268" s="17" t="n">
        <x:f>G268*F268</x:f>
        <x:v>499.59000000000003</x:v>
      </x:c>
      <x:c r="I268" s="22" t="str">
        <x:f>HYPERLINK("https://etp-aktiv.ru/catalog/materialy/asbo-tekhnicheskie-izdeliya/2000696911-V114/","Открыть позицию")</x:f>
        <x:v>Открыть позицию</x:v>
      </x:c>
    </x:row>
    <x:row r="269" ht="28" customHeight="1">
      <x:c r="A269" s="16" t="str">
        <x:v>Красноярская ТЭЦ-3</x:v>
      </x:c>
      <x:c r="B269" s="16" t="str">
        <x:v>2000539061-V114</x:v>
      </x:c>
      <x:c r="C269" s="16" t="str">
        <x:v>КМП КОЛЕЦ 5ШТ К-04Ш ГФ-Д 2*3-80*60*50</x:v>
      </x:c>
      <x:c r="D269" s="16" t="str">
        <x:v>Асбо-технические изд</x:v>
      </x:c>
      <x:c r="E269" s="16" t="str">
        <x:v>КМП</x:v>
      </x:c>
      <x:c r="F269" s="21" t="n">
        <x:v>4</x:v>
      </x:c>
      <x:c r="G269" s="17" t="n">
        <x:v>246.6718</x:v>
      </x:c>
      <x:c r="H269" s="17" t="n">
        <x:f>G269*F269</x:f>
        <x:v>986.6872</x:v>
      </x:c>
      <x:c r="I269" s="22" t="str">
        <x:f>HYPERLINK("https://etp-aktiv.ru/catalog/materialy/asbo-tekhnicheskie-izdeliya/2000539061-V114/","Открыть позицию")</x:f>
        <x:v>Открыть позицию</x:v>
      </x:c>
    </x:row>
    <x:row r="270" ht="28" customHeight="1">
      <x:c r="A270" s="16" t="str">
        <x:v>Красноярская ТЭЦ-3</x:v>
      </x:c>
      <x:c r="B270" s="16" t="str">
        <x:v>2000539069-V114</x:v>
      </x:c>
      <x:c r="C270" s="16" t="str">
        <x:v>КМП КОЛЕЦ 6ШТ К-04Ш ГФ-Д 2*4-48*32*48</x:v>
      </x:c>
      <x:c r="D270" s="16" t="str">
        <x:v>Асбо-технические изд</x:v>
      </x:c>
      <x:c r="E270" s="16" t="str">
        <x:v>КМП</x:v>
      </x:c>
      <x:c r="F270" s="21" t="n">
        <x:v>8</x:v>
      </x:c>
      <x:c r="G270" s="17" t="n">
        <x:v>173.83780000000002</x:v>
      </x:c>
      <x:c r="H270" s="17" t="n">
        <x:f>G270*F270</x:f>
        <x:v>1390.7024000000001</x:v>
      </x:c>
      <x:c r="I270" s="22" t="str">
        <x:f>HYPERLINK("https://etp-aktiv.ru/catalog/materialy/asbo-tekhnicheskie-izdeliya/2000539069-V114/","Открыть позицию")</x:f>
        <x:v>Открыть позицию</x:v>
      </x:c>
    </x:row>
    <x:row r="271" ht="28" customHeight="1">
      <x:c r="A271" s="16" t="str">
        <x:v>Красноярская ТЭЦ-3</x:v>
      </x:c>
      <x:c r="B271" s="16" t="str">
        <x:v>2000539070-V114</x:v>
      </x:c>
      <x:c r="C271" s="16" t="str">
        <x:v>КМП КОЛЕЦ 6ШТ К-04Ш ГФ-Д 2*4-80*60*60</x:v>
      </x:c>
      <x:c r="D271" s="16" t="str">
        <x:v>Асбо-технические изд</x:v>
      </x:c>
      <x:c r="E271" s="16" t="str">
        <x:v>КМП</x:v>
      </x:c>
      <x:c r="F271" s="21" t="n">
        <x:v>13</x:v>
      </x:c>
      <x:c r="G271" s="17" t="n">
        <x:v>454.77939999999995</x:v>
      </x:c>
      <x:c r="H271" s="17" t="n">
        <x:f>G271*F271</x:f>
        <x:v>5912.132199999999</x:v>
      </x:c>
      <x:c r="I271" s="22" t="str">
        <x:f>HYPERLINK("https://etp-aktiv.ru/catalog/materialy/asbo-tekhnicheskie-izdeliya/2000539070-V114/","Открыть позицию")</x:f>
        <x:v>Открыть позицию</x:v>
      </x:c>
    </x:row>
    <x:row r="272" ht="28" customHeight="1">
      <x:c r="A272" s="16" t="str">
        <x:v>Красноярская ТЭЦ-3</x:v>
      </x:c>
      <x:c r="B272" s="16" t="str">
        <x:v>2000791653-V114</x:v>
      </x:c>
      <x:c r="C272" s="16" t="str">
        <x:v>КМП КОЛЕЦ К-05Ш-2*3-48*32*40-КГФ</x:v>
      </x:c>
      <x:c r="D272" s="16" t="str">
        <x:v>Асбо-технические изд</x:v>
      </x:c>
      <x:c r="E272" s="16" t="str">
        <x:v>ШТ</x:v>
      </x:c>
      <x:c r="F272" s="21" t="n">
        <x:v>4</x:v>
      </x:c>
      <x:c r="G272" s="17" t="n">
        <x:v>128.2586</x:v>
      </x:c>
      <x:c r="H272" s="17" t="n">
        <x:f>G272*F272</x:f>
        <x:v>513.0344</x:v>
      </x:c>
      <x:c r="I272" s="22" t="str">
        <x:f>HYPERLINK("https://etp-aktiv.ru/catalog/materialy/asbo-tekhnicheskie-izdeliya/2000791653-V114/","Открыть позицию")</x:f>
        <x:v>Открыть позицию</x:v>
      </x:c>
    </x:row>
    <x:row r="273" ht="28" customHeight="1">
      <x:c r="A273" s="16" t="str">
        <x:v>Красноярская ТЭЦ-3</x:v>
      </x:c>
      <x:c r="B273" s="16" t="str">
        <x:v>2000787544-V114</x:v>
      </x:c>
      <x:c r="C273" s="16" t="str">
        <x:v>КМП КОЛЕЦ КГФ К-04Ш 2*3-28*18*25</x:v>
      </x:c>
      <x:c r="D273" s="16" t="str">
        <x:v>Асбо-технические изд</x:v>
      </x:c>
      <x:c r="E273" s="16" t="str">
        <x:v>ШТ</x:v>
      </x:c>
      <x:c r="F273" s="21" t="n">
        <x:v>62</x:v>
      </x:c>
      <x:c r="G273" s="17" t="n">
        <x:v>97.1852</x:v>
      </x:c>
      <x:c r="H273" s="17" t="n">
        <x:f>G273*F273</x:f>
        <x:v>6025.4824</x:v>
      </x:c>
      <x:c r="I273" s="22" t="str">
        <x:f>HYPERLINK("https://etp-aktiv.ru/catalog/materialy/asbo-tekhnicheskie-izdeliya/2000787544-V114/","Открыть позицию")</x:f>
        <x:v>Открыть позицию</x:v>
      </x:c>
    </x:row>
    <x:row r="274" ht="28" customHeight="1">
      <x:c r="A274" s="16" t="str">
        <x:v>Красноярская ТЭЦ-3</x:v>
      </x:c>
      <x:c r="B274" s="16" t="str">
        <x:v>2000539090-V114</x:v>
      </x:c>
      <x:c r="C274" s="16" t="str">
        <x:v>КМП КОЛЕЦ КГФ-К-03Ш КГФ-Г 2*4-52*36*48</x:v>
      </x:c>
      <x:c r="D274" s="16" t="str">
        <x:v>Асбо-технические изд</x:v>
      </x:c>
      <x:c r="E274" s="16" t="str">
        <x:v>КМП</x:v>
      </x:c>
      <x:c r="F274" s="21" t="n">
        <x:v>1</x:v>
      </x:c>
      <x:c r="G274" s="17" t="n">
        <x:v>93.818</x:v>
      </x:c>
      <x:c r="H274" s="17" t="n">
        <x:f>G274*F274</x:f>
        <x:v>93.818</x:v>
      </x:c>
      <x:c r="I274" s="22" t="str">
        <x:f>HYPERLINK("https://etp-aktiv.ru/catalog/materialy/asbo-tekhnicheskie-izdeliya/2000539090-V114/","Открыть позицию")</x:f>
        <x:v>Открыть позицию</x:v>
      </x:c>
    </x:row>
    <x:row r="275" ht="28" customHeight="1">
      <x:c r="A275" s="16" t="str">
        <x:v>Красноярская ТЭЦ-3</x:v>
      </x:c>
      <x:c r="B275" s="16" t="str">
        <x:v>2000698174-V114</x:v>
      </x:c>
      <x:c r="C275" s="16" t="str">
        <x:v>КМП КОЛЕЦ КШ-00-2 160*145-30-ГФ-2</x:v>
      </x:c>
      <x:c r="D275" s="16" t="str">
        <x:v>Асбо-технические изд</x:v>
      </x:c>
      <x:c r="E275" s="16" t="str">
        <x:v>ШТ</x:v>
      </x:c>
      <x:c r="F275" s="21" t="n">
        <x:v>1</x:v>
      </x:c>
      <x:c r="G275" s="17" t="n">
        <x:v>213.54879999999997</x:v>
      </x:c>
      <x:c r="H275" s="17" t="n">
        <x:f>G275*F275</x:f>
        <x:v>213.54879999999997</x:v>
      </x:c>
      <x:c r="I275" s="22" t="str">
        <x:f>HYPERLINK("https://etp-aktiv.ru/catalog/materialy/asbo-tekhnicheskie-izdeliya/2000698174-V114/","Открыть позицию")</x:f>
        <x:v>Открыть позицию</x:v>
      </x:c>
    </x:row>
    <x:row r="276" ht="28" customHeight="1">
      <x:c r="A276" s="16" t="str">
        <x:v>Красноярская ТЭЦ-3</x:v>
      </x:c>
      <x:c r="B276" s="16" t="str">
        <x:v>2000643865-V114</x:v>
      </x:c>
      <x:c r="C276" s="16" t="str">
        <x:v>КМП КОЛЕЦ КШ-03-2*4-24*14*30-ГФ-2</x:v>
      </x:c>
      <x:c r="D276" s="16" t="str">
        <x:v>Асбо-технические изд</x:v>
      </x:c>
      <x:c r="E276" s="16" t="str">
        <x:v>ШТ</x:v>
      </x:c>
      <x:c r="F276" s="21" t="n">
        <x:v>98</x:v>
      </x:c>
      <x:c r="G276" s="17" t="n">
        <x:v>42.3462</x:v>
      </x:c>
      <x:c r="H276" s="17" t="n">
        <x:f>G276*F276</x:f>
        <x:v>4149.9276</x:v>
      </x:c>
      <x:c r="I276" s="22" t="str">
        <x:f>HYPERLINK("https://etp-aktiv.ru/catalog/materialy/asbo-tekhnicheskie-izdeliya/2000643865-V114/","Открыть позицию")</x:f>
        <x:v>Открыть позицию</x:v>
      </x:c>
    </x:row>
    <x:row r="277" ht="28" customHeight="1">
      <x:c r="A277" s="16" t="str">
        <x:v>Красноярская ТЭЦ-3</x:v>
      </x:c>
      <x:c r="B277" s="16" t="str">
        <x:v>2000696002-V114</x:v>
      </x:c>
      <x:c r="C277" s="16" t="str">
        <x:v>КМП КОЛЕЦ КШ-04-2*4-70*50-60-ГФ-2</x:v>
      </x:c>
      <x:c r="D277" s="16" t="str">
        <x:v>Асбо-технические изд</x:v>
      </x:c>
      <x:c r="E277" s="16" t="str">
        <x:v>ШТ</x:v>
      </x:c>
      <x:c r="F277" s="21" t="n">
        <x:v>4</x:v>
      </x:c>
      <x:c r="G277" s="17" t="n">
        <x:v>504.2138</x:v>
      </x:c>
      <x:c r="H277" s="17" t="n">
        <x:f>G277*F277</x:f>
        <x:v>2016.8552</x:v>
      </x:c>
      <x:c r="I277" s="22" t="str">
        <x:f>HYPERLINK("https://etp-aktiv.ru/catalog/materialy/asbo-tekhnicheskie-izdeliya/2000696002-V114/","Открыть позицию")</x:f>
        <x:v>Открыть позицию</x:v>
      </x:c>
    </x:row>
    <x:row r="278" ht="28" customHeight="1">
      <x:c r="A278" s="16" t="str">
        <x:v>Красноярская ТЭЦ-3</x:v>
      </x:c>
      <x:c r="B278" s="16" t="str">
        <x:v>2000643877-V114</x:v>
      </x:c>
      <x:c r="C278" s="16" t="str">
        <x:v>КМП КОЛЕЦ КШ-05-2*4-52*36*48-ГФ-2</x:v>
      </x:c>
      <x:c r="D278" s="16" t="str">
        <x:v>Асбо-технические изд</x:v>
      </x:c>
      <x:c r="E278" s="16" t="str">
        <x:v>ШТ</x:v>
      </x:c>
      <x:c r="F278" s="21" t="n">
        <x:v>1</x:v>
      </x:c>
      <x:c r="G278" s="17" t="n">
        <x:v>183.13420000000002</x:v>
      </x:c>
      <x:c r="H278" s="17" t="n">
        <x:f>G278*F278</x:f>
        <x:v>183.13420000000002</x:v>
      </x:c>
      <x:c r="I278" s="22" t="str">
        <x:f>HYPERLINK("https://etp-aktiv.ru/catalog/materialy/asbo-tekhnicheskie-izdeliya/2000643877-V114/","Открыть позицию")</x:f>
        <x:v>Открыть позицию</x:v>
      </x:c>
    </x:row>
    <x:row r="279" ht="28" customHeight="1">
      <x:c r="A279" s="16" t="str">
        <x:v>Красноярская ТЭЦ-3</x:v>
      </x:c>
      <x:c r="B279" s="16" t="str">
        <x:v>2000538943-V114</x:v>
      </x:c>
      <x:c r="C279" s="16" t="str">
        <x:v>КОЛЬЦО 00-В-Б ГФ-2 300*280*10</x:v>
      </x:c>
      <x:c r="D279" s="16" t="str">
        <x:v>Асбо-технические изд</x:v>
      </x:c>
      <x:c r="E279" s="16" t="str">
        <x:v>ШТ</x:v>
      </x:c>
      <x:c r="F279" s="21" t="n">
        <x:v>5</x:v>
      </x:c>
      <x:c r="G279" s="17" t="n">
        <x:v>384.9222</x:v>
      </x:c>
      <x:c r="H279" s="17" t="n">
        <x:f>G279*F279</x:f>
        <x:v>1924.6109999999999</x:v>
      </x:c>
      <x:c r="I279" s="22" t="str">
        <x:f>HYPERLINK("https://etp-aktiv.ru/catalog/materialy/asbo-tekhnicheskie-izdeliya/2000538943-V114/","Открыть позицию")</x:f>
        <x:v>Открыть позицию</x:v>
      </x:c>
    </x:row>
    <x:row r="280" ht="28" customHeight="1">
      <x:c r="A280" s="16" t="str">
        <x:v>Красноярская ТЭЦ-3</x:v>
      </x:c>
      <x:c r="B280" s="16" t="str">
        <x:v>2000538944-V114</x:v>
      </x:c>
      <x:c r="C280" s="16" t="str">
        <x:v>КОЛЬЦО 00-В-Б ГФ-2 310*270*10</x:v>
      </x:c>
      <x:c r="D280" s="16" t="str">
        <x:v>Асбо-технические изд</x:v>
      </x:c>
      <x:c r="E280" s="16" t="str">
        <x:v>ШТ</x:v>
      </x:c>
      <x:c r="F280" s="21" t="n">
        <x:v>5</x:v>
      </x:c>
      <x:c r="G280" s="17" t="n">
        <x:v>1062.132</x:v>
      </x:c>
      <x:c r="H280" s="17" t="n">
        <x:f>G280*F280</x:f>
        <x:v>5310.66</x:v>
      </x:c>
      <x:c r="I280" s="22" t="str">
        <x:f>HYPERLINK("https://etp-aktiv.ru/catalog/materialy/asbo-tekhnicheskie-izdeliya/2000538944-V114/","Открыть позицию")</x:f>
        <x:v>Открыть позицию</x:v>
      </x:c>
    </x:row>
    <x:row r="281" ht="28" customHeight="1">
      <x:c r="A281" s="16" t="str">
        <x:v>Красноярская ТЭЦ-3</x:v>
      </x:c>
      <x:c r="B281" s="16" t="str">
        <x:v>2000538946-V114</x:v>
      </x:c>
      <x:c r="C281" s="16" t="str">
        <x:v>КОЛЬЦО 00-В-Б ГФ-2 70*48*10</x:v>
      </x:c>
      <x:c r="D281" s="16" t="str">
        <x:v>Асбо-технические изд</x:v>
      </x:c>
      <x:c r="E281" s="16" t="str">
        <x:v>ШТ</x:v>
      </x:c>
      <x:c r="F281" s="21" t="n">
        <x:v>10</x:v>
      </x:c>
      <x:c r="G281" s="17" t="n">
        <x:v>59.9996</x:v>
      </x:c>
      <x:c r="H281" s="17" t="n">
        <x:f>G281*F281</x:f>
        <x:v>599.996</x:v>
      </x:c>
      <x:c r="I281" s="22" t="str">
        <x:f>HYPERLINK("https://etp-aktiv.ru/catalog/materialy/asbo-tekhnicheskie-izdeliya/2000538946-V114/","Открыть позицию")</x:f>
        <x:v>Открыть позицию</x:v>
      </x:c>
    </x:row>
    <x:row r="282" ht="28" customHeight="1">
      <x:c r="A282" s="16" t="str">
        <x:v>Красноярская ТЭЦ-3</x:v>
      </x:c>
      <x:c r="B282" s="16" t="str">
        <x:v>2000538955-V114</x:v>
      </x:c>
      <x:c r="C282" s="16" t="str">
        <x:v>КОЛЬЦО 02-В-Б ГФ-2 360*320*30</x:v>
      </x:c>
      <x:c r="D282" s="16" t="str">
        <x:v>Асбо-технические изд</x:v>
      </x:c>
      <x:c r="E282" s="16" t="str">
        <x:v>ШТ</x:v>
      </x:c>
      <x:c r="F282" s="21" t="n">
        <x:v>3</x:v>
      </x:c>
      <x:c r="G282" s="17" t="n">
        <x:v>1750.5413999999998</x:v>
      </x:c>
      <x:c r="H282" s="17" t="n">
        <x:f>G282*F282</x:f>
        <x:v>5251.624199999999</x:v>
      </x:c>
      <x:c r="I282" s="22" t="str">
        <x:f>HYPERLINK("https://etp-aktiv.ru/catalog/materialy/asbo-tekhnicheskie-izdeliya/2000538955-V114/","Открыть позицию")</x:f>
        <x:v>Открыть позицию</x:v>
      </x:c>
    </x:row>
    <x:row r="283" ht="28" customHeight="1">
      <x:c r="A283" s="16" t="str">
        <x:v>Красноярская ТЭЦ-3</x:v>
      </x:c>
      <x:c r="B283" s="16" t="str">
        <x:v>2000538961-V114</x:v>
      </x:c>
      <x:c r="C283" s="16" t="str">
        <x:v>КОЛЬЦО 21-В-Б ГФ-2 210*190*3</x:v>
      </x:c>
      <x:c r="D283" s="16" t="str">
        <x:v>Асбо-технические изд</x:v>
      </x:c>
      <x:c r="E283" s="16" t="str">
        <x:v>ШТ</x:v>
      </x:c>
      <x:c r="F283" s="21" t="n">
        <x:v>2</x:v>
      </x:c>
      <x:c r="G283" s="17" t="n">
        <x:v>438.49240000000003</x:v>
      </x:c>
      <x:c r="H283" s="17" t="n">
        <x:f>G283*F283</x:f>
        <x:v>876.9848000000001</x:v>
      </x:c>
      <x:c r="I283" s="22" t="str">
        <x:f>HYPERLINK("https://etp-aktiv.ru/catalog/materialy/asbo-tekhnicheskie-izdeliya/2000538961-V114/","Открыть позицию")</x:f>
        <x:v>Открыть позицию</x:v>
      </x:c>
    </x:row>
    <x:row r="284" ht="28" customHeight="1">
      <x:c r="A284" s="16" t="str">
        <x:v>Красноярская ТЭЦ-3</x:v>
      </x:c>
      <x:c r="B284" s="16" t="str">
        <x:v>2000539025-V114</x:v>
      </x:c>
      <x:c r="C284" s="16" t="str">
        <x:v>КОЛЬЦО КГФ-Г-П2 180*155*18</x:v>
      </x:c>
      <x:c r="D284" s="16" t="str">
        <x:v>Асбо-технические изд</x:v>
      </x:c>
      <x:c r="E284" s="16" t="str">
        <x:v>ШТ</x:v>
      </x:c>
      <x:c r="F284" s="21" t="n">
        <x:v>1</x:v>
      </x:c>
      <x:c r="G284" s="17" t="n">
        <x:v>157.0628</x:v>
      </x:c>
      <x:c r="H284" s="17" t="n">
        <x:f>G284*F284</x:f>
        <x:v>157.0628</x:v>
      </x:c>
      <x:c r="I284" s="22" t="str">
        <x:f>HYPERLINK("https://etp-aktiv.ru/catalog/materialy/asbo-tekhnicheskie-izdeliya/2000539025-V114/","Открыть позицию")</x:f>
        <x:v>Открыть позицию</x:v>
      </x:c>
    </x:row>
    <x:row r="285" ht="28" customHeight="1">
      <x:c r="A285" s="16" t="str">
        <x:v>Красноярская ТЭЦ-3</x:v>
      </x:c>
      <x:c r="B285" s="16" t="str">
        <x:v>2000539030-V114</x:v>
      </x:c>
      <x:c r="C285" s="16" t="str">
        <x:v>КОЛЬЦО КГФ-Г-П3 150*130*15</x:v>
      </x:c>
      <x:c r="D285" s="16" t="str">
        <x:v>Асбо-технические изд</x:v>
      </x:c>
      <x:c r="E285" s="16" t="str">
        <x:v>ШТ</x:v>
      </x:c>
      <x:c r="F285" s="21" t="n">
        <x:v>4</x:v>
      </x:c>
      <x:c r="G285" s="17" t="n">
        <x:v>1136.6008</x:v>
      </x:c>
      <x:c r="H285" s="17" t="n">
        <x:f>G285*F285</x:f>
        <x:v>4546.4032</x:v>
      </x:c>
      <x:c r="I285" s="22" t="str">
        <x:f>HYPERLINK("https://etp-aktiv.ru/catalog/materialy/asbo-tekhnicheskie-izdeliya/2000539030-V114/","Открыть позицию")</x:f>
        <x:v>Открыть позицию</x:v>
      </x:c>
    </x:row>
    <x:row r="286" ht="28" customHeight="1">
      <x:c r="A286" s="16" t="str">
        <x:v>Красноярская ТЭЦ-3</x:v>
      </x:c>
      <x:c r="B286" s="16" t="str">
        <x:v>2000027038-V114</x:v>
      </x:c>
      <x:c r="C286" s="16" t="str">
        <x:v>КОЛЬЦО РЕЗИНОВОЕ УПЛОТНИТ 125-135-58</x:v>
      </x:c>
      <x:c r="D286" s="16" t="str">
        <x:v>Проч резино-тех изд</x:v>
      </x:c>
      <x:c r="E286" s="16" t="str">
        <x:v>ШТ</x:v>
      </x:c>
      <x:c r="F286" s="21" t="n">
        <x:v>3</x:v>
      </x:c>
      <x:c r="G286" s="17" t="n">
        <x:v>288.22499999999997</x:v>
      </x:c>
      <x:c r="H286" s="17" t="n">
        <x:f>G286*F286</x:f>
        <x:v>864.675</x:v>
      </x:c>
      <x:c r="I286" s="22" t="str">
        <x:f>HYPERLINK("https://etp-aktiv.ru/catalog/materialy/rezino-tekhnicheskie-izdeliya/2000027038-V114/","Открыть позицию")</x:f>
        <x:v>Открыть позицию</x:v>
      </x:c>
    </x:row>
    <x:row r="287" ht="28" customHeight="1">
      <x:c r="A287" s="16" t="str">
        <x:v>Красноярская ТЭЦ-3</x:v>
      </x:c>
      <x:c r="B287" s="16" t="str">
        <x:v>2000692153-V114</x:v>
      </x:c>
      <x:c r="C287" s="16" t="str">
        <x:v>КРОШКА ДИАТОМИТОВАЯ 0,16-2,2 ТУ5712-006</x:v>
      </x:c>
      <x:c r="D287" s="16" t="str">
        <x:v>Огнеупорные мат-лы</x:v>
      </x:c>
      <x:c r="E287" s="16" t="str">
        <x:v>М3</x:v>
      </x:c>
      <x:c r="F287" s="26" t="n">
        <x:v>16.473</x:v>
      </x:c>
      <x:c r="G287" s="17" t="n">
        <x:v>11023.4442</x:v>
      </x:c>
      <x:c r="H287" s="17" t="n">
        <x:f>G287*F287</x:f>
        <x:v>181589.19630659997</x:v>
      </x:c>
      <x:c r="I287" s="22" t="str">
        <x:f>HYPERLINK("https://etp-aktiv.ru/catalog/materialy/ogneupornye-materialy/2000692153-V114/","Открыть позицию")</x:f>
        <x:v>Открыть позицию</x:v>
      </x:c>
    </x:row>
    <x:row r="288" ht="28" customHeight="1">
      <x:c r="A288" s="16" t="str">
        <x:v>Красноярская ТЭЦ-3</x:v>
      </x:c>
      <x:c r="B288" s="16" t="str">
        <x:v>2000691933-V114</x:v>
      </x:c>
      <x:c r="C288" s="16" t="str">
        <x:v>КРОШКА ДИАТОМИТОВАЯ КПДО-И МАРКА Б</x:v>
      </x:c>
      <x:c r="D288" s="16" t="str">
        <x:v>Огнеупорные мат-лы</x:v>
      </x:c>
      <x:c r="E288" s="16" t="str">
        <x:v>М3</x:v>
      </x:c>
      <x:c r="F288" s="26" t="n">
        <x:v>10.791</x:v>
      </x:c>
      <x:c r="G288" s="17" t="n">
        <x:v>9846.193</x:v>
      </x:c>
      <x:c r="H288" s="17" t="n">
        <x:f>G288*F288</x:f>
        <x:v>106250.268663</x:v>
      </x:c>
      <x:c r="I288" s="22" t="str">
        <x:f>HYPERLINK("https://etp-aktiv.ru/catalog/materialy/ogneupornye-materialy/2000691933-V114/","Открыть позицию")</x:f>
        <x:v>Открыть позицию</x:v>
      </x:c>
    </x:row>
    <x:row r="289" ht="28" customHeight="1">
      <x:c r="A289" s="16" t="str">
        <x:v>Красноярская ТЭЦ-3</x:v>
      </x:c>
      <x:c r="B289" s="16" t="str">
        <x:v>2000029397-V114</x:v>
      </x:c>
      <x:c r="C289" s="16" t="str">
        <x:v>ЛЕНТА СЛЮДИНИТОВАЯ ЛСЭП 934 ТПЛ 0,13*20</x:v>
      </x:c>
      <x:c r="D289" s="16" t="str">
        <x:v>Э/изоляцион мат-лы</x:v>
      </x:c>
      <x:c r="E289" s="16" t="str">
        <x:v>КГ</x:v>
      </x:c>
      <x:c r="F289" s="26" t="n">
        <x:v>17.93</x:v>
      </x:c>
      <x:c r="G289" s="17" t="n">
        <x:v>716.1766</x:v>
      </x:c>
      <x:c r="H289" s="17" t="n">
        <x:f>G289*F289</x:f>
        <x:v>12841.046438</x:v>
      </x:c>
      <x:c r="I289" s="22" t="str">
        <x:f>HYPERLINK("https://etp-aktiv.ru/catalog/materialy/ehlektroizolyacionnye-materialy/2000029397-V114/","Открыть позицию")</x:f>
        <x:v>Открыть позицию</x:v>
      </x:c>
    </x:row>
    <x:row r="290" ht="28" customHeight="1">
      <x:c r="A290" s="16" t="str">
        <x:v>Красноярская ТЭЦ-3</x:v>
      </x:c>
      <x:c r="B290" s="16" t="str">
        <x:v>2000335574-V114</x:v>
      </x:c>
      <x:c r="C290" s="16" t="str">
        <x:v>ЛЕНТА ТОРМОЗНАЯ ЭМ-1 10*100ММ</x:v>
      </x:c>
      <x:c r="D290" s="16" t="str">
        <x:v>Асбо-технические изд</x:v>
      </x:c>
      <x:c r="E290" s="16" t="str">
        <x:v>ПМ</x:v>
      </x:c>
      <x:c r="F290" s="26" t="n">
        <x:v>6.535</x:v>
      </x:c>
      <x:c r="G290" s="17" t="n">
        <x:v>640.2681999999999</x:v>
      </x:c>
      <x:c r="H290" s="17" t="n">
        <x:f>G290*F290</x:f>
        <x:v>4184.152686999999</x:v>
      </x:c>
      <x:c r="I290" s="22" t="str">
        <x:f>HYPERLINK("https://etp-aktiv.ru/catalog/materialy/asbo-tekhnicheskie-izdeliya/2000335574-V114/","Открыть позицию")</x:f>
        <x:v>Открыть позицию</x:v>
      </x:c>
    </x:row>
    <x:row r="291" ht="28" customHeight="1">
      <x:c r="A291" s="16" t="str">
        <x:v>Красноярская ТЭЦ-3</x:v>
      </x:c>
      <x:c r="B291" s="16" t="str">
        <x:v>2000165125-V114</x:v>
      </x:c>
      <x:c r="C291" s="16" t="str">
        <x:v>НАБИВКА АГИ 10*10ММ ГОСТ5152-84</x:v>
      </x:c>
      <x:c r="D291" s="16" t="str">
        <x:v>Асбо-технические изд</x:v>
      </x:c>
      <x:c r="E291" s="16" t="str">
        <x:v>КГ</x:v>
      </x:c>
      <x:c r="F291" s="26" t="n">
        <x:v>12.94</x:v>
      </x:c>
      <x:c r="G291" s="17" t="n">
        <x:v>264.64239999999995</x:v>
      </x:c>
      <x:c r="H291" s="17" t="n">
        <x:f>G291*F291</x:f>
        <x:v>3424.4726559999995</x:v>
      </x:c>
      <x:c r="I291" s="22" t="str">
        <x:f>HYPERLINK("https://etp-aktiv.ru/catalog/materialy/asbo-tekhnicheskie-izdeliya/2000165125-V114/","Открыть позицию")</x:f>
        <x:v>Открыть позицию</x:v>
      </x:c>
    </x:row>
    <x:row r="292" ht="28" customHeight="1">
      <x:c r="A292" s="16" t="str">
        <x:v>Красноярская ТЭЦ-3</x:v>
      </x:c>
      <x:c r="B292" s="16" t="str">
        <x:v>2000140982-V114</x:v>
      </x:c>
      <x:c r="C292" s="16" t="str">
        <x:v>НАБИВКА АГИ 13ММ ГОСТ5152-84</x:v>
      </x:c>
      <x:c r="D292" s="16" t="str">
        <x:v>Асбо-технические изд</x:v>
      </x:c>
      <x:c r="E292" s="16" t="str">
        <x:v>КГ</x:v>
      </x:c>
      <x:c r="F292" s="26" t="n">
        <x:v>3.9</x:v>
      </x:c>
      <x:c r="G292" s="17" t="n">
        <x:v>402.6244</x:v>
      </x:c>
      <x:c r="H292" s="17" t="n">
        <x:f>G292*F292</x:f>
        <x:v>1570.23516</x:v>
      </x:c>
      <x:c r="I292" s="22" t="str">
        <x:f>HYPERLINK("https://etp-aktiv.ru/catalog/materialy/asbo-tekhnicheskie-izdeliya/2000140982-V114/","Открыть позицию")</x:f>
        <x:v>Открыть позицию</x:v>
      </x:c>
    </x:row>
    <x:row r="293" ht="28" customHeight="1">
      <x:c r="A293" s="16" t="str">
        <x:v>Красноярская ТЭЦ-3</x:v>
      </x:c>
      <x:c r="B293" s="16" t="str">
        <x:v>2000140999-V114</x:v>
      </x:c>
      <x:c r="C293" s="16" t="str">
        <x:v>НАБИВКА АГИ 16ММ</x:v>
      </x:c>
      <x:c r="D293" s="16" t="str">
        <x:v>Асбо-технические изд</x:v>
      </x:c>
      <x:c r="E293" s="16" t="str">
        <x:v>КГ</x:v>
      </x:c>
      <x:c r="F293" s="26" t="n">
        <x:v>10.1</x:v>
      </x:c>
      <x:c r="G293" s="17" t="n">
        <x:v>381.7502</x:v>
      </x:c>
      <x:c r="H293" s="17" t="n">
        <x:f>G293*F293</x:f>
        <x:v>3855.67702</x:v>
      </x:c>
      <x:c r="I293" s="22" t="str">
        <x:f>HYPERLINK("https://etp-aktiv.ru/catalog/materialy/asbo-tekhnicheskie-izdeliya/2000140999-V114/","Открыть позицию")</x:f>
        <x:v>Открыть позицию</x:v>
      </x:c>
    </x:row>
    <x:row r="294" ht="28" customHeight="1">
      <x:c r="A294" s="16" t="str">
        <x:v>Красноярская ТЭЦ-3</x:v>
      </x:c>
      <x:c r="B294" s="16" t="str">
        <x:v>2000165226-V114</x:v>
      </x:c>
      <x:c r="C294" s="16" t="str">
        <x:v>НАБИВКА АГИ 18*18ММ</x:v>
      </x:c>
      <x:c r="D294" s="16" t="str">
        <x:v>Асбо-технические изд</x:v>
      </x:c>
      <x:c r="E294" s="16" t="str">
        <x:v>КГ</x:v>
      </x:c>
      <x:c r="F294" s="30" t="n">
        <x:v>0.1</x:v>
      </x:c>
      <x:c r="G294" s="17" t="n">
        <x:v>289.6158</x:v>
      </x:c>
      <x:c r="H294" s="17" t="n">
        <x:f>G294*F294</x:f>
        <x:v>28.961579999999998</x:v>
      </x:c>
      <x:c r="I294" s="22" t="str">
        <x:f>HYPERLINK("https://etp-aktiv.ru/catalog/materialy/asbo-tekhnicheskie-izdeliya/2000165226-V114/","Открыть позицию")</x:f>
        <x:v>Открыть позицию</x:v>
      </x:c>
    </x:row>
    <x:row r="295" ht="28" customHeight="1">
      <x:c r="A295" s="16" t="str">
        <x:v>Красноярская ТЭЦ-3</x:v>
      </x:c>
      <x:c r="B295" s="16" t="str">
        <x:v>2000321433-V114</x:v>
      </x:c>
      <x:c r="C295" s="16" t="str">
        <x:v>НАБИВКА АГИ 4*4ММ</x:v>
      </x:c>
      <x:c r="D295" s="16" t="str">
        <x:v>Асбо-технические изд</x:v>
      </x:c>
      <x:c r="E295" s="16" t="str">
        <x:v>КГ</x:v>
      </x:c>
      <x:c r="F295" s="26" t="n">
        <x:v>6.6</x:v>
      </x:c>
      <x:c r="G295" s="17" t="n">
        <x:v>399.0132</x:v>
      </x:c>
      <x:c r="H295" s="17" t="n">
        <x:f>G295*F295</x:f>
        <x:v>2633.48712</x:v>
      </x:c>
      <x:c r="I295" s="22" t="str">
        <x:f>HYPERLINK("https://etp-aktiv.ru/catalog/materialy/asbo-tekhnicheskie-izdeliya/2000321433-V114/","Открыть позицию")</x:f>
        <x:v>Открыть позицию</x:v>
      </x:c>
    </x:row>
    <x:row r="296" ht="28" customHeight="1">
      <x:c r="A296" s="16" t="str">
        <x:v>Красноярская ТЭЦ-3</x:v>
      </x:c>
      <x:c r="B296" s="16" t="str">
        <x:v>2000085271-V114</x:v>
      </x:c>
      <x:c r="C296" s="16" t="str">
        <x:v>НАБИВКА АГИ 6ММ</x:v>
      </x:c>
      <x:c r="D296" s="16" t="str">
        <x:v>Асбо-технические изд</x:v>
      </x:c>
      <x:c r="E296" s="16" t="str">
        <x:v>КГ</x:v>
      </x:c>
      <x:c r="F296" s="26" t="n">
        <x:v>5.9</x:v>
      </x:c>
      <x:c r="G296" s="17" t="n">
        <x:v>265.7282</x:v>
      </x:c>
      <x:c r="H296" s="17" t="n">
        <x:f>G296*F296</x:f>
        <x:v>1567.7963800000002</x:v>
      </x:c>
      <x:c r="I296" s="22" t="str">
        <x:f>HYPERLINK("https://etp-aktiv.ru/catalog/materialy/asbo-tekhnicheskie-izdeliya/2000085271-V114/","Открыть позицию")</x:f>
        <x:v>Открыть позицию</x:v>
      </x:c>
    </x:row>
    <x:row r="297" ht="28" customHeight="1">
      <x:c r="A297" s="16" t="str">
        <x:v>Красноярская ТЭЦ-3</x:v>
      </x:c>
      <x:c r="B297" s="16" t="str">
        <x:v>2000157675-V114</x:v>
      </x:c>
      <x:c r="C297" s="16" t="str">
        <x:v>НАБИВКА АП-31 14*14ММ</x:v>
      </x:c>
      <x:c r="D297" s="16" t="str">
        <x:v>Асбо-технические изд</x:v>
      </x:c>
      <x:c r="E297" s="16" t="str">
        <x:v>КГ</x:v>
      </x:c>
      <x:c r="F297" s="26" t="n">
        <x:v>19.4</x:v>
      </x:c>
      <x:c r="G297" s="17" t="n">
        <x:v>191.0642</x:v>
      </x:c>
      <x:c r="H297" s="17" t="n">
        <x:f>G297*F297</x:f>
        <x:v>3706.6454799999997</x:v>
      </x:c>
      <x:c r="I297" s="22" t="str">
        <x:f>HYPERLINK("https://etp-aktiv.ru/catalog/materialy/asbo-tekhnicheskie-izdeliya/2000157675-V114/","Открыть позицию")</x:f>
        <x:v>Открыть позицию</x:v>
      </x:c>
    </x:row>
    <x:row r="298" ht="28" customHeight="1">
      <x:c r="A298" s="16" t="str">
        <x:v>Красноярская ТЭЦ-3</x:v>
      </x:c>
      <x:c r="B298" s="16" t="str">
        <x:v>2000157676-V114</x:v>
      </x:c>
      <x:c r="C298" s="16" t="str">
        <x:v>НАБИВКА АП-31 16*16ММ</x:v>
      </x:c>
      <x:c r="D298" s="16" t="str">
        <x:v>Асбо-технические изд</x:v>
      </x:c>
      <x:c r="E298" s="16" t="str">
        <x:v>КГ</x:v>
      </x:c>
      <x:c r="F298" s="26" t="n">
        <x:v>19.482</x:v>
      </x:c>
      <x:c r="G298" s="17" t="n">
        <x:v>191.845</x:v>
      </x:c>
      <x:c r="H298" s="17" t="n">
        <x:f>G298*F298</x:f>
        <x:v>3737.52429</x:v>
      </x:c>
      <x:c r="I298" s="22" t="str">
        <x:f>HYPERLINK("https://etp-aktiv.ru/catalog/materialy/asbo-tekhnicheskie-izdeliya/2000157676-V114/","Открыть позицию")</x:f>
        <x:v>Открыть позицию</x:v>
      </x:c>
    </x:row>
    <x:row r="299" ht="28" customHeight="1">
      <x:c r="A299" s="16" t="str">
        <x:v>Красноярская ТЭЦ-3</x:v>
      </x:c>
      <x:c r="B299" s="16" t="str">
        <x:v>2000031516-V114</x:v>
      </x:c>
      <x:c r="C299" s="16" t="str">
        <x:v>НАБИВКА АПР-31 16ММ</x:v>
      </x:c>
      <x:c r="D299" s="16" t="str">
        <x:v>Асбо-технические изд</x:v>
      </x:c>
      <x:c r="E299" s="16" t="str">
        <x:v>КГ</x:v>
      </x:c>
      <x:c r="F299" s="30" t="n">
        <x:v>0.3</x:v>
      </x:c>
      <x:c r="G299" s="17" t="n">
        <x:v>227.74960000000002</x:v>
      </x:c>
      <x:c r="H299" s="17" t="n">
        <x:f>G299*F299</x:f>
        <x:v>68.32488000000001</x:v>
      </x:c>
      <x:c r="I299" s="22" t="str">
        <x:f>HYPERLINK("https://etp-aktiv.ru/catalog/materialy/asbo-tekhnicheskie-izdeliya/2000031516-V114/","Открыть позицию")</x:f>
        <x:v>Открыть позицию</x:v>
      </x:c>
    </x:row>
    <x:row r="300" ht="28" customHeight="1">
      <x:c r="A300" s="16" t="str">
        <x:v>Красноярская ТЭЦ-3</x:v>
      </x:c>
      <x:c r="B300" s="16" t="str">
        <x:v>2000165138-V114</x:v>
      </x:c>
      <x:c r="C300" s="16" t="str">
        <x:v>НАБИВКА АПР-31 28*28ММ</x:v>
      </x:c>
      <x:c r="D300" s="16" t="str">
        <x:v>Асбо-технические изд</x:v>
      </x:c>
      <x:c r="E300" s="16" t="str">
        <x:v>КГ</x:v>
      </x:c>
      <x:c r="F300" s="21" t="n">
        <x:v>18</x:v>
      </x:c>
      <x:c r="G300" s="17" t="n">
        <x:v>415.7882</x:v>
      </x:c>
      <x:c r="H300" s="17" t="n">
        <x:f>G300*F300</x:f>
        <x:v>7484.1876</x:v>
      </x:c>
      <x:c r="I300" s="22" t="str">
        <x:f>HYPERLINK("https://etp-aktiv.ru/catalog/materialy/asbo-tekhnicheskie-izdeliya/2000165138-V114/","Открыть позицию")</x:f>
        <x:v>Открыть позицию</x:v>
      </x:c>
    </x:row>
    <x:row r="301" ht="28" customHeight="1">
      <x:c r="A301" s="16" t="str">
        <x:v>Красноярская ТЭЦ-3</x:v>
      </x:c>
      <x:c r="B301" s="16" t="str">
        <x:v>2000085273-V114</x:v>
      </x:c>
      <x:c r="C301" s="16" t="str">
        <x:v>НАБИВКА АС 20ММ</x:v>
      </x:c>
      <x:c r="D301" s="16" t="str">
        <x:v>Асбо-технические изд</x:v>
      </x:c>
      <x:c r="E301" s="16" t="str">
        <x:v>КГ</x:v>
      </x:c>
      <x:c r="F301" s="26" t="n">
        <x:v>36.1</x:v>
      </x:c>
      <x:c r="G301" s="17" t="n">
        <x:v>437.47979999999995</x:v>
      </x:c>
      <x:c r="H301" s="17" t="n">
        <x:f>G301*F301</x:f>
        <x:v>15793.020779999999</x:v>
      </x:c>
      <x:c r="I301" s="22" t="str">
        <x:f>HYPERLINK("https://etp-aktiv.ru/catalog/materialy/asbo-tekhnicheskie-izdeliya/2000085273-V114/","Открыть позицию")</x:f>
        <x:v>Открыть позицию</x:v>
      </x:c>
    </x:row>
    <x:row r="302" ht="28" customHeight="1">
      <x:c r="A302" s="16" t="str">
        <x:v>Красноярская ТЭЦ-3</x:v>
      </x:c>
      <x:c r="B302" s="16" t="str">
        <x:v>2000245977-V114</x:v>
      </x:c>
      <x:c r="C302" s="16" t="str">
        <x:v>НАБИВКА ГРАФИТОВАЯ НГФ-ХБ 15*15ММ</x:v>
      </x:c>
      <x:c r="D302" s="16" t="str">
        <x:v>Асбо-технические изд</x:v>
      </x:c>
      <x:c r="E302" s="16" t="str">
        <x:v>КГ</x:v>
      </x:c>
      <x:c r="F302" s="26" t="n">
        <x:v>4.5</x:v>
      </x:c>
      <x:c r="G302" s="17" t="n">
        <x:v>773.8581999999999</x:v>
      </x:c>
      <x:c r="H302" s="17" t="n">
        <x:f>G302*F302</x:f>
        <x:v>3482.3618999999994</x:v>
      </x:c>
      <x:c r="I302" s="22" t="str">
        <x:f>HYPERLINK("https://etp-aktiv.ru/catalog/materialy/asbo-tekhnicheskie-izdeliya/2000245977-V114/","Открыть позицию")</x:f>
        <x:v>Открыть позицию</x:v>
      </x:c>
    </x:row>
    <x:row r="303" ht="28" customHeight="1">
      <x:c r="A303" s="16" t="str">
        <x:v>Красноярская ТЭЦ-3</x:v>
      </x:c>
      <x:c r="B303" s="16" t="str">
        <x:v>2000539161-V114</x:v>
      </x:c>
      <x:c r="C303" s="16" t="str">
        <x:v>НАБИВКА МНОГОСЛОЙНОЕ ПЛЕТЕНИЕ АГИ 16*16</x:v>
      </x:c>
      <x:c r="D303" s="16" t="str">
        <x:v>Асбо-технические изд</x:v>
      </x:c>
      <x:c r="E303" s="16" t="str">
        <x:v>КГ</x:v>
      </x:c>
      <x:c r="F303" s="21" t="n">
        <x:v>5</x:v>
      </x:c>
      <x:c r="G303" s="17" t="n">
        <x:v>329.5586</x:v>
      </x:c>
      <x:c r="H303" s="17" t="n">
        <x:f>G303*F303</x:f>
        <x:v>1647.7930000000001</x:v>
      </x:c>
      <x:c r="I303" s="22" t="str">
        <x:f>HYPERLINK("https://etp-aktiv.ru/catalog/materialy/asbo-tekhnicheskie-izdeliya/2000539161-V114/","Открыть позицию")</x:f>
        <x:v>Открыть позицию</x:v>
      </x:c>
    </x:row>
    <x:row r="304" ht="28" customHeight="1">
      <x:c r="A304" s="16" t="str">
        <x:v>Красноярская ТЭЦ-3</x:v>
      </x:c>
      <x:c r="B304" s="16" t="str">
        <x:v>2000140377-V114</x:v>
      </x:c>
      <x:c r="C304" s="16" t="str">
        <x:v>НАБИВКА НГФ-С 12*12</x:v>
      </x:c>
      <x:c r="D304" s="16" t="str">
        <x:v>Асбо-технические изд</x:v>
      </x:c>
      <x:c r="E304" s="16" t="str">
        <x:v>КГ</x:v>
      </x:c>
      <x:c r="F304" s="26" t="n">
        <x:v>3.5</x:v>
      </x:c>
      <x:c r="G304" s="17" t="n">
        <x:v>419.985</x:v>
      </x:c>
      <x:c r="H304" s="17" t="n">
        <x:f>G304*F304</x:f>
        <x:v>1469.9475</x:v>
      </x:c>
      <x:c r="I304" s="22" t="str">
        <x:f>HYPERLINK("https://etp-aktiv.ru/catalog/materialy/asbo-tekhnicheskie-izdeliya/2000140377-V114/","Открыть позицию")</x:f>
        <x:v>Открыть позицию</x:v>
      </x:c>
    </x:row>
    <x:row r="305" ht="28" customHeight="1">
      <x:c r="A305" s="16" t="str">
        <x:v>Красноярская ТЭЦ-3</x:v>
      </x:c>
      <x:c r="B305" s="16" t="str">
        <x:v>2000140381-V114</x:v>
      </x:c>
      <x:c r="C305" s="16" t="str">
        <x:v>НАБИВКА НГФ-С 16*16</x:v>
      </x:c>
      <x:c r="D305" s="16" t="str">
        <x:v>Асбо-технические изд</x:v>
      </x:c>
      <x:c r="E305" s="16" t="str">
        <x:v>КГ</x:v>
      </x:c>
      <x:c r="F305" s="21" t="n">
        <x:v>1</x:v>
      </x:c>
      <x:c r="G305" s="17" t="n">
        <x:v>419.985</x:v>
      </x:c>
      <x:c r="H305" s="17" t="n">
        <x:f>G305*F305</x:f>
        <x:v>419.985</x:v>
      </x:c>
      <x:c r="I305" s="22" t="str">
        <x:f>HYPERLINK("https://etp-aktiv.ru/catalog/materialy/asbo-tekhnicheskie-izdeliya/2000140381-V114/","Открыть позицию")</x:f>
        <x:v>Открыть позицию</x:v>
      </x:c>
    </x:row>
    <x:row r="306" ht="28" customHeight="1">
      <x:c r="A306" s="16" t="str">
        <x:v>Красноярская ТЭЦ-3</x:v>
      </x:c>
      <x:c r="B306" s="16" t="str">
        <x:v>2000539166-V114</x:v>
      </x:c>
      <x:c r="C306" s="16" t="str">
        <x:v>НАБИВКА ОДНОСЛОЙНОЕ ПЛЕТЕНИЕ АГИ 6*6</x:v>
      </x:c>
      <x:c r="D306" s="16" t="str">
        <x:v>Асбо-технические изд</x:v>
      </x:c>
      <x:c r="E306" s="16" t="str">
        <x:v>КГ</x:v>
      </x:c>
      <x:c r="F306" s="26" t="n">
        <x:v>8.6</x:v>
      </x:c>
      <x:c r="G306" s="17" t="n">
        <x:v>578.28</x:v>
      </x:c>
      <x:c r="H306" s="17" t="n">
        <x:f>G306*F306</x:f>
        <x:v>4973.208</x:v>
      </x:c>
      <x:c r="I306" s="22" t="str">
        <x:f>HYPERLINK("https://etp-aktiv.ru/catalog/materialy/asbo-tekhnicheskie-izdeliya/2000539166-V114/","Открыть позицию")</x:f>
        <x:v>Открыть позицию</x:v>
      </x:c>
    </x:row>
    <x:row r="307" ht="28" customHeight="1">
      <x:c r="A307" s="16" t="str">
        <x:v>Красноярская ТЭЦ-3</x:v>
      </x:c>
      <x:c r="B307" s="16" t="str">
        <x:v>2000539176-V114</x:v>
      </x:c>
      <x:c r="C307" s="16" t="str">
        <x:v>НАБИВКА ОДНОСЛОЙНОЕ ПЛЕТЕНИЕ АП-31 12*12</x:v>
      </x:c>
      <x:c r="D307" s="16" t="str">
        <x:v>Асбо-технические изд</x:v>
      </x:c>
      <x:c r="E307" s="16" t="str">
        <x:v>КГ</x:v>
      </x:c>
      <x:c r="F307" s="26" t="n">
        <x:v>9.9</x:v>
      </x:c>
      <x:c r="G307" s="17" t="n">
        <x:v>182.5242</x:v>
      </x:c>
      <x:c r="H307" s="17" t="n">
        <x:f>G307*F307</x:f>
        <x:v>1806.9895800000002</x:v>
      </x:c>
      <x:c r="I307" s="22" t="str">
        <x:f>HYPERLINK("https://etp-aktiv.ru/catalog/materialy/asbo-tekhnicheskie-izdeliya/2000539176-V114/","Открыть позицию")</x:f>
        <x:v>Открыть позицию</x:v>
      </x:c>
    </x:row>
    <x:row r="308" ht="28" customHeight="1">
      <x:c r="A308" s="16" t="str">
        <x:v>Красноярская ТЭЦ-3</x:v>
      </x:c>
      <x:c r="B308" s="16" t="str">
        <x:v>2000633351-V114</x:v>
      </x:c>
      <x:c r="C308" s="16" t="str">
        <x:v>НАБИВКА САЛЬНИКОВАЯ НФ-200 12*12</x:v>
      </x:c>
      <x:c r="D308" s="16" t="str">
        <x:v>Асбо-технические изд</x:v>
      </x:c>
      <x:c r="E308" s="16" t="str">
        <x:v>КГ</x:v>
      </x:c>
      <x:c r="F308" s="26" t="n">
        <x:v>1.025</x:v>
      </x:c>
      <x:c r="G308" s="17" t="n">
        <x:v>1269.5686</x:v>
      </x:c>
      <x:c r="H308" s="17" t="n">
        <x:f>G308*F308</x:f>
        <x:v>1301.307815</x:v>
      </x:c>
      <x:c r="I308" s="22" t="str">
        <x:f>HYPERLINK("https://etp-aktiv.ru/catalog/materialy/asbo-tekhnicheskie-izdeliya/2000633351-V114/","Открыть позицию")</x:f>
        <x:v>Открыть позицию</x:v>
      </x:c>
    </x:row>
    <x:row r="309" ht="28" customHeight="1">
      <x:c r="A309" s="16" t="str">
        <x:v>Красноярская ТЭЦ-3</x:v>
      </x:c>
      <x:c r="B309" s="16" t="str">
        <x:v>2000539187-V114</x:v>
      </x:c>
      <x:c r="C309" s="16" t="str">
        <x:v>НАБИВКА СКВОЗНОЕ ПЛЕТЕНИЕ АПР-31 12*12</x:v>
      </x:c>
      <x:c r="D309" s="16" t="str">
        <x:v>Асбо-технические изд</x:v>
      </x:c>
      <x:c r="E309" s="16" t="str">
        <x:v>КГ</x:v>
      </x:c>
      <x:c r="F309" s="26" t="n">
        <x:v>11.81</x:v>
      </x:c>
      <x:c r="G309" s="17" t="n">
        <x:v>354.1782</x:v>
      </x:c>
      <x:c r="H309" s="17" t="n">
        <x:f>G309*F309</x:f>
        <x:v>4182.844542</x:v>
      </x:c>
      <x:c r="I309" s="22" t="str">
        <x:f>HYPERLINK("https://etp-aktiv.ru/catalog/materialy/asbo-tekhnicheskie-izdeliya/2000539187-V114/","Открыть позицию")</x:f>
        <x:v>Открыть позицию</x:v>
      </x:c>
    </x:row>
    <x:row r="310" ht="28" customHeight="1">
      <x:c r="A310" s="16" t="str">
        <x:v>Красноярская ТЭЦ-3</x:v>
      </x:c>
      <x:c r="B310" s="16" t="str">
        <x:v>2000165699-V114</x:v>
      </x:c>
      <x:c r="C310" s="16" t="str">
        <x:v>НАБИВКА ХБП-31 12*12ММ</x:v>
      </x:c>
      <x:c r="D310" s="16" t="str">
        <x:v>Асбо-технические изд</x:v>
      </x:c>
      <x:c r="E310" s="16" t="str">
        <x:v>КГ</x:v>
      </x:c>
      <x:c r="F310" s="21" t="n">
        <x:v>2</x:v>
      </x:c>
      <x:c r="G310" s="17" t="n">
        <x:v>187.7214</x:v>
      </x:c>
      <x:c r="H310" s="17" t="n">
        <x:f>G310*F310</x:f>
        <x:v>375.4428</x:v>
      </x:c>
      <x:c r="I310" s="22" t="str">
        <x:f>HYPERLINK("https://etp-aktiv.ru/catalog/materialy/asbo-tekhnicheskie-izdeliya/2000165699-V114/","Открыть позицию")</x:f>
        <x:v>Открыть позицию</x:v>
      </x:c>
    </x:row>
    <x:row r="311" ht="28" customHeight="1">
      <x:c r="A311" s="16" t="str">
        <x:v>Красноярская ТЭЦ-3</x:v>
      </x:c>
      <x:c r="B311" s="16" t="str">
        <x:v>2000563540-V114</x:v>
      </x:c>
      <x:c r="C311" s="16" t="str">
        <x:v>ПЛАСТИНА ВОЙЛОЧНАЯ 5*600*1800</x:v>
      </x:c>
      <x:c r="D311" s="16" t="str">
        <x:v>Теплоизоляция</x:v>
      </x:c>
      <x:c r="E311" s="16" t="str">
        <x:v>ШТ</x:v>
      </x:c>
      <x:c r="F311" s="21" t="n">
        <x:v>2</x:v>
      </x:c>
      <x:c r="G311" s="17" t="n">
        <x:v>2667.7983999999997</x:v>
      </x:c>
      <x:c r="H311" s="17" t="n">
        <x:f>G311*F311</x:f>
        <x:v>5335.596799999999</x:v>
      </x:c>
      <x:c r="I311" s="22" t="str">
        <x:f>HYPERLINK("https://etp-aktiv.ru/catalog/materialy/teploizolyaciya/2000563540-V114/","Открыть позицию")</x:f>
        <x:v>Открыть позицию</x:v>
      </x:c>
    </x:row>
    <x:row r="312" ht="28" customHeight="1">
      <x:c r="A312" s="16" t="str">
        <x:v>Красноярская ТЭЦ-3</x:v>
      </x:c>
      <x:c r="B312" s="16" t="str">
        <x:v>2000138950-V114</x:v>
      </x:c>
      <x:c r="C312" s="16" t="str">
        <x:v>ПЛАСТИНА СМОГ 160*24ММ</x:v>
      </x:c>
      <x:c r="D312" s="16" t="str">
        <x:v>Э/изоляцион мат-лы</x:v>
      </x:c>
      <x:c r="E312" s="16" t="str">
        <x:v>ШТ</x:v>
      </x:c>
      <x:c r="F312" s="21" t="n">
        <x:v>11</x:v>
      </x:c>
      <x:c r="G312" s="17" t="n">
        <x:v>62.037</x:v>
      </x:c>
      <x:c r="H312" s="17" t="n">
        <x:f>G312*F312</x:f>
        <x:v>682.407</x:v>
      </x:c>
      <x:c r="I312" s="22" t="str">
        <x:f>HYPERLINK("https://etp-aktiv.ru/catalog/materialy/ehlektroizolyacionnye-materialy/2000138950-V114/","Открыть позицию")</x:f>
        <x:v>Открыть позицию</x:v>
      </x:c>
    </x:row>
    <x:row r="313" ht="28" customHeight="1">
      <x:c r="A313" s="16" t="str">
        <x:v>Красноярская ТЭЦ-3</x:v>
      </x:c>
      <x:c r="B313" s="16" t="str">
        <x:v>2000575181-V114</x:v>
      </x:c>
      <x:c r="C313" s="16" t="str">
        <x:v>ПРОКЛАДКА Г-50-10-Ф ГОСТ15180</x:v>
      </x:c>
      <x:c r="D313" s="16" t="str">
        <x:v>Асбо-технические изд</x:v>
      </x:c>
      <x:c r="E313" s="16" t="str">
        <x:v>ШТ</x:v>
      </x:c>
      <x:c r="F313" s="21" t="n">
        <x:v>2</x:v>
      </x:c>
      <x:c r="G313" s="17" t="n">
        <x:v>216.6964</x:v>
      </x:c>
      <x:c r="H313" s="17" t="n">
        <x:f>G313*F313</x:f>
        <x:v>433.3928</x:v>
      </x:c>
      <x:c r="I313" s="22" t="str">
        <x:f>HYPERLINK("https://etp-aktiv.ru/catalog/materialy/asbo-tekhnicheskie-izdeliya/2000575181-V114/","Открыть позицию")</x:f>
        <x:v>Открыть позицию</x:v>
      </x:c>
    </x:row>
    <x:row r="314" ht="28" customHeight="1">
      <x:c r="A314" s="16" t="str">
        <x:v>Красноярская ТЭЦ-3</x:v>
      </x:c>
      <x:c r="B314" s="16" t="str">
        <x:v>2000539317-V114</x:v>
      </x:c>
      <x:c r="C314" s="16" t="str">
        <x:v>ПРОКЛАДКА ПУТГ-2-212-04 210*190-3</x:v>
      </x:c>
      <x:c r="D314" s="16" t="str">
        <x:v>Асбо-технические изд</x:v>
      </x:c>
      <x:c r="E314" s="16" t="str">
        <x:v>ШТ</x:v>
      </x:c>
      <x:c r="F314" s="21" t="n">
        <x:v>7</x:v>
      </x:c>
      <x:c r="G314" s="17" t="n">
        <x:v>425.47499999999997</x:v>
      </x:c>
      <x:c r="H314" s="17" t="n">
        <x:f>G314*F314</x:f>
        <x:v>2978.325</x:v>
      </x:c>
      <x:c r="I314" s="22" t="str">
        <x:f>HYPERLINK("https://etp-aktiv.ru/catalog/materialy/asbo-tekhnicheskie-izdeliya/2000539317-V114/","Открыть позицию")</x:f>
        <x:v>Открыть позицию</x:v>
      </x:c>
    </x:row>
    <x:row r="315" ht="28" customHeight="1">
      <x:c r="A315" s="16" t="str">
        <x:v>Красноярская ТЭЦ-3</x:v>
      </x:c>
      <x:c r="B315" s="16" t="str">
        <x:v>2000548609-V114</x:v>
      </x:c>
      <x:c r="C315" s="16" t="str">
        <x:v>СТ/ТЕКСТОЛИТ СТЭФ-У 3,0ММ</x:v>
      </x:c>
      <x:c r="D315" s="16" t="str">
        <x:v>Э/изоляцион мат-лы</x:v>
      </x:c>
      <x:c r="E315" s="16" t="str">
        <x:v>КГ</x:v>
      </x:c>
      <x:c r="F315" s="26" t="n">
        <x:v>11.24</x:v>
      </x:c>
      <x:c r="G315" s="17" t="n">
        <x:v>232.6052</x:v>
      </x:c>
      <x:c r="H315" s="17" t="n">
        <x:f>G315*F315</x:f>
        <x:v>2614.482448</x:v>
      </x:c>
      <x:c r="I315" s="22" t="str">
        <x:f>HYPERLINK("https://etp-aktiv.ru/catalog/materialy/ehlektroizolyacionnye-materialy/2000548609-V114/","Открыть позицию")</x:f>
        <x:v>Открыть позицию</x:v>
      </x:c>
    </x:row>
    <x:row r="316" ht="28" customHeight="1">
      <x:c r="A316" s="16" t="str">
        <x:v>Красноярская ТЭЦ-3</x:v>
      </x:c>
      <x:c r="B316" s="16" t="str">
        <x:v>2000549081-V114</x:v>
      </x:c>
      <x:c r="C316" s="16" t="str">
        <x:v>СТЕКЛОТКАНЬ Т-13</x:v>
      </x:c>
      <x:c r="D316" s="16" t="str">
        <x:v>Теплоизоляция</x:v>
      </x:c>
      <x:c r="E316" s="16" t="str">
        <x:v>М2</x:v>
      </x:c>
      <x:c r="F316" s="26" t="n">
        <x:v>596.866</x:v>
      </x:c>
      <x:c r="G316" s="17" t="n">
        <x:v>118.0106</x:v>
      </x:c>
      <x:c r="H316" s="17" t="n">
        <x:f>G316*F316</x:f>
        <x:v>70436.5147796</x:v>
      </x:c>
      <x:c r="I316" s="22" t="str">
        <x:f>HYPERLINK("https://etp-aktiv.ru/catalog/materialy/teploizolyaciya/2000549081-V114/","Открыть позицию")</x:f>
        <x:v>Открыть позицию</x:v>
      </x:c>
    </x:row>
    <x:row r="317" ht="28" customHeight="1">
      <x:c r="A317" s="16" t="str">
        <x:v>Красноярская ТЭЦ-3</x:v>
      </x:c>
      <x:c r="B317" s="16" t="str">
        <x:v>2000548631-V114</x:v>
      </x:c>
      <x:c r="C317" s="16" t="str">
        <x:v>СТЕРЖЕНЬ ФТОРОПЛАСТ Ф-4 50*1000ММ</x:v>
      </x:c>
      <x:c r="D317" s="16" t="str">
        <x:v>Э/изоляцион мат-лы</x:v>
      </x:c>
      <x:c r="E317" s="16" t="str">
        <x:v>КГ</x:v>
      </x:c>
      <x:c r="F317" s="26" t="n">
        <x:v>10.53</x:v>
      </x:c>
      <x:c r="G317" s="17" t="n">
        <x:v>552.4892</x:v>
      </x:c>
      <x:c r="H317" s="17" t="n">
        <x:f>G317*F317</x:f>
        <x:v>5817.711275999999</x:v>
      </x:c>
      <x:c r="I317" s="22" t="str">
        <x:f>HYPERLINK("https://etp-aktiv.ru/catalog/materialy/ehlektroizolyacionnye-materialy/2000548631-V114/","Открыть позицию")</x:f>
        <x:v>Открыть позицию</x:v>
      </x:c>
    </x:row>
    <x:row r="318" ht="28" customHeight="1">
      <x:c r="A318" s="16" t="str">
        <x:v>Красноярская ТЭЦ-3</x:v>
      </x:c>
      <x:c r="B318" s="16" t="str">
        <x:v>2000549102-V114</x:v>
      </x:c>
      <x:c r="C318" s="16" t="str">
        <x:v>ТКАНЬ КРЕМНЕЗЕМ КТ-11</x:v>
      </x:c>
      <x:c r="D318" s="16" t="str">
        <x:v>Теплоизоляция</x:v>
      </x:c>
      <x:c r="E318" s="16" t="str">
        <x:v>М2</x:v>
      </x:c>
      <x:c r="F318" s="21" t="n">
        <x:v>140</x:v>
      </x:c>
      <x:c r="G318" s="17" t="n">
        <x:v>454.98679999999996</x:v>
      </x:c>
      <x:c r="H318" s="17" t="n">
        <x:f>G318*F318</x:f>
        <x:v>63698.151999999995</x:v>
      </x:c>
      <x:c r="I318" s="22" t="str">
        <x:f>HYPERLINK("https://etp-aktiv.ru/catalog/materialy/teploizolyaciya/2000549102-V114/","Открыть позицию")</x:f>
        <x:v>Открыть позицию</x:v>
      </x:c>
    </x:row>
    <x:row r="319" ht="28" customHeight="1">
      <x:c r="A319" s="16" t="str">
        <x:v>Красноярская ТЭЦ-3</x:v>
      </x:c>
      <x:c r="B319" s="16" t="str">
        <x:v>2000639551-V114</x:v>
      </x:c>
      <x:c r="C319" s="16" t="str">
        <x:v>ШНУР ШСЛ 8,5</x:v>
      </x:c>
      <x:c r="D319" s="16" t="str">
        <x:v>Э/изоляцион мат-лы</x:v>
      </x:c>
      <x:c r="E319" s="16" t="str">
        <x:v>М</x:v>
      </x:c>
      <x:c r="F319" s="26" t="n">
        <x:v>71.3</x:v>
      </x:c>
      <x:c r="G319" s="17" t="n">
        <x:v>3.8796</x:v>
      </x:c>
      <x:c r="H319" s="17" t="n">
        <x:f>G319*F319</x:f>
        <x:v>276.61548</x:v>
      </x:c>
      <x:c r="I319" s="22" t="str">
        <x:f>HYPERLINK("https://etp-aktiv.ru/catalog/materialy/ehlektroizolyacionnye-materialy/2000639551-V114/","Открыть позицию")</x:f>
        <x:v>Открыть позицию</x:v>
      </x:c>
    </x:row>
    <x:row r="320" ht="28" customHeight="1">
      <x:c r="A320" s="16" t="str">
        <x:v>Красноярская теплосеть</x:v>
      </x:c>
      <x:c r="B320" s="16" t="str">
        <x:v>2000140999-V122</x:v>
      </x:c>
      <x:c r="C320" s="16" t="str">
        <x:v>НАБИВКА АГИ 16ММ</x:v>
      </x:c>
      <x:c r="D320" s="16" t="str">
        <x:v>Асбо-технические изд</x:v>
      </x:c>
      <x:c r="E320" s="16" t="str">
        <x:v>КГ</x:v>
      </x:c>
      <x:c r="F320" s="26" t="n">
        <x:v>13.95</x:v>
      </x:c>
      <x:c r="G320" s="17" t="n">
        <x:v>230.9338</x:v>
      </x:c>
      <x:c r="H320" s="17" t="n">
        <x:f>G320*F320</x:f>
        <x:v>3221.5265099999997</x:v>
      </x:c>
      <x:c r="I320" s="22" t="str">
        <x:f>HYPERLINK("https://etp-aktiv.ru/catalog/materialy/asbo-tekhnicheskie-izdeliya/2000140999-V122/","Открыть позицию")</x:f>
        <x:v>Открыть позицию</x:v>
      </x:c>
    </x:row>
    <x:row r="321" ht="28" customHeight="1">
      <x:c r="A321" s="16" t="str">
        <x:v>Красноярская теплосеть</x:v>
      </x:c>
      <x:c r="B321" s="16" t="str">
        <x:v>2000031515-V122</x:v>
      </x:c>
      <x:c r="C321" s="16" t="str">
        <x:v>НАБИВКА АПК-31 8ММ</x:v>
      </x:c>
      <x:c r="D321" s="16" t="str">
        <x:v>Асбо-технические изд</x:v>
      </x:c>
      <x:c r="E321" s="16" t="str">
        <x:v>КГ</x:v>
      </x:c>
      <x:c r="F321" s="26" t="n">
        <x:v>20.6</x:v>
      </x:c>
      <x:c r="G321" s="17" t="n">
        <x:v>149.68179999999998</x:v>
      </x:c>
      <x:c r="H321" s="17" t="n">
        <x:f>G321*F321</x:f>
        <x:v>3083.44508</x:v>
      </x:c>
      <x:c r="I321" s="22" t="str">
        <x:f>HYPERLINK("https://etp-aktiv.ru/catalog/materialy/asbo-tekhnicheskie-izdeliya/2000031515-V122/","Открыть позицию")</x:f>
        <x:v>Открыть позицию</x:v>
      </x:c>
    </x:row>
    <x:row r="322" ht="28" customHeight="1">
      <x:c r="A322" s="16" t="str">
        <x:v>Красноярская теплосеть</x:v>
      </x:c>
      <x:c r="B322" s="16" t="str">
        <x:v>2000220110-V122</x:v>
      </x:c>
      <x:c r="C322" s="16" t="str">
        <x:v>НАБИВКА АПР-31 14*14 СК/ПЛЕТ ГОСТ5152-84</x:v>
      </x:c>
      <x:c r="D322" s="16" t="str">
        <x:v>Асбо-технические изд</x:v>
      </x:c>
      <x:c r="E322" s="16" t="str">
        <x:v>КГ</x:v>
      </x:c>
      <x:c r="F322" s="21" t="n">
        <x:v>42</x:v>
      </x:c>
      <x:c r="G322" s="17" t="n">
        <x:v>75.8352</x:v>
      </x:c>
      <x:c r="H322" s="17" t="n">
        <x:f>G322*F322</x:f>
        <x:v>3185.0784</x:v>
      </x:c>
      <x:c r="I322" s="22" t="str">
        <x:f>HYPERLINK("https://etp-aktiv.ru/catalog/materialy/asbo-tekhnicheskie-izdeliya/2000220110-V122/","Открыть позицию")</x:f>
        <x:v>Открыть позицию</x:v>
      </x:c>
    </x:row>
    <x:row r="323" ht="28" customHeight="1">
      <x:c r="A323" s="16" t="str">
        <x:v>Минусинская ТЭЦ</x:v>
      </x:c>
      <x:c r="B323" s="16" t="str">
        <x:v>2000538910-V112</x:v>
      </x:c>
      <x:c r="C323" s="16" t="str">
        <x:v>АСБЕСТ ХРИЗОТИЛОВЫЙ А-6-45 ГОСТ12871-13</x:v>
      </x:c>
      <x:c r="D323" s="16" t="str">
        <x:v>Асбо-технические изд</x:v>
      </x:c>
      <x:c r="E323" s="16" t="str">
        <x:v>КГ</x:v>
      </x:c>
      <x:c r="F323" s="21" t="n">
        <x:v>350</x:v>
      </x:c>
      <x:c r="G323" s="17" t="n">
        <x:v>24.7782</x:v>
      </x:c>
      <x:c r="H323" s="17" t="n">
        <x:f>G323*F323</x:f>
        <x:v>8672.369999999999</x:v>
      </x:c>
      <x:c r="I323" s="22" t="str">
        <x:f>HYPERLINK("https://etp-aktiv.ru/catalog/materialy/asbo-tekhnicheskie-izdeliya/2000538910-V112/","Открыть позицию")</x:f>
        <x:v>Открыть позицию</x:v>
      </x:c>
    </x:row>
    <x:row r="324" ht="28" customHeight="1">
      <x:c r="A324" s="16" t="str">
        <x:v>Минусинская ТЭЦ</x:v>
      </x:c>
      <x:c r="B324" s="16" t="str">
        <x:v>2000548512-V112</x:v>
      </x:c>
      <x:c r="C324" s="16" t="str">
        <x:v>ИЗОЛЕНТА ТАФТЯНАЯ ЛЭ 15-16 ГОСТ4514-78</x:v>
      </x:c>
      <x:c r="D324" s="16" t="str">
        <x:v>Э/изоляцион мат-лы</x:v>
      </x:c>
      <x:c r="E324" s="16" t="str">
        <x:v>М</x:v>
      </x:c>
      <x:c r="F324" s="21" t="n">
        <x:v>90</x:v>
      </x:c>
      <x:c r="G324" s="17" t="n">
        <x:v>5.2581999999999995</x:v>
      </x:c>
      <x:c r="H324" s="17" t="n">
        <x:f>G324*F324</x:f>
        <x:v>473.23799999999994</x:v>
      </x:c>
      <x:c r="I324" s="22" t="str">
        <x:f>HYPERLINK("https://etp-aktiv.ru/catalog/materialy/ehlektroizolyacionnye-materialy/2000548512-V112/","Открыть позицию")</x:f>
        <x:v>Открыть позицию</x:v>
      </x:c>
    </x:row>
    <x:row r="325" ht="28" customHeight="1">
      <x:c r="A325" s="16" t="str">
        <x:v>Минусинская ТЭЦ</x:v>
      </x:c>
      <x:c r="B325" s="16" t="str">
        <x:v>2000539032-V112</x:v>
      </x:c>
      <x:c r="C325" s="16" t="str">
        <x:v>КОЛЬЦО КГФ-Г-ПО 300*270*15</x:v>
      </x:c>
      <x:c r="D325" s="16" t="str">
        <x:v>Асбо-технические изд</x:v>
      </x:c>
      <x:c r="E325" s="16" t="str">
        <x:v>ШТ</x:v>
      </x:c>
      <x:c r="F325" s="21" t="n">
        <x:v>8</x:v>
      </x:c>
      <x:c r="G325" s="17" t="n">
        <x:v>514.6936</x:v>
      </x:c>
      <x:c r="H325" s="17" t="n">
        <x:f>G325*F325</x:f>
        <x:v>4117.5488</x:v>
      </x:c>
      <x:c r="I325" s="22" t="str">
        <x:f>HYPERLINK("https://etp-aktiv.ru/catalog/materialy/asbo-tekhnicheskie-izdeliya/2000539032-V112/","Открыть позицию")</x:f>
        <x:v>Открыть позицию</x:v>
      </x:c>
    </x:row>
    <x:row r="326" ht="28" customHeight="1">
      <x:c r="A326" s="16" t="str">
        <x:v>Минусинская ТЭЦ</x:v>
      </x:c>
      <x:c r="B326" s="16" t="str">
        <x:v>2000546818-V112</x:v>
      </x:c>
      <x:c r="C326" s="16" t="str">
        <x:v>МАНЖЕТА 1,1-55*80-1 ГОСТ8752-79</x:v>
      </x:c>
      <x:c r="D326" s="16" t="str">
        <x:v>Проч резино-тех изд</x:v>
      </x:c>
      <x:c r="E326" s="16" t="str">
        <x:v>ШТ</x:v>
      </x:c>
      <x:c r="F326" s="21" t="n">
        <x:v>2</x:v>
      </x:c>
      <x:c r="G326" s="17" t="n">
        <x:v>19.3492</x:v>
      </x:c>
      <x:c r="H326" s="17" t="n">
        <x:f>G326*F326</x:f>
        <x:v>38.6984</x:v>
      </x:c>
      <x:c r="I326" s="22" t="str">
        <x:f>HYPERLINK("https://etp-aktiv.ru/catalog/materialy/rezino-tekhnicheskie-izdeliya/2000546818-V112/","Открыть позицию")</x:f>
        <x:v>Открыть позицию</x:v>
      </x:c>
    </x:row>
    <x:row r="327" ht="28" customHeight="1">
      <x:c r="A327" s="16" t="str">
        <x:v>Минусинская ТЭЦ</x:v>
      </x:c>
      <x:c r="B327" s="16" t="str">
        <x:v>2000001109-V112</x:v>
      </x:c>
      <x:c r="C327" s="16" t="str">
        <x:v>МАНЖЕТА 1,2 55*80-1 ГОСТ8752-79</x:v>
      </x:c>
      <x:c r="D327" s="16" t="str">
        <x:v>Проч резино-тех изд</x:v>
      </x:c>
      <x:c r="E327" s="16" t="str">
        <x:v>ШТ</x:v>
      </x:c>
      <x:c r="F327" s="21" t="n">
        <x:v>5</x:v>
      </x:c>
      <x:c r="G327" s="17" t="n">
        <x:v>19.3492</x:v>
      </x:c>
      <x:c r="H327" s="17" t="n">
        <x:f>G327*F327</x:f>
        <x:v>96.746</x:v>
      </x:c>
      <x:c r="I327" s="22" t="str">
        <x:f>HYPERLINK("https://etp-aktiv.ru/catalog/materialy/rezino-tekhnicheskie-izdeliya/2000001109-V112/","Открыть позицию")</x:f>
        <x:v>Открыть позицию</x:v>
      </x:c>
    </x:row>
    <x:row r="328" ht="28" customHeight="1">
      <x:c r="A328" s="16" t="str">
        <x:v>Минусинская ТЭЦ</x:v>
      </x:c>
      <x:c r="B328" s="16" t="str">
        <x:v>2000074290-V112</x:v>
      </x:c>
      <x:c r="C328" s="16" t="str">
        <x:v>МАНЖЕТА 3-50*30-1 ГОСТ14896-84</x:v>
      </x:c>
      <x:c r="D328" s="16" t="str">
        <x:v>Проч резино-тех изд</x:v>
      </x:c>
      <x:c r="E328" s="16" t="str">
        <x:v>ШТ</x:v>
      </x:c>
      <x:c r="F328" s="21" t="n">
        <x:v>24</x:v>
      </x:c>
      <x:c r="G328" s="17" t="n">
        <x:v>10.0772</x:v>
      </x:c>
      <x:c r="H328" s="17" t="n">
        <x:f>G328*F328</x:f>
        <x:v>241.8528</x:v>
      </x:c>
      <x:c r="I328" s="22" t="str">
        <x:f>HYPERLINK("https://etp-aktiv.ru/catalog/materialy/rezino-tekhnicheskie-izdeliya/2000074290-V112/","Открыть позицию")</x:f>
        <x:v>Открыть позицию</x:v>
      </x:c>
    </x:row>
    <x:row r="329" ht="28" customHeight="1">
      <x:c r="A329" s="16" t="str">
        <x:v>Минусинская ТЭЦ</x:v>
      </x:c>
      <x:c r="B329" s="16" t="str">
        <x:v>2000001214-V112</x:v>
      </x:c>
      <x:c r="C329" s="16" t="str">
        <x:v>МАНЖЕТА 35*58 ГОСТ6969-54</x:v>
      </x:c>
      <x:c r="D329" s="16" t="str">
        <x:v>Проч резино-тех изд</x:v>
      </x:c>
      <x:c r="E329" s="16" t="str">
        <x:v>ШТ</x:v>
      </x:c>
      <x:c r="F329" s="21" t="n">
        <x:v>2</x:v>
      </x:c>
      <x:c r="G329" s="17" t="n">
        <x:v>61.2562</x:v>
      </x:c>
      <x:c r="H329" s="17" t="n">
        <x:f>G329*F329</x:f>
        <x:v>122.5124</x:v>
      </x:c>
      <x:c r="I329" s="22" t="str">
        <x:f>HYPERLINK("https://etp-aktiv.ru/catalog/materialy/rezino-tekhnicheskie-izdeliya/2000001214-V112/","Открыть позицию")</x:f>
        <x:v>Открыть позицию</x:v>
      </x:c>
    </x:row>
    <x:row r="330" ht="28" customHeight="1">
      <x:c r="A330" s="16" t="str">
        <x:v>Минусинская ТЭЦ</x:v>
      </x:c>
      <x:c r="B330" s="16" t="str">
        <x:v>2000690477-V112</x:v>
      </x:c>
      <x:c r="C330" s="16" t="str">
        <x:v>МАНЖЕТА 50*40 ГОСТ14896-84</x:v>
      </x:c>
      <x:c r="D330" s="16" t="str">
        <x:v>Проч резино-тех изд</x:v>
      </x:c>
      <x:c r="E330" s="16" t="str">
        <x:v>ШТ</x:v>
      </x:c>
      <x:c r="F330" s="21" t="n">
        <x:v>8</x:v>
      </x:c>
      <x:c r="G330" s="17" t="n">
        <x:v>7.3688</x:v>
      </x:c>
      <x:c r="H330" s="17" t="n">
        <x:f>G330*F330</x:f>
        <x:v>58.9504</x:v>
      </x:c>
      <x:c r="I330" s="22" t="str">
        <x:f>HYPERLINK("https://etp-aktiv.ru/catalog/materialy/rezino-tekhnicheskie-izdeliya/2000690477-V112/","Открыть позицию")</x:f>
        <x:v>Открыть позицию</x:v>
      </x:c>
    </x:row>
    <x:row r="331" ht="28" customHeight="1">
      <x:c r="A331" s="16" t="str">
        <x:v>Минусинская ТЭЦ</x:v>
      </x:c>
      <x:c r="B331" s="16" t="str">
        <x:v>2000003025-V112</x:v>
      </x:c>
      <x:c r="C331" s="16" t="str">
        <x:v>МАНЖЕТА АРМИР 1,1-45*60-1 ГОСТ8752-79</x:v>
      </x:c>
      <x:c r="D331" s="16" t="str">
        <x:v>Проч резино-тех изд</x:v>
      </x:c>
      <x:c r="E331" s="16" t="str">
        <x:v>ШТ</x:v>
      </x:c>
      <x:c r="F331" s="21" t="n">
        <x:v>2</x:v>
      </x:c>
      <x:c r="G331" s="17" t="n">
        <x:v>13.7128</x:v>
      </x:c>
      <x:c r="H331" s="17" t="n">
        <x:f>G331*F331</x:f>
        <x:v>27.4256</x:v>
      </x:c>
      <x:c r="I331" s="22" t="str">
        <x:f>HYPERLINK("https://etp-aktiv.ru/catalog/materialy/rezino-tekhnicheskie-izdeliya/2000003025-V112/","Открыть позицию")</x:f>
        <x:v>Открыть позицию</x:v>
      </x:c>
    </x:row>
    <x:row r="332" ht="28" customHeight="1">
      <x:c r="A332" s="16" t="str">
        <x:v>Минусинская ТЭЦ</x:v>
      </x:c>
      <x:c r="B332" s="16" t="str">
        <x:v>2000157556-V112</x:v>
      </x:c>
      <x:c r="C332" s="16" t="str">
        <x:v>НАБИВКА АГИ 12*12ММ</x:v>
      </x:c>
      <x:c r="D332" s="16" t="str">
        <x:v>Асбо-технические изд</x:v>
      </x:c>
      <x:c r="E332" s="16" t="str">
        <x:v>КГ</x:v>
      </x:c>
      <x:c r="F332" s="21" t="n">
        <x:v>5</x:v>
      </x:c>
      <x:c r="G332" s="17" t="n">
        <x:v>419.5092</x:v>
      </x:c>
      <x:c r="H332" s="17" t="n">
        <x:f>G332*F332</x:f>
        <x:v>2097.5460000000003</x:v>
      </x:c>
      <x:c r="I332" s="22" t="str">
        <x:f>HYPERLINK("https://etp-aktiv.ru/catalog/materialy/asbo-tekhnicheskie-izdeliya/2000157556-V112/","Открыть позицию")</x:f>
        <x:v>Открыть позицию</x:v>
      </x:c>
    </x:row>
    <x:row r="333" ht="28" customHeight="1">
      <x:c r="A333" s="16" t="str">
        <x:v>Минусинская ТЭЦ</x:v>
      </x:c>
      <x:c r="B333" s="16" t="str">
        <x:v>2000157558-V112</x:v>
      </x:c>
      <x:c r="C333" s="16" t="str">
        <x:v>НАБИВКА АГИ 14*14ММ</x:v>
      </x:c>
      <x:c r="D333" s="16" t="str">
        <x:v>Асбо-технические изд</x:v>
      </x:c>
      <x:c r="E333" s="16" t="str">
        <x:v>КГ</x:v>
      </x:c>
      <x:c r="F333" s="21" t="n">
        <x:v>10</x:v>
      </x:c>
      <x:c r="G333" s="17" t="n">
        <x:v>289.6768</x:v>
      </x:c>
      <x:c r="H333" s="17" t="n">
        <x:f>G333*F333</x:f>
        <x:v>2896.768</x:v>
      </x:c>
      <x:c r="I333" s="22" t="str">
        <x:f>HYPERLINK("https://etp-aktiv.ru/catalog/materialy/asbo-tekhnicheskie-izdeliya/2000157558-V112/","Открыть позицию")</x:f>
        <x:v>Открыть позицию</x:v>
      </x:c>
    </x:row>
    <x:row r="334" ht="28" customHeight="1">
      <x:c r="A334" s="16" t="str">
        <x:v>Минусинская ТЭЦ</x:v>
      </x:c>
      <x:c r="B334" s="16" t="str">
        <x:v>2000140999-V112</x:v>
      </x:c>
      <x:c r="C334" s="16" t="str">
        <x:v>НАБИВКА АГИ 16ММ</x:v>
      </x:c>
      <x:c r="D334" s="16" t="str">
        <x:v>Асбо-технические изд</x:v>
      </x:c>
      <x:c r="E334" s="16" t="str">
        <x:v>КГ</x:v>
      </x:c>
      <x:c r="F334" s="26" t="n">
        <x:v>26.25</x:v>
      </x:c>
      <x:c r="G334" s="17" t="n">
        <x:v>292.6536</x:v>
      </x:c>
      <x:c r="H334" s="17" t="n">
        <x:f>G334*F334</x:f>
        <x:v>7682.156999999999</x:v>
      </x:c>
      <x:c r="I334" s="22" t="str">
        <x:f>HYPERLINK("https://etp-aktiv.ru/catalog/materialy/asbo-tekhnicheskie-izdeliya/2000140999-V112/","Открыть позицию")</x:f>
        <x:v>Открыть позицию</x:v>
      </x:c>
    </x:row>
    <x:row r="335" ht="28" customHeight="1">
      <x:c r="A335" s="16" t="str">
        <x:v>Минусинская ТЭЦ</x:v>
      </x:c>
      <x:c r="B335" s="16" t="str">
        <x:v>2000165226-V112</x:v>
      </x:c>
      <x:c r="C335" s="16" t="str">
        <x:v>НАБИВКА АГИ 18*18ММ</x:v>
      </x:c>
      <x:c r="D335" s="16" t="str">
        <x:v>Асбо-технические изд</x:v>
      </x:c>
      <x:c r="E335" s="16" t="str">
        <x:v>КГ</x:v>
      </x:c>
      <x:c r="F335" s="26" t="n">
        <x:v>27.3</x:v>
      </x:c>
      <x:c r="G335" s="17" t="n">
        <x:v>270.24219999999997</x:v>
      </x:c>
      <x:c r="H335" s="17" t="n">
        <x:f>G335*F335</x:f>
        <x:v>7377.6120599999995</x:v>
      </x:c>
      <x:c r="I335" s="22" t="str">
        <x:f>HYPERLINK("https://etp-aktiv.ru/catalog/materialy/asbo-tekhnicheskie-izdeliya/2000165226-V112/","Открыть позицию")</x:f>
        <x:v>Открыть позицию</x:v>
      </x:c>
    </x:row>
    <x:row r="336" ht="28" customHeight="1">
      <x:c r="A336" s="16" t="str">
        <x:v>Минусинская ТЭЦ</x:v>
      </x:c>
      <x:c r="B336" s="16" t="str">
        <x:v>2000321433-V112</x:v>
      </x:c>
      <x:c r="C336" s="16" t="str">
        <x:v>НАБИВКА АГИ 4*4ММ</x:v>
      </x:c>
      <x:c r="D336" s="16" t="str">
        <x:v>Асбо-технические изд</x:v>
      </x:c>
      <x:c r="E336" s="16" t="str">
        <x:v>КГ</x:v>
      </x:c>
      <x:c r="F336" s="26" t="n">
        <x:v>14.7</x:v>
      </x:c>
      <x:c r="G336" s="17" t="n">
        <x:v>586.2954</x:v>
      </x:c>
      <x:c r="H336" s="17" t="n">
        <x:f>G336*F336</x:f>
        <x:v>8618.542379999999</x:v>
      </x:c>
      <x:c r="I336" s="22" t="str">
        <x:f>HYPERLINK("https://etp-aktiv.ru/catalog/materialy/asbo-tekhnicheskie-izdeliya/2000321433-V112/","Открыть позицию")</x:f>
        <x:v>Открыть позицию</x:v>
      </x:c>
    </x:row>
    <x:row r="337" ht="28" customHeight="1">
      <x:c r="A337" s="16" t="str">
        <x:v>Минусинская ТЭЦ</x:v>
      </x:c>
      <x:c r="B337" s="16" t="str">
        <x:v>2000157605-V112</x:v>
      </x:c>
      <x:c r="C337" s="16" t="str">
        <x:v>НАБИВКА АГИ 8*8ММ</x:v>
      </x:c>
      <x:c r="D337" s="16" t="str">
        <x:v>Асбо-технические изд</x:v>
      </x:c>
      <x:c r="E337" s="16" t="str">
        <x:v>КГ</x:v>
      </x:c>
      <x:c r="F337" s="26" t="n">
        <x:v>28.75</x:v>
      </x:c>
      <x:c r="G337" s="17" t="n">
        <x:v>407.73619999999994</x:v>
      </x:c>
      <x:c r="H337" s="17" t="n">
        <x:f>G337*F337</x:f>
        <x:v>11722.415749999998</x:v>
      </x:c>
      <x:c r="I337" s="22" t="str">
        <x:f>HYPERLINK("https://etp-aktiv.ru/catalog/materialy/asbo-tekhnicheskie-izdeliya/2000157605-V112/","Открыть позицию")</x:f>
        <x:v>Открыть позицию</x:v>
      </x:c>
    </x:row>
    <x:row r="338" ht="28" customHeight="1">
      <x:c r="A338" s="16" t="str">
        <x:v>Минусинская ТЭЦ</x:v>
      </x:c>
      <x:c r="B338" s="16" t="str">
        <x:v>2000157671-V112</x:v>
      </x:c>
      <x:c r="C338" s="16" t="str">
        <x:v>НАБИВКА АП-31 10*10ММ</x:v>
      </x:c>
      <x:c r="D338" s="16" t="str">
        <x:v>Асбо-технические изд</x:v>
      </x:c>
      <x:c r="E338" s="16" t="str">
        <x:v>КГ</x:v>
      </x:c>
      <x:c r="F338" s="21" t="n">
        <x:v>5</x:v>
      </x:c>
      <x:c r="G338" s="17" t="n">
        <x:v>149.8404</x:v>
      </x:c>
      <x:c r="H338" s="17" t="n">
        <x:f>G338*F338</x:f>
        <x:v>749.202</x:v>
      </x:c>
      <x:c r="I338" s="22" t="str">
        <x:f>HYPERLINK("https://etp-aktiv.ru/catalog/materialy/asbo-tekhnicheskie-izdeliya/2000157671-V112/","Открыть позицию")</x:f>
        <x:v>Открыть позицию</x:v>
      </x:c>
    </x:row>
    <x:row r="339" ht="28" customHeight="1">
      <x:c r="A339" s="16" t="str">
        <x:v>Минусинская ТЭЦ</x:v>
      </x:c>
      <x:c r="B339" s="16" t="str">
        <x:v>2000190182-V112</x:v>
      </x:c>
      <x:c r="C339" s="16" t="str">
        <x:v>НАБИВКА АП-31 13ММ</x:v>
      </x:c>
      <x:c r="D339" s="16" t="str">
        <x:v>Асбо-технические изд</x:v>
      </x:c>
      <x:c r="E339" s="16" t="str">
        <x:v>КГ</x:v>
      </x:c>
      <x:c r="F339" s="26" t="n">
        <x:v>45.8</x:v>
      </x:c>
      <x:c r="G339" s="17" t="n">
        <x:v>181.414</x:v>
      </x:c>
      <x:c r="H339" s="17" t="n">
        <x:f>G339*F339</x:f>
        <x:v>8308.761199999999</x:v>
      </x:c>
      <x:c r="I339" s="22" t="str">
        <x:f>HYPERLINK("https://etp-aktiv.ru/catalog/materialy/asbo-tekhnicheskie-izdeliya/2000190182-V112/","Открыть позицию")</x:f>
        <x:v>Открыть позицию</x:v>
      </x:c>
    </x:row>
    <x:row r="340" ht="28" customHeight="1">
      <x:c r="A340" s="16" t="str">
        <x:v>Минусинская ТЭЦ</x:v>
      </x:c>
      <x:c r="B340" s="16" t="str">
        <x:v>2000157676-V112</x:v>
      </x:c>
      <x:c r="C340" s="16" t="str">
        <x:v>НАБИВКА АП-31 16*16ММ</x:v>
      </x:c>
      <x:c r="D340" s="16" t="str">
        <x:v>Асбо-технические изд</x:v>
      </x:c>
      <x:c r="E340" s="16" t="str">
        <x:v>КГ</x:v>
      </x:c>
      <x:c r="F340" s="26" t="n">
        <x:v>14.6</x:v>
      </x:c>
      <x:c r="G340" s="17" t="n">
        <x:v>159.6248</x:v>
      </x:c>
      <x:c r="H340" s="17" t="n">
        <x:f>G340*F340</x:f>
        <x:v>2330.5220799999997</x:v>
      </x:c>
      <x:c r="I340" s="22" t="str">
        <x:f>HYPERLINK("https://etp-aktiv.ru/catalog/materialy/asbo-tekhnicheskie-izdeliya/2000157676-V112/","Открыть позицию")</x:f>
        <x:v>Открыть позицию</x:v>
      </x:c>
    </x:row>
    <x:row r="341" ht="28" customHeight="1">
      <x:c r="A341" s="16" t="str">
        <x:v>Минусинская ТЭЦ</x:v>
      </x:c>
      <x:c r="B341" s="16" t="str">
        <x:v>2000157678-V112</x:v>
      </x:c>
      <x:c r="C341" s="16" t="str">
        <x:v>НАБИВКА АП-31 18*18ММ</x:v>
      </x:c>
      <x:c r="D341" s="16" t="str">
        <x:v>Асбо-технические изд</x:v>
      </x:c>
      <x:c r="E341" s="16" t="str">
        <x:v>КГ</x:v>
      </x:c>
      <x:c r="F341" s="26" t="n">
        <x:v>10.5</x:v>
      </x:c>
      <x:c r="G341" s="17" t="n">
        <x:v>211.6334</x:v>
      </x:c>
      <x:c r="H341" s="17" t="n">
        <x:f>G341*F341</x:f>
        <x:v>2222.1507</x:v>
      </x:c>
      <x:c r="I341" s="22" t="str">
        <x:f>HYPERLINK("https://etp-aktiv.ru/catalog/materialy/asbo-tekhnicheskie-izdeliya/2000157678-V112/","Открыть позицию")</x:f>
        <x:v>Открыть позицию</x:v>
      </x:c>
    </x:row>
    <x:row r="342" ht="28" customHeight="1">
      <x:c r="A342" s="16" t="str">
        <x:v>Минусинская ТЭЦ</x:v>
      </x:c>
      <x:c r="B342" s="16" t="str">
        <x:v>2000085272-V112</x:v>
      </x:c>
      <x:c r="C342" s="16" t="str">
        <x:v>НАБИВКА АПР-31 10ММ</x:v>
      </x:c>
      <x:c r="D342" s="16" t="str">
        <x:v>Асбо-технические изд</x:v>
      </x:c>
      <x:c r="E342" s="16" t="str">
        <x:v>КГ</x:v>
      </x:c>
      <x:c r="F342" s="21" t="n">
        <x:v>6</x:v>
      </x:c>
      <x:c r="G342" s="17" t="n">
        <x:v>151.3532</x:v>
      </x:c>
      <x:c r="H342" s="17" t="n">
        <x:f>G342*F342</x:f>
        <x:v>908.1191999999999</x:v>
      </x:c>
      <x:c r="I342" s="22" t="str">
        <x:f>HYPERLINK("https://etp-aktiv.ru/catalog/materialy/asbo-tekhnicheskie-izdeliya/2000085272-V112/","Открыть позицию")</x:f>
        <x:v>Открыть позицию</x:v>
      </x:c>
    </x:row>
    <x:row r="343" ht="28" customHeight="1">
      <x:c r="A343" s="16" t="str">
        <x:v>Минусинская ТЭЦ</x:v>
      </x:c>
      <x:c r="B343" s="16" t="str">
        <x:v>2000165095-V112</x:v>
      </x:c>
      <x:c r="C343" s="16" t="str">
        <x:v>НАБИВКА АПР-31 6*6ММ</x:v>
      </x:c>
      <x:c r="D343" s="16" t="str">
        <x:v>Асбо-технические изд</x:v>
      </x:c>
      <x:c r="E343" s="16" t="str">
        <x:v>КГ</x:v>
      </x:c>
      <x:c r="F343" s="21" t="n">
        <x:v>2</x:v>
      </x:c>
      <x:c r="G343" s="17" t="n">
        <x:v>160.5154</x:v>
      </x:c>
      <x:c r="H343" s="17" t="n">
        <x:f>G343*F343</x:f>
        <x:v>321.0308</x:v>
      </x:c>
      <x:c r="I343" s="22" t="str">
        <x:f>HYPERLINK("https://etp-aktiv.ru/catalog/materialy/asbo-tekhnicheskie-izdeliya/2000165095-V112/","Открыть позицию")</x:f>
        <x:v>Открыть позицию</x:v>
      </x:c>
    </x:row>
    <x:row r="344" ht="28" customHeight="1">
      <x:c r="A344" s="16" t="str">
        <x:v>Минусинская ТЭЦ</x:v>
      </x:c>
      <x:c r="B344" s="16" t="str">
        <x:v>2000539247-V112</x:v>
      </x:c>
      <x:c r="C344" s="16" t="str">
        <x:v>НАБИВКА НГ-300/Н-1200/НГФ-С 6*6</x:v>
      </x:c>
      <x:c r="D344" s="16" t="str">
        <x:v>Асбо-технические изд</x:v>
      </x:c>
      <x:c r="E344" s="16" t="str">
        <x:v>КГ</x:v>
      </x:c>
      <x:c r="F344" s="26" t="n">
        <x:v>2.1</x:v>
      </x:c>
      <x:c r="G344" s="17" t="n">
        <x:v>472.4938</x:v>
      </x:c>
      <x:c r="H344" s="17" t="n">
        <x:f>G344*F344</x:f>
        <x:v>992.2369800000001</x:v>
      </x:c>
      <x:c r="I344" s="22" t="str">
        <x:f>HYPERLINK("https://etp-aktiv.ru/catalog/materialy/asbo-tekhnicheskie-izdeliya/2000539247-V112/","Открыть позицию")</x:f>
        <x:v>Открыть позицию</x:v>
      </x:c>
    </x:row>
    <x:row r="345" ht="28" customHeight="1">
      <x:c r="A345" s="16" t="str">
        <x:v>Минусинская ТЭЦ</x:v>
      </x:c>
      <x:c r="B345" s="16" t="str">
        <x:v>2000539250-V112</x:v>
      </x:c>
      <x:c r="C345" s="16" t="str">
        <x:v>НАБИВКА САЛЬНИКОВАЯ АГИ 13*13</x:v>
      </x:c>
      <x:c r="D345" s="16" t="str">
        <x:v>Асбо-технические изд</x:v>
      </x:c>
      <x:c r="E345" s="16" t="str">
        <x:v>КГ</x:v>
      </x:c>
      <x:c r="F345" s="26" t="n">
        <x:v>41.5</x:v>
      </x:c>
      <x:c r="G345" s="17" t="n">
        <x:v>260.3846</x:v>
      </x:c>
      <x:c r="H345" s="17" t="n">
        <x:f>G345*F345</x:f>
        <x:v>10805.960899999998</x:v>
      </x:c>
      <x:c r="I345" s="22" t="str">
        <x:f>HYPERLINK("https://etp-aktiv.ru/catalog/materialy/asbo-tekhnicheskie-izdeliya/2000539250-V112/","Открыть позицию")</x:f>
        <x:v>Открыть позицию</x:v>
      </x:c>
    </x:row>
    <x:row r="346" ht="28" customHeight="1">
      <x:c r="A346" s="16" t="str">
        <x:v>Минусинская ТЭЦ</x:v>
      </x:c>
      <x:c r="B346" s="16" t="str">
        <x:v>2000586332-V112</x:v>
      </x:c>
      <x:c r="C346" s="16" t="str">
        <x:v>НАБИВКА САЛЬНИКОВАЯ АП-31 28*28ММ</x:v>
      </x:c>
      <x:c r="D346" s="16" t="str">
        <x:v>Асбо-технические изд</x:v>
      </x:c>
      <x:c r="E346" s="16" t="str">
        <x:v>КГ</x:v>
      </x:c>
      <x:c r="F346" s="26" t="n">
        <x:v>1.7</x:v>
      </x:c>
      <x:c r="G346" s="17" t="n">
        <x:v>213.2194</x:v>
      </x:c>
      <x:c r="H346" s="17" t="n">
        <x:f>G346*F346</x:f>
        <x:v>362.47298</x:v>
      </x:c>
      <x:c r="I346" s="22" t="str">
        <x:f>HYPERLINK("https://etp-aktiv.ru/catalog/materialy/asbo-tekhnicheskie-izdeliya/2000586332-V112/","Открыть позицию")</x:f>
        <x:v>Открыть позицию</x:v>
      </x:c>
    </x:row>
    <x:row r="347" ht="28" customHeight="1">
      <x:c r="A347" s="16" t="str">
        <x:v>Минусинская ТЭЦ</x:v>
      </x:c>
      <x:c r="B347" s="16" t="str">
        <x:v>2000803513-V112</x:v>
      </x:c>
      <x:c r="C347" s="16" t="str">
        <x:v>НАБИВКА САЛЬНИКОВАЯ МС-133 14*14</x:v>
      </x:c>
      <x:c r="D347" s="16" t="str">
        <x:v>Асбо-технические изд</x:v>
      </x:c>
      <x:c r="E347" s="16" t="str">
        <x:v>КГ</x:v>
      </x:c>
      <x:c r="F347" s="26" t="n">
        <x:v>7.535</x:v>
      </x:c>
      <x:c r="G347" s="17" t="n">
        <x:v>657.6898</x:v>
      </x:c>
      <x:c r="H347" s="17" t="n">
        <x:f>G347*F347</x:f>
        <x:v>4955.692643</x:v>
      </x:c>
      <x:c r="I347" s="22" t="str">
        <x:f>HYPERLINK("https://etp-aktiv.ru/catalog/materialy/asbo-tekhnicheskie-izdeliya/2000803513-V112/","Открыть позицию")</x:f>
        <x:v>Открыть позицию</x:v>
      </x:c>
    </x:row>
    <x:row r="348" ht="28" customHeight="1">
      <x:c r="A348" s="16" t="str">
        <x:v>Минусинская ТЭЦ</x:v>
      </x:c>
      <x:c r="B348" s="16" t="str">
        <x:v>2000539168-V112</x:v>
      </x:c>
      <x:c r="C348" s="16" t="str">
        <x:v>НАБИВКА СКВОЗНОЕ ПЛЕТЕНИЕ АГИ 6*6</x:v>
      </x:c>
      <x:c r="D348" s="16" t="str">
        <x:v>Асбо-технические изд</x:v>
      </x:c>
      <x:c r="E348" s="16" t="str">
        <x:v>КГ</x:v>
      </x:c>
      <x:c r="F348" s="26" t="n">
        <x:v>3.05</x:v>
      </x:c>
      <x:c r="G348" s="17" t="n">
        <x:v>293.1538</x:v>
      </x:c>
      <x:c r="H348" s="17" t="n">
        <x:f>G348*F348</x:f>
        <x:v>894.1190899999999</x:v>
      </x:c>
      <x:c r="I348" s="22" t="str">
        <x:f>HYPERLINK("https://etp-aktiv.ru/catalog/materialy/asbo-tekhnicheskie-izdeliya/2000539168-V112/","Открыть позицию")</x:f>
        <x:v>Открыть позицию</x:v>
      </x:c>
    </x:row>
    <x:row r="349" ht="28" customHeight="1">
      <x:c r="A349" s="16" t="str">
        <x:v>Минусинская ТЭЦ</x:v>
      </x:c>
      <x:c r="B349" s="16" t="str">
        <x:v>2000539184-V112</x:v>
      </x:c>
      <x:c r="C349" s="16" t="str">
        <x:v>НАБИВКА СКВОЗНОЕ ПЛЕТЕНИЕ АП-31 6*6</x:v>
      </x:c>
      <x:c r="D349" s="16" t="str">
        <x:v>Асбо-технические изд</x:v>
      </x:c>
      <x:c r="E349" s="16" t="str">
        <x:v>КГ</x:v>
      </x:c>
      <x:c r="F349" s="26" t="n">
        <x:v>2.5</x:v>
      </x:c>
      <x:c r="G349" s="17" t="n">
        <x:v>123.30539999999999</x:v>
      </x:c>
      <x:c r="H349" s="17" t="n">
        <x:f>G349*F349</x:f>
        <x:v>308.26349999999996</x:v>
      </x:c>
      <x:c r="I349" s="22" t="str">
        <x:f>HYPERLINK("https://etp-aktiv.ru/catalog/materialy/asbo-tekhnicheskie-izdeliya/2000539184-V112/","Открыть позицию")</x:f>
        <x:v>Открыть позицию</x:v>
      </x:c>
    </x:row>
    <x:row r="350" ht="28" customHeight="1">
      <x:c r="A350" s="16" t="str">
        <x:v>Минусинская ТЭЦ</x:v>
      </x:c>
      <x:c r="B350" s="16" t="str">
        <x:v>2000539206-V112</x:v>
      </x:c>
      <x:c r="C350" s="16" t="str">
        <x:v>НАБИВКА СКВОЗНОЕ ПЛЕТЕНИЕ АС 6*6</x:v>
      </x:c>
      <x:c r="D350" s="16" t="str">
        <x:v>Асбо-технические изд</x:v>
      </x:c>
      <x:c r="E350" s="16" t="str">
        <x:v>КГ</x:v>
      </x:c>
      <x:c r="F350" s="21" t="n">
        <x:v>1</x:v>
      </x:c>
      <x:c r="G350" s="17" t="n">
        <x:v>171.288</x:v>
      </x:c>
      <x:c r="H350" s="17" t="n">
        <x:f>G350*F350</x:f>
        <x:v>171.288</x:v>
      </x:c>
      <x:c r="I350" s="22" t="str">
        <x:f>HYPERLINK("https://etp-aktiv.ru/catalog/materialy/asbo-tekhnicheskie-izdeliya/2000539206-V112/","Открыть позицию")</x:f>
        <x:v>Открыть позицию</x:v>
      </x:c>
    </x:row>
    <x:row r="351" ht="28" customHeight="1">
      <x:c r="A351" s="16" t="str">
        <x:v>Минусинская ТЭЦ</x:v>
      </x:c>
      <x:c r="B351" s="16" t="str">
        <x:v>2000539277-V112</x:v>
      </x:c>
      <x:c r="C351" s="16" t="str">
        <x:v>НАБИВКА СКВОЗНОЕ ПЛЕТЕНИЕ ХБП-31 18*18</x:v>
      </x:c>
      <x:c r="D351" s="16" t="str">
        <x:v>Асбо-технические изд</x:v>
      </x:c>
      <x:c r="E351" s="16" t="str">
        <x:v>КГ</x:v>
      </x:c>
      <x:c r="F351" s="26" t="n">
        <x:v>15.7</x:v>
      </x:c>
      <x:c r="G351" s="17" t="n">
        <x:v>214.10999999999999</x:v>
      </x:c>
      <x:c r="H351" s="17" t="n">
        <x:f>G351*F351</x:f>
        <x:v>3361.5269999999996</x:v>
      </x:c>
      <x:c r="I351" s="22" t="str">
        <x:f>HYPERLINK("https://etp-aktiv.ru/catalog/materialy/asbo-tekhnicheskie-izdeliya/2000539277-V112/","Открыть позицию")</x:f>
        <x:v>Открыть позицию</x:v>
      </x:c>
    </x:row>
    <x:row r="352" ht="28" customHeight="1">
      <x:c r="A352" s="16" t="str">
        <x:v>Минусинская ТЭЦ</x:v>
      </x:c>
      <x:c r="B352" s="16" t="str">
        <x:v>2000165595-V112</x:v>
      </x:c>
      <x:c r="C352" s="16" t="str">
        <x:v>НАБИВКА ХБП-31 16*16ММ</x:v>
      </x:c>
      <x:c r="D352" s="16" t="str">
        <x:v>Асбо-технические изд</x:v>
      </x:c>
      <x:c r="E352" s="16" t="str">
        <x:v>КГ</x:v>
      </x:c>
      <x:c r="F352" s="21" t="n">
        <x:v>7</x:v>
      </x:c>
      <x:c r="G352" s="17" t="n">
        <x:v>216.29379999999998</x:v>
      </x:c>
      <x:c r="H352" s="17" t="n">
        <x:f>G352*F352</x:f>
        <x:v>1514.0566</x:v>
      </x:c>
      <x:c r="I352" s="22" t="str">
        <x:f>HYPERLINK("https://etp-aktiv.ru/catalog/materialy/asbo-tekhnicheskie-izdeliya/2000165595-V112/","Открыть позицию")</x:f>
        <x:v>Открыть позицию</x:v>
      </x:c>
    </x:row>
    <x:row r="353" ht="28" customHeight="1">
      <x:c r="A353" s="16" t="str">
        <x:v>Минусинская ТЭЦ</x:v>
      </x:c>
      <x:c r="B353" s="16" t="str">
        <x:v>2000165580-V112</x:v>
      </x:c>
      <x:c r="C353" s="16" t="str">
        <x:v>НАБИВКА ХБП-31 28*28ММ</x:v>
      </x:c>
      <x:c r="D353" s="16" t="str">
        <x:v>Асбо-технические изд</x:v>
      </x:c>
      <x:c r="E353" s="16" t="str">
        <x:v>КГ</x:v>
      </x:c>
      <x:c r="F353" s="21" t="n">
        <x:v>20</x:v>
      </x:c>
      <x:c r="G353" s="17" t="n">
        <x:v>223.0526</x:v>
      </x:c>
      <x:c r="H353" s="17" t="n">
        <x:f>G353*F353</x:f>
        <x:v>4461.052000000001</x:v>
      </x:c>
      <x:c r="I353" s="22" t="str">
        <x:f>HYPERLINK("https://etp-aktiv.ru/catalog/materialy/asbo-tekhnicheskie-izdeliya/2000165580-V112/","Открыть позицию")</x:f>
        <x:v>Открыть позицию</x:v>
      </x:c>
    </x:row>
    <x:row r="354" ht="28" customHeight="1">
      <x:c r="A354" s="16" t="str">
        <x:v>Минусинская ТЭЦ</x:v>
      </x:c>
      <x:c r="B354" s="16" t="str">
        <x:v>2000033097-V112</x:v>
      </x:c>
      <x:c r="C354" s="16" t="str">
        <x:v>ПАРОНИТ ПМБ 4ММ</x:v>
      </x:c>
      <x:c r="D354" s="16" t="str">
        <x:v>Асбо-технические изд</x:v>
      </x:c>
      <x:c r="E354" s="16" t="str">
        <x:v>КГ</x:v>
      </x:c>
      <x:c r="F354" s="26" t="n">
        <x:v>8.12</x:v>
      </x:c>
      <x:c r="G354" s="17" t="n">
        <x:v>74.7982</x:v>
      </x:c>
      <x:c r="H354" s="17" t="n">
        <x:f>G354*F354</x:f>
        <x:v>607.3613839999999</x:v>
      </x:c>
      <x:c r="I354" s="22" t="str">
        <x:f>HYPERLINK("https://etp-aktiv.ru/catalog/materialy/asbo-tekhnicheskie-izdeliya/2000033097-V112/","Открыть позицию")</x:f>
        <x:v>Открыть позицию</x:v>
      </x:c>
    </x:row>
    <x:row r="355" ht="28" customHeight="1">
      <x:c r="A355" s="16" t="str">
        <x:v>Минусинская ТЭЦ</x:v>
      </x:c>
      <x:c r="B355" s="16" t="str">
        <x:v>2000539291-V112</x:v>
      </x:c>
      <x:c r="C355" s="16" t="str">
        <x:v>ПАРОНИТ ПОН-Б 3,0*3000*1770</x:v>
      </x:c>
      <x:c r="D355" s="16" t="str">
        <x:v>Асбо-технические изд</x:v>
      </x:c>
      <x:c r="E355" s="16" t="str">
        <x:v>КГ</x:v>
      </x:c>
      <x:c r="F355" s="21" t="n">
        <x:v>14</x:v>
      </x:c>
      <x:c r="G355" s="17" t="n">
        <x:v>78.8974</x:v>
      </x:c>
      <x:c r="H355" s="17" t="n">
        <x:f>G355*F355</x:f>
        <x:v>1104.5636</x:v>
      </x:c>
      <x:c r="I355" s="22" t="str">
        <x:f>HYPERLINK("https://etp-aktiv.ru/catalog/materialy/asbo-tekhnicheskie-izdeliya/2000539291-V112/","Открыть позицию")</x:f>
        <x:v>Открыть позицию</x:v>
      </x:c>
    </x:row>
    <x:row r="356" ht="28" customHeight="1">
      <x:c r="A356" s="16" t="str">
        <x:v>Минусинская ТЭЦ</x:v>
      </x:c>
      <x:c r="B356" s="16" t="str">
        <x:v>2000539295-V112</x:v>
      </x:c>
      <x:c r="C356" s="16" t="str">
        <x:v>ПОЛОТНО АСБЕСТОВОЕ ПНАХ-1С</x:v>
      </x:c>
      <x:c r="D356" s="16" t="str">
        <x:v>Асбо-технические изд</x:v>
      </x:c>
      <x:c r="E356" s="16" t="str">
        <x:v>М2</x:v>
      </x:c>
      <x:c r="F356" s="21" t="n">
        <x:v>11</x:v>
      </x:c>
      <x:c r="G356" s="17" t="n">
        <x:v>500.4928</x:v>
      </x:c>
      <x:c r="H356" s="17" t="n">
        <x:f>G356*F356</x:f>
        <x:v>5505.4208</x:v>
      </x:c>
      <x:c r="I356" s="22" t="str">
        <x:f>HYPERLINK("https://etp-aktiv.ru/catalog/materialy/asbo-tekhnicheskie-izdeliya/2000539295-V112/","Открыть позицию")</x:f>
        <x:v>Открыть позицию</x:v>
      </x:c>
    </x:row>
    <x:row r="357" ht="28" customHeight="1">
      <x:c r="A357" s="16" t="str">
        <x:v>Минусинская ТЭЦ</x:v>
      </x:c>
      <x:c r="B357" s="16" t="str">
        <x:v>2000300514-V112</x:v>
      </x:c>
      <x:c r="C357" s="16" t="str">
        <x:v>РЕЗИНА ЛИСТОВАЯ 40ММ ТМКЩ ГОСТ7338-90</x:v>
      </x:c>
      <x:c r="D357" s="16" t="str">
        <x:v>Проч резино-тех изд</x:v>
      </x:c>
      <x:c r="E357" s="16" t="str">
        <x:v>КГ</x:v>
      </x:c>
      <x:c r="F357" s="26" t="n">
        <x:v>52.1</x:v>
      </x:c>
      <x:c r="G357" s="17" t="n">
        <x:v>40.5406</x:v>
      </x:c>
      <x:c r="H357" s="17" t="n">
        <x:f>G357*F357</x:f>
        <x:v>2112.1652599999998</x:v>
      </x:c>
      <x:c r="I357" s="22" t="str">
        <x:f>HYPERLINK("https://etp-aktiv.ru/catalog/materialy/rezino-tekhnicheskie-izdeliya/2000300514-V112/","Открыть позицию")</x:f>
        <x:v>Открыть позицию</x:v>
      </x:c>
    </x:row>
    <x:row r="358" ht="28" customHeight="1">
      <x:c r="A358" s="16" t="str">
        <x:v>Минусинская ТЭЦ</x:v>
      </x:c>
      <x:c r="B358" s="16" t="str">
        <x:v>2000002832-V112</x:v>
      </x:c>
      <x:c r="C358" s="16" t="str">
        <x:v>РУКАВ ДЮРИТОВЫЙ D10 P7 ТУ0056016-87</x:v>
      </x:c>
      <x:c r="D358" s="16" t="str">
        <x:v>РТИ и прч спец.заказ</x:v>
      </x:c>
      <x:c r="E358" s="16" t="str">
        <x:v>ПМ</x:v>
      </x:c>
      <x:c r="F358" s="26" t="n">
        <x:v>1.45</x:v>
      </x:c>
      <x:c r="G358" s="17" t="n">
        <x:v>148.0714</x:v>
      </x:c>
      <x:c r="H358" s="17" t="n">
        <x:f>G358*F358</x:f>
        <x:v>214.70353</x:v>
      </x:c>
      <x:c r="I358" s="22" t="str">
        <x:f>HYPERLINK("https://etp-aktiv.ru/catalog/materialy/rezino-tekhnicheskie-izdeliya/2000002832-V112/","Открыть позицию")</x:f>
        <x:v>Открыть позицию</x:v>
      </x:c>
    </x:row>
    <x:row r="359" ht="28" customHeight="1">
      <x:c r="A359" s="16" t="str">
        <x:v>Минусинская ТЭЦ</x:v>
      </x:c>
      <x:c r="B359" s="16" t="str">
        <x:v>2000546971-V112</x:v>
      </x:c>
      <x:c r="C359" s="16" t="str">
        <x:v>ТЕХПЛАСТИНА 1Ф-1 ТМКЩ-С 40 ГОСТ7338-90</x:v>
      </x:c>
      <x:c r="D359" s="16" t="str">
        <x:v>Проч резино-тех изд</x:v>
      </x:c>
      <x:c r="E359" s="16" t="str">
        <x:v>КГ</x:v>
      </x:c>
      <x:c r="F359" s="26" t="n">
        <x:v>36.4</x:v>
      </x:c>
      <x:c r="G359" s="17" t="n">
        <x:v>65.026</x:v>
      </x:c>
      <x:c r="H359" s="17" t="n">
        <x:f>G359*F359</x:f>
        <x:v>2366.9464</x:v>
      </x:c>
      <x:c r="I359" s="22" t="str">
        <x:f>HYPERLINK("https://etp-aktiv.ru/catalog/materialy/rezino-tekhnicheskie-izdeliya/2000546971-V112/","Открыть позицию")</x:f>
        <x:v>Открыть позицию</x:v>
      </x:c>
    </x:row>
    <x:row r="360" ht="28" customHeight="1">
      <x:c r="A360" s="16" t="str">
        <x:v>Минусинская ТЭЦ</x:v>
      </x:c>
      <x:c r="B360" s="16" t="str">
        <x:v>2000547025-V112</x:v>
      </x:c>
      <x:c r="C360" s="16" t="str">
        <x:v>ТЕХПЛАСТИНА 6*1200*5000 УМ ГОСТ12855-77</x:v>
      </x:c>
      <x:c r="D360" s="16" t="str">
        <x:v>Проч резино-тех изд</x:v>
      </x:c>
      <x:c r="E360" s="16" t="str">
        <x:v>КГ</x:v>
      </x:c>
      <x:c r="F360" s="26" t="n">
        <x:v>4.88</x:v>
      </x:c>
      <x:c r="G360" s="17" t="n">
        <x:v>194.79739999999998</x:v>
      </x:c>
      <x:c r="H360" s="17" t="n">
        <x:f>G360*F360</x:f>
        <x:v>950.6113119999999</x:v>
      </x:c>
      <x:c r="I360" s="22" t="str">
        <x:f>HYPERLINK("https://etp-aktiv.ru/catalog/materialy/rezino-tekhnicheskie-izdeliya/2000547025-V112/","Открыть позицию")</x:f>
        <x:v>Открыть позицию</x:v>
      </x:c>
    </x:row>
    <x:row r="361" ht="28" customHeight="1">
      <x:c r="A361" s="16" t="str">
        <x:v>Минусинская ТЭЦ</x:v>
      </x:c>
      <x:c r="B361" s="16" t="str">
        <x:v>2000548737-V112</x:v>
      </x:c>
      <x:c r="C361" s="16" t="str">
        <x:v>ШНУР-ЧУЛОК ЛАВСАН ПЭ 3 8153-001-00214936</x:v>
      </x:c>
      <x:c r="D361" s="16" t="str">
        <x:v>Э/изоляцион мат-лы</x:v>
      </x:c>
      <x:c r="E361" s="16" t="str">
        <x:v>М</x:v>
      </x:c>
      <x:c r="F361" s="21" t="n">
        <x:v>223</x:v>
      </x:c>
      <x:c r="G361" s="17" t="n">
        <x:v>1.1224</x:v>
      </x:c>
      <x:c r="H361" s="17" t="n">
        <x:f>G361*F361</x:f>
        <x:v>250.29520000000002</x:v>
      </x:c>
      <x:c r="I361" s="22" t="str">
        <x:f>HYPERLINK("https://etp-aktiv.ru/catalog/materialy/ehlektroizolyacionnye-materialy/2000548737-V112/","Открыть позицию")</x:f>
        <x:v>Открыть позицию</x:v>
      </x:c>
    </x:row>
    <x:row r="362" ht="28" customHeight="1">
      <x:c r="A362" s="16" t="str">
        <x:v>Назаровская ГРЭС</x:v>
      </x:c>
      <x:c r="B362" s="16" t="str">
        <x:v>2000695894-V311</x:v>
      </x:c>
      <x:c r="C362" s="16" t="str">
        <x:v>АСБЕСТ ХРИЗОТИЛОВЫЙ А-6К-45</x:v>
      </x:c>
      <x:c r="D362" s="16" t="str">
        <x:v>Асбо-технические изд</x:v>
      </x:c>
      <x:c r="E362" s="16" t="str">
        <x:v>КГ</x:v>
      </x:c>
      <x:c r="F362" s="21" t="n">
        <x:v>50</x:v>
      </x:c>
      <x:c r="G362" s="17" t="n">
        <x:v>34.099</x:v>
      </x:c>
      <x:c r="H362" s="17" t="n">
        <x:f>G362*F362</x:f>
        <x:v>1704.9499999999998</x:v>
      </x:c>
      <x:c r="I362" s="22" t="str">
        <x:f>HYPERLINK("https://etp-aktiv.ru/catalog/materialy/asbo-tekhnicheskie-izdeliya/2000695894-V311/","Открыть позицию")</x:f>
        <x:v>Открыть позицию</x:v>
      </x:c>
    </x:row>
    <x:row r="363" ht="28" customHeight="1">
      <x:c r="A363" s="16" t="str">
        <x:v>Назаровская ГРЭС</x:v>
      </x:c>
      <x:c r="B363" s="16" t="str">
        <x:v>2000538916-V311</x:v>
      </x:c>
      <x:c r="C363" s="16" t="str">
        <x:v>АСБОТКАНЬ АТ-3 2,5*1550</x:v>
      </x:c>
      <x:c r="D363" s="16" t="str">
        <x:v>Асбо-технические изд</x:v>
      </x:c>
      <x:c r="E363" s="16" t="str">
        <x:v>М2</x:v>
      </x:c>
      <x:c r="F363" s="26" t="n">
        <x:v>20.09</x:v>
      </x:c>
      <x:c r="G363" s="17" t="n">
        <x:v>143.8624</x:v>
      </x:c>
      <x:c r="H363" s="17" t="n">
        <x:f>G363*F363</x:f>
        <x:v>2890.195616</x:v>
      </x:c>
      <x:c r="I363" s="22" t="str">
        <x:f>HYPERLINK("https://etp-aktiv.ru/catalog/materialy/asbo-tekhnicheskie-izdeliya/2000538916-V311/","Открыть позицию")</x:f>
        <x:v>Открыть позицию</x:v>
      </x:c>
    </x:row>
    <x:row r="364" ht="28" customHeight="1">
      <x:c r="A364" s="16" t="str">
        <x:v>Назаровская ГРЭС</x:v>
      </x:c>
      <x:c r="B364" s="16" t="str">
        <x:v>2000558504-V311</x:v>
      </x:c>
      <x:c r="C364" s="16" t="str">
        <x:v>ВОЙЛОК ТЕХНИЧЕСКИЙ ТС 16ММ</x:v>
      </x:c>
      <x:c r="D364" s="16" t="str">
        <x:v>Теплоизоляция</x:v>
      </x:c>
      <x:c r="E364" s="16" t="str">
        <x:v>КГ</x:v>
      </x:c>
      <x:c r="F364" s="26" t="n">
        <x:v>12.8</x:v>
      </x:c>
      <x:c r="G364" s="17" t="n">
        <x:v>480.375</x:v>
      </x:c>
      <x:c r="H364" s="17" t="n">
        <x:f>G364*F364</x:f>
        <x:v>6148.8</x:v>
      </x:c>
      <x:c r="I364" s="22" t="str">
        <x:f>HYPERLINK("https://etp-aktiv.ru/catalog/materialy/teploizolyaciya/2000558504-V311/","Открыть позицию")</x:f>
        <x:v>Открыть позицию</x:v>
      </x:c>
    </x:row>
    <x:row r="365" ht="28" customHeight="1">
      <x:c r="A365" s="16" t="str">
        <x:v>Назаровская ГРЭС</x:v>
      </x:c>
      <x:c r="B365" s="16" t="str">
        <x:v>2000022575-V311</x:v>
      </x:c>
      <x:c r="C365" s="16" t="str">
        <x:v>ГЕТИНАКС ПР-50 10ММ</x:v>
      </x:c>
      <x:c r="D365" s="16" t="str">
        <x:v>Э/изоляцион мат-лы</x:v>
      </x:c>
      <x:c r="E365" s="16" t="str">
        <x:v>КГ</x:v>
      </x:c>
      <x:c r="F365" s="26" t="n">
        <x:v>15.8</x:v>
      </x:c>
      <x:c r="G365" s="17" t="n">
        <x:v>266.42359999999996</x:v>
      </x:c>
      <x:c r="H365" s="17" t="n">
        <x:f>G365*F365</x:f>
        <x:v>4209.49288</x:v>
      </x:c>
      <x:c r="I365" s="22" t="str">
        <x:f>HYPERLINK("https://etp-aktiv.ru/catalog/materialy/ehlektroizolyacionnye-materialy/2000022575-V311/","Открыть позицию")</x:f>
        <x:v>Открыть позицию</x:v>
      </x:c>
    </x:row>
    <x:row r="366" ht="28" customHeight="1">
      <x:c r="A366" s="16" t="str">
        <x:v>Назаровская ГРЭС</x:v>
      </x:c>
      <x:c r="B366" s="16" t="str">
        <x:v>2000022789-V311</x:v>
      </x:c>
      <x:c r="C366" s="16" t="str">
        <x:v>ГЛИНА ОГНЕУПОРНАЯ ПГОСБ ТУ14-204-22-97</x:v>
      </x:c>
      <x:c r="D366" s="16" t="str">
        <x:v>Огнеупорные мат-лы</x:v>
      </x:c>
      <x:c r="E366" s="16" t="str">
        <x:v>Т</x:v>
      </x:c>
      <x:c r="F366" s="30" t="n">
        <x:v>0.003</x:v>
      </x:c>
      <x:c r="G366" s="17" t="n">
        <x:v>13489.405799999999</x:v>
      </x:c>
      <x:c r="H366" s="17" t="n">
        <x:f>G366*F366</x:f>
        <x:v>40.46821739999999</x:v>
      </x:c>
      <x:c r="I366" s="22" t="str">
        <x:f>HYPERLINK("https://etp-aktiv.ru/catalog/materialy/ogneupornye-materialy/2000022789-V311/","Открыть позицию")</x:f>
        <x:v>Открыть позицию</x:v>
      </x:c>
    </x:row>
    <x:row r="367" ht="28" customHeight="1">
      <x:c r="A367" s="16" t="str">
        <x:v>Назаровская ГРЭС</x:v>
      </x:c>
      <x:c r="B367" s="16" t="str">
        <x:v>2000915997-V311</x:v>
      </x:c>
      <x:c r="C367" s="16" t="str">
        <x:v>ЗАМОК С2.400-4 В2 Л50</x:v>
      </x:c>
      <x:c r="D367" s="16" t="str">
        <x:v>Теплоизоляция</x:v>
      </x:c>
      <x:c r="E367" s="16" t="str">
        <x:v>ШТ</x:v>
      </x:c>
      <x:c r="F367" s="21" t="n">
        <x:v>69</x:v>
      </x:c>
      <x:c r="G367" s="17" t="n">
        <x:v>41.175</x:v>
      </x:c>
      <x:c r="H367" s="17" t="n">
        <x:f>G367*F367</x:f>
        <x:v>2841.075</x:v>
      </x:c>
      <x:c r="I367" s="22" t="str">
        <x:f>HYPERLINK("https://etp-aktiv.ru/catalog/materialy/teploizolyaciya/2000915997-V311/","Открыть позицию")</x:f>
        <x:v>Открыть позицию</x:v>
      </x:c>
    </x:row>
    <x:row r="368" ht="28" customHeight="1">
      <x:c r="A368" s="16" t="str">
        <x:v>Назаровская ГРЭС</x:v>
      </x:c>
      <x:c r="B368" s="16" t="str">
        <x:v>2000624166-V311</x:v>
      </x:c>
      <x:c r="C368" s="16" t="str">
        <x:v>КАРТОН Б-1*1000*1000 ГОСТ4194-88</x:v>
      </x:c>
      <x:c r="D368" s="16" t="str">
        <x:v>Э/изоляцион мат-лы</x:v>
      </x:c>
      <x:c r="E368" s="16" t="str">
        <x:v>КГ</x:v>
      </x:c>
      <x:c r="F368" s="21" t="n">
        <x:v>16</x:v>
      </x:c>
      <x:c r="G368" s="17" t="n">
        <x:v>154.4032</x:v>
      </x:c>
      <x:c r="H368" s="17" t="n">
        <x:f>G368*F368</x:f>
        <x:v>2470.4512</x:v>
      </x:c>
      <x:c r="I368" s="22" t="str">
        <x:f>HYPERLINK("https://etp-aktiv.ru/catalog/materialy/ehlektroizolyacionnye-materialy/2000624166-V311/","Открыть позицию")</x:f>
        <x:v>Открыть позицию</x:v>
      </x:c>
    </x:row>
    <x:row r="369" ht="28" customHeight="1">
      <x:c r="A369" s="16" t="str">
        <x:v>Назаровская ГРЭС</x:v>
      </x:c>
      <x:c r="B369" s="16" t="str">
        <x:v>2000538922-V311</x:v>
      </x:c>
      <x:c r="C369" s="16" t="str">
        <x:v>КАРТОН КАОН-1 5*1000*1000</x:v>
      </x:c>
      <x:c r="D369" s="16" t="str">
        <x:v>Асбо-технические изд</x:v>
      </x:c>
      <x:c r="E369" s="16" t="str">
        <x:v>КГ</x:v>
      </x:c>
      <x:c r="F369" s="26" t="n">
        <x:v>82.2</x:v>
      </x:c>
      <x:c r="G369" s="17" t="n">
        <x:v>63.854800000000004</x:v>
      </x:c>
      <x:c r="H369" s="17" t="n">
        <x:f>G369*F369</x:f>
        <x:v>5248.864560000001</x:v>
      </x:c>
      <x:c r="I369" s="22" t="str">
        <x:f>HYPERLINK("https://etp-aktiv.ru/catalog/materialy/asbo-tekhnicheskie-izdeliya/2000538922-V311/","Открыть позицию")</x:f>
        <x:v>Открыть позицию</x:v>
      </x:c>
    </x:row>
    <x:row r="370" ht="28" customHeight="1">
      <x:c r="A370" s="16" t="str">
        <x:v>Назаровская ГРЭС</x:v>
      </x:c>
      <x:c r="B370" s="16" t="str">
        <x:v>2000538965-V311</x:v>
      </x:c>
      <x:c r="C370" s="16" t="str">
        <x:v>КМП КОЛЕЦ 2ШТ КП-04 180*160*20 ГФ-2</x:v>
      </x:c>
      <x:c r="D370" s="16" t="str">
        <x:v>Асбо-технические изд</x:v>
      </x:c>
      <x:c r="E370" s="16" t="str">
        <x:v>КМП</x:v>
      </x:c>
      <x:c r="F370" s="21" t="n">
        <x:v>3</x:v>
      </x:c>
      <x:c r="G370" s="17" t="n">
        <x:v>122.0122</x:v>
      </x:c>
      <x:c r="H370" s="17" t="n">
        <x:f>G370*F370</x:f>
        <x:v>366.0366</x:v>
      </x:c>
      <x:c r="I370" s="22" t="str">
        <x:f>HYPERLINK("https://etp-aktiv.ru/catalog/materialy/asbo-tekhnicheskie-izdeliya/2000538965-V311/","Открыть позицию")</x:f>
        <x:v>Открыть позицию</x:v>
      </x:c>
    </x:row>
    <x:row r="371" ht="28" customHeight="1">
      <x:c r="A371" s="16" t="str">
        <x:v>Назаровская ГРЭС</x:v>
      </x:c>
      <x:c r="B371" s="16" t="str">
        <x:v>2000538966-V311</x:v>
      </x:c>
      <x:c r="C371" s="16" t="str">
        <x:v>КМП КОЛЕЦ 2ШТ КП-04 200*150*45 ГФ-2</x:v>
      </x:c>
      <x:c r="D371" s="16" t="str">
        <x:v>Асбо-технические изд</x:v>
      </x:c>
      <x:c r="E371" s="16" t="str">
        <x:v>КМП</x:v>
      </x:c>
      <x:c r="F371" s="21" t="n">
        <x:v>31</x:v>
      </x:c>
      <x:c r="G371" s="17" t="n">
        <x:v>253.3208</x:v>
      </x:c>
      <x:c r="H371" s="17" t="n">
        <x:f>G371*F371</x:f>
        <x:v>7852.944799999999</x:v>
      </x:c>
      <x:c r="I371" s="22" t="str">
        <x:f>HYPERLINK("https://etp-aktiv.ru/catalog/materialy/asbo-tekhnicheskie-izdeliya/2000538966-V311/","Открыть позицию")</x:f>
        <x:v>Открыть позицию</x:v>
      </x:c>
    </x:row>
    <x:row r="372" ht="28" customHeight="1">
      <x:c r="A372" s="16" t="str">
        <x:v>Назаровская ГРЭС</x:v>
      </x:c>
      <x:c r="B372" s="16" t="str">
        <x:v>2000539096-V311</x:v>
      </x:c>
      <x:c r="C372" s="16" t="str">
        <x:v>КМП КОЛЕЦ КП-03 300*270*15 ГФ-2</x:v>
      </x:c>
      <x:c r="D372" s="16" t="str">
        <x:v>Асбо-технические изд</x:v>
      </x:c>
      <x:c r="E372" s="16" t="str">
        <x:v>КМП</x:v>
      </x:c>
      <x:c r="F372" s="21" t="n">
        <x:v>2</x:v>
      </x:c>
      <x:c r="G372" s="17" t="n">
        <x:v>172.996</x:v>
      </x:c>
      <x:c r="H372" s="17" t="n">
        <x:f>G372*F372</x:f>
        <x:v>345.992</x:v>
      </x:c>
      <x:c r="I372" s="22" t="str">
        <x:f>HYPERLINK("https://etp-aktiv.ru/catalog/materialy/asbo-tekhnicheskie-izdeliya/2000539096-V311/","Открыть позицию")</x:f>
        <x:v>Открыть позицию</x:v>
      </x:c>
    </x:row>
    <x:row r="373" ht="28" customHeight="1">
      <x:c r="A373" s="16" t="str">
        <x:v>Назаровская ГРЭС</x:v>
      </x:c>
      <x:c r="B373" s="16" t="str">
        <x:v>2000539100-V311</x:v>
      </x:c>
      <x:c r="C373" s="16" t="str">
        <x:v>КМП КОЛЕЦ КП-04 200*145*45 ГФ-2</x:v>
      </x:c>
      <x:c r="D373" s="16" t="str">
        <x:v>Асбо-технические изд</x:v>
      </x:c>
      <x:c r="E373" s="16" t="str">
        <x:v>КМП</x:v>
      </x:c>
      <x:c r="F373" s="21" t="n">
        <x:v>20</x:v>
      </x:c>
      <x:c r="G373" s="17" t="n">
        <x:v>264.0324</x:v>
      </x:c>
      <x:c r="H373" s="17" t="n">
        <x:f>G373*F373</x:f>
        <x:v>5280.648</x:v>
      </x:c>
      <x:c r="I373" s="22" t="str">
        <x:f>HYPERLINK("https://etp-aktiv.ru/catalog/materialy/asbo-tekhnicheskie-izdeliya/2000539100-V311/","Открыть позицию")</x:f>
        <x:v>Открыть позицию</x:v>
      </x:c>
    </x:row>
    <x:row r="374" ht="28" customHeight="1">
      <x:c r="A374" s="16" t="str">
        <x:v>Назаровская ГРЭС</x:v>
      </x:c>
      <x:c r="B374" s="16" t="str">
        <x:v>2000606259-V311</x:v>
      </x:c>
      <x:c r="C374" s="16" t="str">
        <x:v>КОЛЬЦО 00-В-Б-300*255*22,5 ГФ2</x:v>
      </x:c>
      <x:c r="D374" s="16" t="str">
        <x:v>Асбо-технические изд</x:v>
      </x:c>
      <x:c r="E374" s="16" t="str">
        <x:v>ШТ</x:v>
      </x:c>
      <x:c r="F374" s="21" t="n">
        <x:v>12</x:v>
      </x:c>
      <x:c r="G374" s="17" t="n">
        <x:v>836.5418000000001</x:v>
      </x:c>
      <x:c r="H374" s="17" t="n">
        <x:f>G374*F374</x:f>
        <x:v>10038.501600000001</x:v>
      </x:c>
      <x:c r="I374" s="22" t="str">
        <x:f>HYPERLINK("https://etp-aktiv.ru/catalog/materialy/asbo-tekhnicheskie-izdeliya/2000606259-V311/","Открыть позицию")</x:f>
        <x:v>Открыть позицию</x:v>
      </x:c>
    </x:row>
    <x:row r="375" ht="28" customHeight="1">
      <x:c r="A375" s="16" t="str">
        <x:v>Назаровская ГРЭС</x:v>
      </x:c>
      <x:c r="B375" s="16" t="str">
        <x:v>2000538951-V311</x:v>
      </x:c>
      <x:c r="C375" s="16" t="str">
        <x:v>КОЛЬЦО 02-В-Б ГФ-2 245*215*25</x:v>
      </x:c>
      <x:c r="D375" s="16" t="str">
        <x:v>Асбо-технические изд</x:v>
      </x:c>
      <x:c r="E375" s="16" t="str">
        <x:v>ШТ</x:v>
      </x:c>
      <x:c r="F375" s="21" t="n">
        <x:v>4</x:v>
      </x:c>
      <x:c r="G375" s="17" t="n">
        <x:v>1111.725</x:v>
      </x:c>
      <x:c r="H375" s="17" t="n">
        <x:f>G375*F375</x:f>
        <x:v>4446.9</x:v>
      </x:c>
      <x:c r="I375" s="22" t="str">
        <x:f>HYPERLINK("https://etp-aktiv.ru/catalog/materialy/asbo-tekhnicheskie-izdeliya/2000538951-V311/","Открыть позицию")</x:f>
        <x:v>Открыть позицию</x:v>
      </x:c>
    </x:row>
    <x:row r="376" ht="28" customHeight="1">
      <x:c r="A376" s="16" t="str">
        <x:v>Назаровская ГРЭС</x:v>
      </x:c>
      <x:c r="B376" s="16" t="str">
        <x:v>2000538953-V311</x:v>
      </x:c>
      <x:c r="C376" s="16" t="str">
        <x:v>КОЛЬЦО 02-В-Б ГФ-2 300*270*15</x:v>
      </x:c>
      <x:c r="D376" s="16" t="str">
        <x:v>Асбо-технические изд</x:v>
      </x:c>
      <x:c r="E376" s="16" t="str">
        <x:v>ШТ</x:v>
      </x:c>
      <x:c r="F376" s="21" t="n">
        <x:v>17</x:v>
      </x:c>
      <x:c r="G376" s="17" t="n">
        <x:v>616.2586</x:v>
      </x:c>
      <x:c r="H376" s="17" t="n">
        <x:f>G376*F376</x:f>
        <x:v>10476.3962</x:v>
      </x:c>
      <x:c r="I376" s="22" t="str">
        <x:f>HYPERLINK("https://etp-aktiv.ru/catalog/materialy/asbo-tekhnicheskie-izdeliya/2000538953-V311/","Открыть позицию")</x:f>
        <x:v>Открыть позицию</x:v>
      </x:c>
    </x:row>
    <x:row r="377" ht="28" customHeight="1">
      <x:c r="A377" s="16" t="str">
        <x:v>Назаровская ГРЭС</x:v>
      </x:c>
      <x:c r="B377" s="16" t="str">
        <x:v>2000538958-V311</x:v>
      </x:c>
      <x:c r="C377" s="16" t="str">
        <x:v>КОЛЬЦО 02-В-Б ГФ-2(КГФ-О К-04Ш) 62*36*10</x:v>
      </x:c>
      <x:c r="D377" s="16" t="str">
        <x:v>Асбо-технические изд</x:v>
      </x:c>
      <x:c r="E377" s="16" t="str">
        <x:v>ШТ</x:v>
      </x:c>
      <x:c r="F377" s="21" t="n">
        <x:v>10</x:v>
      </x:c>
      <x:c r="G377" s="17" t="n">
        <x:v>47.8118</x:v>
      </x:c>
      <x:c r="H377" s="17" t="n">
        <x:f>G377*F377</x:f>
        <x:v>478.118</x:v>
      </x:c>
      <x:c r="I377" s="22" t="str">
        <x:f>HYPERLINK("https://etp-aktiv.ru/catalog/materialy/asbo-tekhnicheskie-izdeliya/2000538958-V311/","Открыть позицию")</x:f>
        <x:v>Открыть позицию</x:v>
      </x:c>
    </x:row>
    <x:row r="378" ht="28" customHeight="1">
      <x:c r="A378" s="16" t="str">
        <x:v>Назаровская ГРЭС</x:v>
      </x:c>
      <x:c r="B378" s="16" t="str">
        <x:v>2000546531-V311</x:v>
      </x:c>
      <x:c r="C378" s="16" t="str">
        <x:v>КОЛЬЦО 032-040-46 2-1</x:v>
      </x:c>
      <x:c r="D378" s="16" t="str">
        <x:v>Проч резино-тех изд</x:v>
      </x:c>
      <x:c r="E378" s="16" t="str">
        <x:v>ШТ</x:v>
      </x:c>
      <x:c r="F378" s="21" t="n">
        <x:v>51</x:v>
      </x:c>
      <x:c r="G378" s="17" t="n">
        <x:v>2.1593999999999998</x:v>
      </x:c>
      <x:c r="H378" s="17" t="n">
        <x:f>G378*F378</x:f>
        <x:v>110.12939999999999</x:v>
      </x:c>
      <x:c r="I378" s="22" t="str">
        <x:f>HYPERLINK("https://etp-aktiv.ru/catalog/materialy/rezino-tekhnicheskie-izdeliya/2000546531-V311/","Открыть позицию")</x:f>
        <x:v>Открыть позицию</x:v>
      </x:c>
    </x:row>
    <x:row r="379" ht="28" customHeight="1">
      <x:c r="A379" s="16" t="str">
        <x:v>Назаровская ГРЭС</x:v>
      </x:c>
      <x:c r="B379" s="16" t="str">
        <x:v>2000546516-V311</x:v>
      </x:c>
      <x:c r="C379" s="16" t="str">
        <x:v>КОЛЬЦО 155-160-36-2-1</x:v>
      </x:c>
      <x:c r="D379" s="16" t="str">
        <x:v>Проч резино-тех изд</x:v>
      </x:c>
      <x:c r="E379" s="16" t="str">
        <x:v>ШТ</x:v>
      </x:c>
      <x:c r="F379" s="21" t="n">
        <x:v>12</x:v>
      </x:c>
      <x:c r="G379" s="17" t="n">
        <x:v>8.3326</x:v>
      </x:c>
      <x:c r="H379" s="17" t="n">
        <x:f>G379*F379</x:f>
        <x:v>99.99119999999999</x:v>
      </x:c>
      <x:c r="I379" s="22" t="str">
        <x:f>HYPERLINK("https://etp-aktiv.ru/catalog/materialy/rezino-tekhnicheskie-izdeliya/2000546516-V311/","Открыть позицию")</x:f>
        <x:v>Открыть позицию</x:v>
      </x:c>
    </x:row>
    <x:row r="380" ht="28" customHeight="1">
      <x:c r="A380" s="16" t="str">
        <x:v>Назаровская ГРЭС</x:v>
      </x:c>
      <x:c r="B380" s="16" t="str">
        <x:v>2000539013-V311</x:v>
      </x:c>
      <x:c r="C380" s="16" t="str">
        <x:v>КОЛЬЦО КГФ-Г 52*32*10</x:v>
      </x:c>
      <x:c r="D380" s="16" t="str">
        <x:v>Асбо-технические изд</x:v>
      </x:c>
      <x:c r="E380" s="16" t="str">
        <x:v>ШТ</x:v>
      </x:c>
      <x:c r="F380" s="21" t="n">
        <x:v>38</x:v>
      </x:c>
      <x:c r="G380" s="17" t="n">
        <x:v>6.7466</x:v>
      </x:c>
      <x:c r="H380" s="17" t="n">
        <x:f>G380*F380</x:f>
        <x:v>256.3708</x:v>
      </x:c>
      <x:c r="I380" s="22" t="str">
        <x:f>HYPERLINK("https://etp-aktiv.ru/catalog/materialy/asbo-tekhnicheskie-izdeliya/2000539013-V311/","Открыть позицию")</x:f>
        <x:v>Открыть позицию</x:v>
      </x:c>
    </x:row>
    <x:row r="381" ht="28" customHeight="1">
      <x:c r="A381" s="16" t="str">
        <x:v>Назаровская ГРЭС</x:v>
      </x:c>
      <x:c r="B381" s="16" t="str">
        <x:v>2000000832-V311</x:v>
      </x:c>
      <x:c r="C381" s="16" t="str">
        <x:v>КОЛЬЦО УПЛОТНИТЕЛЬНОЕ 105-115-58-2-0</x:v>
      </x:c>
      <x:c r="D381" s="16" t="str">
        <x:v>Проч резино-тех изд</x:v>
      </x:c>
      <x:c r="E381" s="16" t="str">
        <x:v>ШТ</x:v>
      </x:c>
      <x:c r="F381" s="21" t="n">
        <x:v>6</x:v>
      </x:c>
      <x:c r="G381" s="17" t="n">
        <x:v>8.54</x:v>
      </x:c>
      <x:c r="H381" s="17" t="n">
        <x:f>G381*F381</x:f>
        <x:v>51.239999999999995</x:v>
      </x:c>
      <x:c r="I381" s="22" t="str">
        <x:f>HYPERLINK("https://etp-aktiv.ru/catalog/materialy/rezino-tekhnicheskie-izdeliya/2000000832-V311/","Открыть позицию")</x:f>
        <x:v>Открыть позицию</x:v>
      </x:c>
    </x:row>
    <x:row r="382" ht="28" customHeight="1">
      <x:c r="A382" s="16" t="str">
        <x:v>Назаровская ГРЭС</x:v>
      </x:c>
      <x:c r="B382" s="16" t="str">
        <x:v>2000482286-V311</x:v>
      </x:c>
      <x:c r="C382" s="16" t="str">
        <x:v>КОМПАУНД КП-303Н В ТИП 1</x:v>
      </x:c>
      <x:c r="D382" s="16" t="str">
        <x:v>Э/изоляцион мат-лы</x:v>
      </x:c>
      <x:c r="E382" s="16" t="str">
        <x:v>КГ</x:v>
      </x:c>
      <x:c r="F382" s="21" t="n">
        <x:v>3</x:v>
      </x:c>
      <x:c r="G382" s="17" t="n">
        <x:v>566.9828</x:v>
      </x:c>
      <x:c r="H382" s="17" t="n">
        <x:f>G382*F382</x:f>
        <x:v>1700.9484</x:v>
      </x:c>
      <x:c r="I382" s="22" t="str">
        <x:f>HYPERLINK("https://etp-aktiv.ru/catalog/materialy/ehlektroizolyacionnye-materialy/2000482286-V311/","Открыть позицию")</x:f>
        <x:v>Открыть позицию</x:v>
      </x:c>
    </x:row>
    <x:row r="383" ht="28" customHeight="1">
      <x:c r="A383" s="16" t="str">
        <x:v>Назаровская ГРЭС</x:v>
      </x:c>
      <x:c r="B383" s="16" t="str">
        <x:v>2000888991-V311</x:v>
      </x:c>
      <x:c r="C383" s="16" t="str">
        <x:v>ЛЕНТА АЛЮМИН STAYER 12268-50-10 50ММ*10М</x:v>
      </x:c>
      <x:c r="D383" s="16" t="str">
        <x:v>Э/изоляцион мат-лы</x:v>
      </x:c>
      <x:c r="E383" s="16" t="str">
        <x:v>ШТ</x:v>
      </x:c>
      <x:c r="F383" s="21" t="n">
        <x:v>20</x:v>
      </x:c>
      <x:c r="G383" s="17" t="n">
        <x:v>343.125</x:v>
      </x:c>
      <x:c r="H383" s="17" t="n">
        <x:f>G383*F383</x:f>
        <x:v>6862.5</x:v>
      </x:c>
      <x:c r="I383" s="22" t="str">
        <x:f>HYPERLINK("https://etp-aktiv.ru/catalog/materialy/ehlektroizolyacionnye-materialy/2000888991-V311/","Открыть позицию")</x:f>
        <x:v>Открыть позицию</x:v>
      </x:c>
    </x:row>
    <x:row r="384" ht="28" customHeight="1">
      <x:c r="A384" s="16" t="str">
        <x:v>Назаровская ГРЭС</x:v>
      </x:c>
      <x:c r="B384" s="16" t="str">
        <x:v>2000619613-V311</x:v>
      </x:c>
      <x:c r="C384" s="16" t="str">
        <x:v>ЛЕНТА ИЗОЛЯЦ ПВХ 15*0,2 ЧР ГОСТ16214-86</x:v>
      </x:c>
      <x:c r="D384" s="16" t="str">
        <x:v>Э/изоляцион мат-лы</x:v>
      </x:c>
      <x:c r="E384" s="16" t="str">
        <x:v>КГ</x:v>
      </x:c>
      <x:c r="F384" s="30" t="n">
        <x:v>0.05</x:v>
      </x:c>
      <x:c r="G384" s="17" t="n">
        <x:v>140.2756</x:v>
      </x:c>
      <x:c r="H384" s="17" t="n">
        <x:f>G384*F384</x:f>
        <x:v>7.013780000000001</x:v>
      </x:c>
      <x:c r="I384" s="22" t="str">
        <x:f>HYPERLINK("https://etp-aktiv.ru/catalog/materialy/ehlektroizolyacionnye-materialy/2000619613-V311/","Открыть позицию")</x:f>
        <x:v>Открыть позицию</x:v>
      </x:c>
    </x:row>
    <x:row r="385" ht="28" customHeight="1">
      <x:c r="A385" s="16" t="str">
        <x:v>Назаровская ГРЭС</x:v>
      </x:c>
      <x:c r="B385" s="16" t="str">
        <x:v>2000001388-V311</x:v>
      </x:c>
      <x:c r="C385" s="16" t="str">
        <x:v>МАНЖЕТА 1,2-70*95-1 ГОСТ8752-79</x:v>
      </x:c>
      <x:c r="D385" s="16" t="str">
        <x:v>Проч резино-тех изд</x:v>
      </x:c>
      <x:c r="E385" s="16" t="str">
        <x:v>ШТ</x:v>
      </x:c>
      <x:c r="F385" s="21" t="n">
        <x:v>33</x:v>
      </x:c>
      <x:c r="G385" s="17" t="n">
        <x:v>16.7628</x:v>
      </x:c>
      <x:c r="H385" s="17" t="n">
        <x:f>G385*F385</x:f>
        <x:v>553.1723999999999</x:v>
      </x:c>
      <x:c r="I385" s="22" t="str">
        <x:f>HYPERLINK("https://etp-aktiv.ru/catalog/materialy/rezino-tekhnicheskie-izdeliya/2000001388-V311/","Открыть позицию")</x:f>
        <x:v>Открыть позицию</x:v>
      </x:c>
    </x:row>
    <x:row r="386" ht="28" customHeight="1">
      <x:c r="A386" s="16" t="str">
        <x:v>Назаровская ГРЭС</x:v>
      </x:c>
      <x:c r="B386" s="16" t="str">
        <x:v>2000003013-V311</x:v>
      </x:c>
      <x:c r="C386" s="16" t="str">
        <x:v>МАНЖЕТА 140*170 ГОСТ8752-79</x:v>
      </x:c>
      <x:c r="D386" s="16" t="str">
        <x:v>Проч резино-тех изд</x:v>
      </x:c>
      <x:c r="E386" s="16" t="str">
        <x:v>ШТ</x:v>
      </x:c>
      <x:c r="F386" s="21" t="n">
        <x:v>4</x:v>
      </x:c>
      <x:c r="G386" s="17" t="n">
        <x:v>77.3968</x:v>
      </x:c>
      <x:c r="H386" s="17" t="n">
        <x:f>G386*F386</x:f>
        <x:v>309.5872</x:v>
      </x:c>
      <x:c r="I386" s="22" t="str">
        <x:f>HYPERLINK("https://etp-aktiv.ru/catalog/materialy/rezino-tekhnicheskie-izdeliya/2000003013-V311/","Открыть позицию")</x:f>
        <x:v>Открыть позицию</x:v>
      </x:c>
    </x:row>
    <x:row r="387" ht="28" customHeight="1">
      <x:c r="A387" s="16" t="str">
        <x:v>Назаровская ГРЭС</x:v>
      </x:c>
      <x:c r="B387" s="16" t="str">
        <x:v>2000002674-V311</x:v>
      </x:c>
      <x:c r="C387" s="16" t="str">
        <x:v>МАНЖЕТА 170*200 ГОСТ8752-79</x:v>
      </x:c>
      <x:c r="D387" s="16" t="str">
        <x:v>Проч резино-тех изд</x:v>
      </x:c>
      <x:c r="E387" s="16" t="str">
        <x:v>ШТ</x:v>
      </x:c>
      <x:c r="F387" s="21" t="n">
        <x:v>6</x:v>
      </x:c>
      <x:c r="G387" s="17" t="n">
        <x:v>104.737</x:v>
      </x:c>
      <x:c r="H387" s="17" t="n">
        <x:f>G387*F387</x:f>
        <x:v>628.422</x:v>
      </x:c>
      <x:c r="I387" s="22" t="str">
        <x:f>HYPERLINK("https://etp-aktiv.ru/catalog/materialy/rezino-tekhnicheskie-izdeliya/2000002674-V311/","Открыть позицию")</x:f>
        <x:v>Открыть позицию</x:v>
      </x:c>
    </x:row>
    <x:row r="388" ht="28" customHeight="1">
      <x:c r="A388" s="16" t="str">
        <x:v>Назаровская ГРЭС</x:v>
      </x:c>
      <x:c r="B388" s="16" t="str">
        <x:v>2000548904-V311</x:v>
      </x:c>
      <x:c r="C388" s="16" t="str">
        <x:v>МАТ МТПЭ 1 100 2000*1000*50</x:v>
      </x:c>
      <x:c r="D388" s="16" t="str">
        <x:v>Теплоизоляция</x:v>
      </x:c>
      <x:c r="E388" s="16" t="str">
        <x:v>М3</x:v>
      </x:c>
      <x:c r="F388" s="26" t="n">
        <x:v>6.9</x:v>
      </x:c>
      <x:c r="G388" s="17" t="n">
        <x:v>3124.6883999999995</x:v>
      </x:c>
      <x:c r="H388" s="17" t="n">
        <x:f>G388*F388</x:f>
        <x:v>21560.34996</x:v>
      </x:c>
      <x:c r="I388" s="22" t="str">
        <x:f>HYPERLINK("https://etp-aktiv.ru/catalog/materialy/teploizolyaciya/2000548904-V311/","Открыть позицию")</x:f>
        <x:v>Открыть позицию</x:v>
      </x:c>
    </x:row>
    <x:row r="389" ht="28" customHeight="1">
      <x:c r="A389" s="16" t="str">
        <x:v>Назаровская ГРЭС</x:v>
      </x:c>
      <x:c r="B389" s="16" t="str">
        <x:v>2000888994-V311</x:v>
      </x:c>
      <x:c r="C389" s="16" t="str">
        <x:v>МАТЫ МПБ-50/СТ2/Т-13 2000*1000*40</x:v>
      </x:c>
      <x:c r="D389" s="16" t="str">
        <x:v>Теплоизоляция</x:v>
      </x:c>
      <x:c r="E389" s="16" t="str">
        <x:v>М3</x:v>
      </x:c>
      <x:c r="F389" s="30" t="n">
        <x:v>0.48</x:v>
      </x:c>
      <x:c r="G389" s="17" t="n">
        <x:v>11381.4532</x:v>
      </x:c>
      <x:c r="H389" s="17" t="n">
        <x:f>G389*F389</x:f>
        <x:v>5463.097535999999</x:v>
      </x:c>
      <x:c r="I389" s="22" t="str">
        <x:f>HYPERLINK("https://etp-aktiv.ru/catalog/materialy/teploizolyaciya/2000888994-V311/","Открыть позицию")</x:f>
        <x:v>Открыть позицию</x:v>
      </x:c>
    </x:row>
    <x:row r="390" ht="28" customHeight="1">
      <x:c r="A390" s="16" t="str">
        <x:v>Назаровская ГРЭС</x:v>
      </x:c>
      <x:c r="B390" s="16" t="str">
        <x:v>2000165500-V311</x:v>
      </x:c>
      <x:c r="C390" s="16" t="str">
        <x:v>НАБИВКА АС 13*13</x:v>
      </x:c>
      <x:c r="D390" s="16" t="str">
        <x:v>Асбо-технические изд</x:v>
      </x:c>
      <x:c r="E390" s="16" t="str">
        <x:v>КГ</x:v>
      </x:c>
      <x:c r="F390" s="21" t="n">
        <x:v>10</x:v>
      </x:c>
      <x:c r="G390" s="17" t="n">
        <x:v>242.5482</x:v>
      </x:c>
      <x:c r="H390" s="17" t="n">
        <x:f>G390*F390</x:f>
        <x:v>2425.482</x:v>
      </x:c>
      <x:c r="I390" s="22" t="str">
        <x:f>HYPERLINK("https://etp-aktiv.ru/catalog/materialy/asbo-tekhnicheskie-izdeliya/2000165500-V311/","Открыть позицию")</x:f>
        <x:v>Открыть позицию</x:v>
      </x:c>
    </x:row>
    <x:row r="391" ht="28" customHeight="1">
      <x:c r="A391" s="16" t="str">
        <x:v>Назаровская ГРЭС</x:v>
      </x:c>
      <x:c r="B391" s="16" t="str">
        <x:v>2000141009-V311</x:v>
      </x:c>
      <x:c r="C391" s="16" t="str">
        <x:v>НАБИВКА АС 13ММ</x:v>
      </x:c>
      <x:c r="D391" s="16" t="str">
        <x:v>Асбо-технические изд</x:v>
      </x:c>
      <x:c r="E391" s="16" t="str">
        <x:v>КГ</x:v>
      </x:c>
      <x:c r="F391" s="21" t="n">
        <x:v>9</x:v>
      </x:c>
      <x:c r="G391" s="17" t="n">
        <x:v>92.9152</x:v>
      </x:c>
      <x:c r="H391" s="17" t="n">
        <x:f>G391*F391</x:f>
        <x:v>836.2368</x:v>
      </x:c>
      <x:c r="I391" s="22" t="str">
        <x:f>HYPERLINK("https://etp-aktiv.ru/catalog/materialy/asbo-tekhnicheskie-izdeliya/2000141009-V311/","Открыть позицию")</x:f>
        <x:v>Открыть позицию</x:v>
      </x:c>
    </x:row>
    <x:row r="392" ht="28" customHeight="1">
      <x:c r="A392" s="16" t="str">
        <x:v>Назаровская ГРЭС</x:v>
      </x:c>
      <x:c r="B392" s="16" t="str">
        <x:v>2000031525-V311</x:v>
      </x:c>
      <x:c r="C392" s="16" t="str">
        <x:v>НАБИВКА АС 6ММ</x:v>
      </x:c>
      <x:c r="D392" s="16" t="str">
        <x:v>Асбо-технические изд</x:v>
      </x:c>
      <x:c r="E392" s="16" t="str">
        <x:v>КГ</x:v>
      </x:c>
      <x:c r="F392" s="21" t="n">
        <x:v>22</x:v>
      </x:c>
      <x:c r="G392" s="17" t="n">
        <x:v>242.5482</x:v>
      </x:c>
      <x:c r="H392" s="17" t="n">
        <x:f>G392*F392</x:f>
        <x:v>5336.0604</x:v>
      </x:c>
      <x:c r="I392" s="22" t="str">
        <x:f>HYPERLINK("https://etp-aktiv.ru/catalog/materialy/asbo-tekhnicheskie-izdeliya/2000031525-V311/","Открыть позицию")</x:f>
        <x:v>Открыть позицию</x:v>
      </x:c>
    </x:row>
    <x:row r="393" ht="28" customHeight="1">
      <x:c r="A393" s="16" t="str">
        <x:v>Назаровская ГРЭС</x:v>
      </x:c>
      <x:c r="B393" s="16" t="str">
        <x:v>2000586332-V311</x:v>
      </x:c>
      <x:c r="C393" s="16" t="str">
        <x:v>НАБИВКА САЛЬНИКОВАЯ АП-31 28*28ММ</x:v>
      </x:c>
      <x:c r="D393" s="16" t="str">
        <x:v>Асбо-технические изд</x:v>
      </x:c>
      <x:c r="E393" s="16" t="str">
        <x:v>КГ</x:v>
      </x:c>
      <x:c r="F393" s="26" t="n">
        <x:v>6.9</x:v>
      </x:c>
      <x:c r="G393" s="17" t="n">
        <x:v>161.61339999999998</x:v>
      </x:c>
      <x:c r="H393" s="17" t="n">
        <x:f>G393*F393</x:f>
        <x:v>1115.13246</x:v>
      </x:c>
      <x:c r="I393" s="22" t="str">
        <x:f>HYPERLINK("https://etp-aktiv.ru/catalog/materialy/asbo-tekhnicheskie-izdeliya/2000586332-V311/","Открыть позицию")</x:f>
        <x:v>Открыть позицию</x:v>
      </x:c>
    </x:row>
    <x:row r="394" ht="28" customHeight="1">
      <x:c r="A394" s="16" t="str">
        <x:v>Назаровская ГРЭС</x:v>
      </x:c>
      <x:c r="B394" s="16" t="str">
        <x:v>2000165726-V311</x:v>
      </x:c>
      <x:c r="C394" s="16" t="str">
        <x:v>НАБИВКА ХБП-31 13*13ММ</x:v>
      </x:c>
      <x:c r="D394" s="16" t="str">
        <x:v>Асбо-технические изд</x:v>
      </x:c>
      <x:c r="E394" s="16" t="str">
        <x:v>КГ</x:v>
      </x:c>
      <x:c r="F394" s="26" t="n">
        <x:v>7.8</x:v>
      </x:c>
      <x:c r="G394" s="17" t="n">
        <x:v>178.02239999999998</x:v>
      </x:c>
      <x:c r="H394" s="17" t="n">
        <x:f>G394*F394</x:f>
        <x:v>1388.5747199999998</x:v>
      </x:c>
      <x:c r="I394" s="22" t="str">
        <x:f>HYPERLINK("https://etp-aktiv.ru/catalog/materialy/asbo-tekhnicheskie-izdeliya/2000165726-V311/","Открыть позицию")</x:f>
        <x:v>Открыть позицию</x:v>
      </x:c>
    </x:row>
    <x:row r="395" ht="28" customHeight="1">
      <x:c r="A395" s="16" t="str">
        <x:v>Назаровская ГРЭС</x:v>
      </x:c>
      <x:c r="B395" s="16" t="str">
        <x:v>2000141924-V311</x:v>
      </x:c>
      <x:c r="C395" s="16" t="str">
        <x:v>НАБИВКА ХБП-31 25ММ</x:v>
      </x:c>
      <x:c r="D395" s="16" t="str">
        <x:v>Проч резино-тех изд</x:v>
      </x:c>
      <x:c r="E395" s="16" t="str">
        <x:v>КГ</x:v>
      </x:c>
      <x:c r="F395" s="26" t="n">
        <x:v>8.68</x:v>
      </x:c>
      <x:c r="G395" s="17" t="n">
        <x:v>297.69219999999996</x:v>
      </x:c>
      <x:c r="H395" s="17" t="n">
        <x:f>G395*F395</x:f>
        <x:v>2583.9682959999996</x:v>
      </x:c>
      <x:c r="I395" s="22" t="str">
        <x:f>HYPERLINK("https://etp-aktiv.ru/catalog/materialy/rezino-tekhnicheskie-izdeliya/2000141924-V311/","Открыть позицию")</x:f>
        <x:v>Открыть позицию</x:v>
      </x:c>
    </x:row>
    <x:row r="396" ht="28" customHeight="1">
      <x:c r="A396" s="16" t="str">
        <x:v>Назаровская ГРЭС</x:v>
      </x:c>
      <x:c r="B396" s="16" t="str">
        <x:v>2000141922-V311</x:v>
      </x:c>
      <x:c r="C396" s="16" t="str">
        <x:v>Набивка НГ-100 22*22</x:v>
      </x:c>
      <x:c r="D396" s="16" t="str">
        <x:v>Проч резино-тех изд</x:v>
      </x:c>
      <x:c r="E396" s="16" t="str">
        <x:v>КГ</x:v>
      </x:c>
      <x:c r="F396" s="21" t="n">
        <x:v>35</x:v>
      </x:c>
      <x:c r="G396" s="17" t="n">
        <x:v>258.64</x:v>
      </x:c>
      <x:c r="H396" s="17" t="n">
        <x:f>G396*F396</x:f>
        <x:v>9052.4</x:v>
      </x:c>
      <x:c r="I396" s="22" t="str">
        <x:f>HYPERLINK("https://etp-aktiv.ru/catalog/materialy/rezino-tekhnicheskie-izdeliya/2000141922-V311/","Открыть позицию")</x:f>
        <x:v>Открыть позицию</x:v>
      </x:c>
    </x:row>
    <x:row r="397" ht="28" customHeight="1">
      <x:c r="A397" s="16" t="str">
        <x:v>Назаровская ГРЭС</x:v>
      </x:c>
      <x:c r="B397" s="16" t="str">
        <x:v>2000085278-V311</x:v>
      </x:c>
      <x:c r="C397" s="16" t="str">
        <x:v>ПАРОНИТ ПОН-Б 6ММ</x:v>
      </x:c>
      <x:c r="D397" s="16" t="str">
        <x:v>Асбо-технические изд</x:v>
      </x:c>
      <x:c r="E397" s="16" t="str">
        <x:v>КГ</x:v>
      </x:c>
      <x:c r="F397" s="21" t="n">
        <x:v>6</x:v>
      </x:c>
      <x:c r="G397" s="17" t="n">
        <x:v>70.0646</x:v>
      </x:c>
      <x:c r="H397" s="17" t="n">
        <x:f>G397*F397</x:f>
        <x:v>420.3876</x:v>
      </x:c>
      <x:c r="I397" s="22" t="str">
        <x:f>HYPERLINK("https://etp-aktiv.ru/catalog/materialy/asbo-tekhnicheskie-izdeliya/2000085278-V311/","Открыть позицию")</x:f>
        <x:v>Открыть позицию</x:v>
      </x:c>
    </x:row>
    <x:row r="398" ht="28" customHeight="1">
      <x:c r="A398" s="16" t="str">
        <x:v>Назаровская ГРЭС</x:v>
      </x:c>
      <x:c r="B398" s="16" t="str">
        <x:v>2000548563-V311</x:v>
      </x:c>
      <x:c r="C398" s="16" t="str">
        <x:v>ПЛАСТИКАТ ПВХ 57-40 3ММ</x:v>
      </x:c>
      <x:c r="D398" s="16" t="str">
        <x:v>Э/изоляцион мат-лы</x:v>
      </x:c>
      <x:c r="E398" s="16" t="str">
        <x:v>КГ</x:v>
      </x:c>
      <x:c r="F398" s="26" t="n">
        <x:v>11.9</x:v>
      </x:c>
      <x:c r="G398" s="17" t="n">
        <x:v>189.039</x:v>
      </x:c>
      <x:c r="H398" s="17" t="n">
        <x:f>G398*F398</x:f>
        <x:v>2249.5641</x:v>
      </x:c>
      <x:c r="I398" s="22" t="str">
        <x:f>HYPERLINK("https://etp-aktiv.ru/catalog/materialy/ehlektroizolyacionnye-materialy/2000548563-V311/","Открыть позицию")</x:f>
        <x:v>Открыть позицию</x:v>
      </x:c>
    </x:row>
    <x:row r="399" ht="28" customHeight="1">
      <x:c r="A399" s="16" t="str">
        <x:v>Назаровская ГРЭС</x:v>
      </x:c>
      <x:c r="B399" s="16" t="str">
        <x:v>2000548568-V311</x:v>
      </x:c>
      <x:c r="C399" s="16" t="str">
        <x:v>ПЛАСТИКАТ ПВХ ПП-В 4ММ</x:v>
      </x:c>
      <x:c r="D399" s="16" t="str">
        <x:v>Э/изоляцион мат-лы</x:v>
      </x:c>
      <x:c r="E399" s="16" t="str">
        <x:v>КГ</x:v>
      </x:c>
      <x:c r="F399" s="26" t="n">
        <x:v>59.32</x:v>
      </x:c>
      <x:c r="G399" s="17" t="n">
        <x:v>72.4924</x:v>
      </x:c>
      <x:c r="H399" s="17" t="n">
        <x:f>G399*F399</x:f>
        <x:v>4300.249168</x:v>
      </x:c>
      <x:c r="I399" s="22" t="str">
        <x:f>HYPERLINK("https://etp-aktiv.ru/catalog/materialy/ehlektroizolyacionnye-materialy/2000548568-V311/","Открыть позицию")</x:f>
        <x:v>Открыть позицию</x:v>
      </x:c>
    </x:row>
    <x:row r="400" ht="28" customHeight="1">
      <x:c r="A400" s="16" t="str">
        <x:v>Назаровская ГРЭС</x:v>
      </x:c>
      <x:c r="B400" s="16" t="str">
        <x:v>2000645799-V311</x:v>
      </x:c>
      <x:c r="C400" s="16" t="str">
        <x:v>ПЛАСТИНА 1Н-I-МБС-С1-6 ГОСТ7338-90</x:v>
      </x:c>
      <x:c r="D400" s="16" t="str">
        <x:v>Проч резино-тех изд</x:v>
      </x:c>
      <x:c r="E400" s="16" t="str">
        <x:v>КГ</x:v>
      </x:c>
      <x:c r="F400" s="26" t="n">
        <x:v>5.4</x:v>
      </x:c>
      <x:c r="G400" s="17" t="n">
        <x:v>149.511</x:v>
      </x:c>
      <x:c r="H400" s="17" t="n">
        <x:f>G400*F400</x:f>
        <x:v>807.3594</x:v>
      </x:c>
      <x:c r="I400" s="22" t="str">
        <x:f>HYPERLINK("https://etp-aktiv.ru/catalog/materialy/rezino-tekhnicheskie-izdeliya/2000645799-V311/","Открыть позицию")</x:f>
        <x:v>Открыть позицию</x:v>
      </x:c>
    </x:row>
    <x:row r="401" ht="28" customHeight="1">
      <x:c r="A401" s="16" t="str">
        <x:v>Назаровская ГРЭС</x:v>
      </x:c>
      <x:c r="B401" s="16" t="str">
        <x:v>2000519598-V311</x:v>
      </x:c>
      <x:c r="C401" s="16" t="str">
        <x:v>ПЛАСТИНА ПОРИСТАЯ 5*500*700 2ГР ТО-38 МР</x:v>
      </x:c>
      <x:c r="D401" s="16" t="str">
        <x:v>Проч резино-тех изд</x:v>
      </x:c>
      <x:c r="E401" s="16" t="str">
        <x:v>КГ</x:v>
      </x:c>
      <x:c r="F401" s="30" t="n">
        <x:v>0.2</x:v>
      </x:c>
      <x:c r="G401" s="17" t="n">
        <x:v>230.75079999999997</x:v>
      </x:c>
      <x:c r="H401" s="17" t="n">
        <x:f>G401*F401</x:f>
        <x:v>46.15016</x:v>
      </x:c>
      <x:c r="I401" s="22" t="str">
        <x:f>HYPERLINK("https://etp-aktiv.ru/catalog/materialy/rezino-tekhnicheskie-izdeliya/2000519598-V311/","Открыть позицию")</x:f>
        <x:v>Открыть позицию</x:v>
      </x:c>
    </x:row>
    <x:row r="402" ht="28" customHeight="1">
      <x:c r="A402" s="16" t="str">
        <x:v>Назаровская ГРЭС</x:v>
      </x:c>
      <x:c r="B402" s="16" t="str">
        <x:v>2000803616-V311</x:v>
      </x:c>
      <x:c r="C402" s="16" t="str">
        <x:v>ПЛАСТИНА ФТОРОПЛАСТ Ф-4 3*600*600</x:v>
      </x:c>
      <x:c r="D402" s="16" t="str">
        <x:v>Э/изоляцион мат-лы</x:v>
      </x:c>
      <x:c r="E402" s="16" t="str">
        <x:v>КГ</x:v>
      </x:c>
      <x:c r="F402" s="30" t="n">
        <x:v>0.4</x:v>
      </x:c>
      <x:c r="G402" s="17" t="n">
        <x:v>644.7090000000001</x:v>
      </x:c>
      <x:c r="H402" s="17" t="n">
        <x:f>G402*F402</x:f>
        <x:v>257.88360000000006</x:v>
      </x:c>
      <x:c r="I402" s="22" t="str">
        <x:f>HYPERLINK("https://etp-aktiv.ru/catalog/materialy/ehlektroizolyacionnye-materialy/2000803616-V311/","Открыть позицию")</x:f>
        <x:v>Открыть позицию</x:v>
      </x:c>
    </x:row>
    <x:row r="403" ht="28" customHeight="1">
      <x:c r="A403" s="16" t="str">
        <x:v>Назаровская ГРЭС</x:v>
      </x:c>
      <x:c r="B403" s="16" t="str">
        <x:v>2000138985-V311</x:v>
      </x:c>
      <x:c r="C403" s="16" t="str">
        <x:v>ПЛИТА МИНЕРАЛОВАТНАЯ П-75 1000*500*60</x:v>
      </x:c>
      <x:c r="D403" s="16" t="str">
        <x:v>Теплоизоляция</x:v>
      </x:c>
      <x:c r="E403" s="16" t="str">
        <x:v>М3</x:v>
      </x:c>
      <x:c r="F403" s="26" t="n">
        <x:v>1.98</x:v>
      </x:c>
      <x:c r="G403" s="17" t="n">
        <x:v>1362.9962</x:v>
      </x:c>
      <x:c r="H403" s="17" t="n">
        <x:f>G403*F403</x:f>
        <x:v>2698.732476</x:v>
      </x:c>
      <x:c r="I403" s="22" t="str">
        <x:f>HYPERLINK("https://etp-aktiv.ru/catalog/materialy/teploizolyaciya/2000138985-V311/","Открыть позицию")</x:f>
        <x:v>Открыть позицию</x:v>
      </x:c>
    </x:row>
    <x:row r="404" ht="28" customHeight="1">
      <x:c r="A404" s="16" t="str">
        <x:v>Назаровская ГРЭС</x:v>
      </x:c>
      <x:c r="B404" s="16" t="str">
        <x:v>2000548989-V311</x:v>
      </x:c>
      <x:c r="C404" s="16" t="str">
        <x:v>ПЛИТА ППЖ 200 1000*500*60</x:v>
      </x:c>
      <x:c r="D404" s="16" t="str">
        <x:v>Теплоизоляция</x:v>
      </x:c>
      <x:c r="E404" s="16" t="str">
        <x:v>М3</x:v>
      </x:c>
      <x:c r="F404" s="26" t="n">
        <x:v>2.12</x:v>
      </x:c>
      <x:c r="G404" s="17" t="n">
        <x:v>4464.0532</x:v>
      </x:c>
      <x:c r="H404" s="17" t="n">
        <x:f>G404*F404</x:f>
        <x:v>9463.792784000001</x:v>
      </x:c>
      <x:c r="I404" s="22" t="str">
        <x:f>HYPERLINK("https://etp-aktiv.ru/catalog/materialy/teploizolyaciya/2000548989-V311/","Открыть позицию")</x:f>
        <x:v>Открыть позицию</x:v>
      </x:c>
    </x:row>
    <x:row r="405" ht="28" customHeight="1">
      <x:c r="A405" s="16" t="str">
        <x:v>Назаровская ГРЭС</x:v>
      </x:c>
      <x:c r="B405" s="16" t="str">
        <x:v>2000890181-V311</x:v>
      </x:c>
      <x:c r="C405" s="16" t="str">
        <x:v>ПРЯЖКА ТИП I С.2.400-4 В.1</x:v>
      </x:c>
      <x:c r="D405" s="16" t="str">
        <x:v>Теплоизоляция</x:v>
      </x:c>
      <x:c r="E405" s="16" t="str">
        <x:v>ШТ</x:v>
      </x:c>
      <x:c r="F405" s="21" t="n">
        <x:v>72</x:v>
      </x:c>
      <x:c r="G405" s="17" t="n">
        <x:v>27.45</x:v>
      </x:c>
      <x:c r="H405" s="17" t="n">
        <x:f>G405*F405</x:f>
        <x:v>1976.3999999999999</x:v>
      </x:c>
      <x:c r="I405" s="22" t="str">
        <x:f>HYPERLINK("https://etp-aktiv.ru/catalog/materialy/teploizolyaciya/2000890181-V311/","Открыть позицию")</x:f>
        <x:v>Открыть позицию</x:v>
      </x:c>
    </x:row>
    <x:row r="406" ht="28" customHeight="1">
      <x:c r="A406" s="16" t="str">
        <x:v>Назаровская ГРЭС</x:v>
      </x:c>
      <x:c r="B406" s="16" t="str">
        <x:v>2000546623-V311</x:v>
      </x:c>
      <x:c r="C406" s="16" t="str">
        <x:v>РЕМЕНЬ А 1250</x:v>
      </x:c>
      <x:c r="D406" s="16" t="str">
        <x:v>Проч резино-тех изд</x:v>
      </x:c>
      <x:c r="E406" s="16" t="str">
        <x:v>ШТ</x:v>
      </x:c>
      <x:c r="F406" s="21" t="n">
        <x:v>1</x:v>
      </x:c>
      <x:c r="G406" s="17" t="n">
        <x:v>38.8692</x:v>
      </x:c>
      <x:c r="H406" s="17" t="n">
        <x:f>G406*F406</x:f>
        <x:v>38.8692</x:v>
      </x:c>
      <x:c r="I406" s="22" t="str">
        <x:f>HYPERLINK("https://etp-aktiv.ru/catalog/materialy/rezino-tekhnicheskie-izdeliya/2000546623-V311/","Открыть позицию")</x:f>
        <x:v>Открыть позицию</x:v>
      </x:c>
    </x:row>
    <x:row r="407" ht="28" customHeight="1">
      <x:c r="A407" s="16" t="str">
        <x:v>Назаровская ГРЭС</x:v>
      </x:c>
      <x:c r="B407" s="16" t="str">
        <x:v>2000001848-V311</x:v>
      </x:c>
      <x:c r="C407" s="16" t="str">
        <x:v>РЕМЕНЬ КЛИНОВОЙ А-1060</x:v>
      </x:c>
      <x:c r="D407" s="16" t="str">
        <x:v>Проч резино-тех изд</x:v>
      </x:c>
      <x:c r="E407" s="16" t="str">
        <x:v>ШТ</x:v>
      </x:c>
      <x:c r="F407" s="21" t="n">
        <x:v>2</x:v>
      </x:c>
      <x:c r="G407" s="17" t="n">
        <x:v>31.0246</x:v>
      </x:c>
      <x:c r="H407" s="17" t="n">
        <x:f>G407*F407</x:f>
        <x:v>62.0492</x:v>
      </x:c>
      <x:c r="I407" s="22" t="str">
        <x:f>HYPERLINK("https://etp-aktiv.ru/catalog/materialy/rezino-tekhnicheskie-izdeliya/2000001848-V311/","Открыть позицию")</x:f>
        <x:v>Открыть позицию</x:v>
      </x:c>
    </x:row>
    <x:row r="408" ht="28" customHeight="1">
      <x:c r="A408" s="16" t="str">
        <x:v>Назаровская ГРЭС</x:v>
      </x:c>
      <x:c r="B408" s="16" t="str">
        <x:v>2000001659-V311</x:v>
      </x:c>
      <x:c r="C408" s="16" t="str">
        <x:v>РЕМЕНЬ КЛИНОВОЙ А-850</x:v>
      </x:c>
      <x:c r="D408" s="16" t="str">
        <x:v>Проч резино-тех изд</x:v>
      </x:c>
      <x:c r="E408" s="16" t="str">
        <x:v>ШТ</x:v>
      </x:c>
      <x:c r="F408" s="21" t="n">
        <x:v>12</x:v>
      </x:c>
      <x:c r="G408" s="17" t="n">
        <x:v>22.643199999999997</x:v>
      </x:c>
      <x:c r="H408" s="17" t="n">
        <x:f>G408*F408</x:f>
        <x:v>271.7184</x:v>
      </x:c>
      <x:c r="I408" s="22" t="str">
        <x:f>HYPERLINK("https://etp-aktiv.ru/catalog/materialy/rezino-tekhnicheskie-izdeliya/2000001659-V311/","Открыть позицию")</x:f>
        <x:v>Открыть позицию</x:v>
      </x:c>
    </x:row>
    <x:row r="409" ht="28" customHeight="1">
      <x:c r="A409" s="16" t="str">
        <x:v>Назаровская ГРЭС</x:v>
      </x:c>
      <x:c r="B409" s="16" t="str">
        <x:v>2000038245-V311</x:v>
      </x:c>
      <x:c r="C409" s="16" t="str">
        <x:v>РЕМЕНЬ КЛИНОВОЙ В(Б)-1303</x:v>
      </x:c>
      <x:c r="D409" s="16" t="str">
        <x:v>Проч резино-тех изд</x:v>
      </x:c>
      <x:c r="E409" s="16" t="str">
        <x:v>ШТ</x:v>
      </x:c>
      <x:c r="F409" s="21" t="n">
        <x:v>8</x:v>
      </x:c>
      <x:c r="G409" s="17" t="n">
        <x:v>1863.184</x:v>
      </x:c>
      <x:c r="H409" s="17" t="n">
        <x:f>G409*F409</x:f>
        <x:v>14905.472</x:v>
      </x:c>
      <x:c r="I409" s="22" t="str">
        <x:f>HYPERLINK("https://etp-aktiv.ru/catalog/materialy/rezino-tekhnicheskie-izdeliya/2000038245-V311/","Открыть позицию")</x:f>
        <x:v>Открыть позицию</x:v>
      </x:c>
    </x:row>
    <x:row r="410" ht="28" customHeight="1">
      <x:c r="A410" s="16" t="str">
        <x:v>Назаровская ГРЭС</x:v>
      </x:c>
      <x:c r="B410" s="16" t="str">
        <x:v>2000004567-V311</x:v>
      </x:c>
      <x:c r="C410" s="16" t="str">
        <x:v>РЕМЕНЬ КЛИНОВОЙ С(В)-2360</x:v>
      </x:c>
      <x:c r="D410" s="16" t="str">
        <x:v>Проч резино-тех изд</x:v>
      </x:c>
      <x:c r="E410" s="16" t="str">
        <x:v>ШТ</x:v>
      </x:c>
      <x:c r="F410" s="21" t="n">
        <x:v>15</x:v>
      </x:c>
      <x:c r="G410" s="17" t="n">
        <x:v>122.4514</x:v>
      </x:c>
      <x:c r="H410" s="17" t="n">
        <x:f>G410*F410</x:f>
        <x:v>1836.7710000000002</x:v>
      </x:c>
      <x:c r="I410" s="22" t="str">
        <x:f>HYPERLINK("https://etp-aktiv.ru/catalog/materialy/rezino-tekhnicheskie-izdeliya/2000004567-V311/","Открыть позицию")</x:f>
        <x:v>Открыть позицию</x:v>
      </x:c>
    </x:row>
    <x:row r="411" ht="28" customHeight="1">
      <x:c r="A411" s="16" t="str">
        <x:v>Назаровская ГРЭС</x:v>
      </x:c>
      <x:c r="B411" s="16" t="str">
        <x:v>2000547087-V311</x:v>
      </x:c>
      <x:c r="C411" s="16" t="str">
        <x:v>РУКАВ 10-17,5-1,47 ГОСТ10362-76</x:v>
      </x:c>
      <x:c r="D411" s="16" t="str">
        <x:v>РТИ и прч спец.заказ</x:v>
      </x:c>
      <x:c r="E411" s="16" t="str">
        <x:v>М</x:v>
      </x:c>
      <x:c r="F411" s="21" t="n">
        <x:v>2</x:v>
      </x:c>
      <x:c r="G411" s="17" t="n">
        <x:v>61.4026</x:v>
      </x:c>
      <x:c r="H411" s="17" t="n">
        <x:f>G411*F411</x:f>
        <x:v>122.8052</x:v>
      </x:c>
      <x:c r="I411" s="22" t="str">
        <x:f>HYPERLINK("https://etp-aktiv.ru/catalog/materialy/rezino-tekhnicheskie-izdeliya/2000547087-V311/","Открыть позицию")</x:f>
        <x:v>Открыть позицию</x:v>
      </x:c>
    </x:row>
    <x:row r="412" ht="28" customHeight="1">
      <x:c r="A412" s="16" t="str">
        <x:v>Назаровская ГРЭС</x:v>
      </x:c>
      <x:c r="B412" s="16" t="str">
        <x:v>2000547202-V311</x:v>
      </x:c>
      <x:c r="C412" s="16" t="str">
        <x:v>РУКАВ I-12-0,63 ГОСТ9356-75</x:v>
      </x:c>
      <x:c r="D412" s="16" t="str">
        <x:v>РТИ и прч спец.заказ</x:v>
      </x:c>
      <x:c r="E412" s="16" t="str">
        <x:v>ПМ</x:v>
      </x:c>
      <x:c r="F412" s="21" t="n">
        <x:v>15</x:v>
      </x:c>
      <x:c r="G412" s="17" t="n">
        <x:v>25.388199999999998</x:v>
      </x:c>
      <x:c r="H412" s="17" t="n">
        <x:f>G412*F412</x:f>
        <x:v>380.823</x:v>
      </x:c>
      <x:c r="I412" s="22" t="str">
        <x:f>HYPERLINK("https://etp-aktiv.ru/catalog/materialy/rezino-tekhnicheskie-izdeliya/2000547202-V311/","Открыть позицию")</x:f>
        <x:v>Открыть позицию</x:v>
      </x:c>
    </x:row>
    <x:row r="413" ht="28" customHeight="1">
      <x:c r="A413" s="16" t="str">
        <x:v>Назаровская ГРЭС</x:v>
      </x:c>
      <x:c r="B413" s="16" t="str">
        <x:v>2000547207-V311</x:v>
      </x:c>
      <x:c r="C413" s="16" t="str">
        <x:v>РУКАВ II-6,3-0,63 ГОСТ9356-75</x:v>
      </x:c>
      <x:c r="D413" s="16" t="str">
        <x:v>РТИ и прч спец.заказ</x:v>
      </x:c>
      <x:c r="E413" s="16" t="str">
        <x:v>ПМ</x:v>
      </x:c>
      <x:c r="F413" s="21" t="n">
        <x:v>60</x:v>
      </x:c>
      <x:c r="G413" s="17" t="n">
        <x:v>11.5168</x:v>
      </x:c>
      <x:c r="H413" s="17" t="n">
        <x:f>G413*F413</x:f>
        <x:v>691.008</x:v>
      </x:c>
      <x:c r="I413" s="22" t="str">
        <x:f>HYPERLINK("https://etp-aktiv.ru/catalog/materialy/rezino-tekhnicheskie-izdeliya/2000547207-V311/","Открыть позицию")</x:f>
        <x:v>Открыть позицию</x:v>
      </x:c>
    </x:row>
    <x:row r="414" ht="28" customHeight="1">
      <x:c r="A414" s="16" t="str">
        <x:v>Назаровская ГРЭС</x:v>
      </x:c>
      <x:c r="B414" s="16" t="str">
        <x:v>2000547103-V311</x:v>
      </x:c>
      <x:c r="C414" s="16" t="str">
        <x:v>РУКАВ III-6,0-2,0 ГОСТ9356-75</x:v>
      </x:c>
      <x:c r="D414" s="16" t="str">
        <x:v>РТИ и прч спец.заказ</x:v>
      </x:c>
      <x:c r="E414" s="16" t="str">
        <x:v>М</x:v>
      </x:c>
      <x:c r="F414" s="21" t="n">
        <x:v>30</x:v>
      </x:c>
      <x:c r="G414" s="17" t="n">
        <x:v>11.638799999999998</x:v>
      </x:c>
      <x:c r="H414" s="17" t="n">
        <x:f>G414*F414</x:f>
        <x:v>349.16399999999993</x:v>
      </x:c>
      <x:c r="I414" s="22" t="str">
        <x:f>HYPERLINK("https://etp-aktiv.ru/catalog/materialy/rezino-tekhnicheskie-izdeliya/2000547103-V311/","Открыть позицию")</x:f>
        <x:v>Открыть позицию</x:v>
      </x:c>
    </x:row>
    <x:row r="415" ht="28" customHeight="1">
      <x:c r="A415" s="16" t="str">
        <x:v>Назаровская ГРЭС</x:v>
      </x:c>
      <x:c r="B415" s="16" t="str">
        <x:v>2000547212-V311</x:v>
      </x:c>
      <x:c r="C415" s="16" t="str">
        <x:v>РУКАВ III-6,3-2,0 ГОСТ9356-75</x:v>
      </x:c>
      <x:c r="D415" s="16" t="str">
        <x:v>РТИ и прч спец.заказ</x:v>
      </x:c>
      <x:c r="E415" s="16" t="str">
        <x:v>ПМ</x:v>
      </x:c>
      <x:c r="F415" s="26" t="n">
        <x:v>4.8</x:v>
      </x:c>
      <x:c r="G415" s="17" t="n">
        <x:v>24.9612</x:v>
      </x:c>
      <x:c r="H415" s="17" t="n">
        <x:f>G415*F415</x:f>
        <x:v>119.81376</x:v>
      </x:c>
      <x:c r="I415" s="22" t="str">
        <x:f>HYPERLINK("https://etp-aktiv.ru/catalog/materialy/rezino-tekhnicheskie-izdeliya/2000547212-V311/","Открыть позицию")</x:f>
        <x:v>Открыть позицию</x:v>
      </x:c>
    </x:row>
    <x:row r="416" ht="28" customHeight="1">
      <x:c r="A416" s="16" t="str">
        <x:v>Назаровская ГРЭС</x:v>
      </x:c>
      <x:c r="B416" s="16" t="str">
        <x:v>2000547168-V311</x:v>
      </x:c>
      <x:c r="C416" s="16" t="str">
        <x:v>РУКАВ Б(I)-10-50-64-У ГОСТ18698-79</x:v>
      </x:c>
      <x:c r="D416" s="16" t="str">
        <x:v>РТИ и прч спец.заказ</x:v>
      </x:c>
      <x:c r="E416" s="16" t="str">
        <x:v>М</x:v>
      </x:c>
      <x:c r="F416" s="26" t="n">
        <x:v>184.3</x:v>
      </x:c>
      <x:c r="G416" s="17" t="n">
        <x:v>107.1282</x:v>
      </x:c>
      <x:c r="H416" s="17" t="n">
        <x:f>G416*F416</x:f>
        <x:v>19743.727260000003</x:v>
      </x:c>
      <x:c r="I416" s="22" t="str">
        <x:f>HYPERLINK("https://etp-aktiv.ru/catalog/materialy/rezino-tekhnicheskie-izdeliya/2000547168-V311/","Открыть позицию")</x:f>
        <x:v>Открыть позицию</x:v>
      </x:c>
    </x:row>
    <x:row r="417" ht="28" customHeight="1">
      <x:c r="A417" s="16" t="str">
        <x:v>Назаровская ГРЭС</x:v>
      </x:c>
      <x:c r="B417" s="16" t="str">
        <x:v>2000547176-V311</x:v>
      </x:c>
      <x:c r="C417" s="16" t="str">
        <x:v>РУКАВ В(II)-10-38-51 ГОСТ18698-79</x:v>
      </x:c>
      <x:c r="D417" s="16" t="str">
        <x:v>РТИ и прч спец.заказ</x:v>
      </x:c>
      <x:c r="E417" s="16" t="str">
        <x:v>М</x:v>
      </x:c>
      <x:c r="F417" s="30" t="n">
        <x:v>0.4</x:v>
      </x:c>
      <x:c r="G417" s="17" t="n">
        <x:v>325.78880000000004</x:v>
      </x:c>
      <x:c r="H417" s="17" t="n">
        <x:f>G417*F417</x:f>
        <x:v>130.31552000000002</x:v>
      </x:c>
      <x:c r="I417" s="22" t="str">
        <x:f>HYPERLINK("https://etp-aktiv.ru/catalog/materialy/rezino-tekhnicheskie-izdeliya/2000547176-V311/","Открыть позицию")</x:f>
        <x:v>Открыть позицию</x:v>
      </x:c>
    </x:row>
    <x:row r="418" ht="28" customHeight="1">
      <x:c r="A418" s="16" t="str">
        <x:v>Назаровская ГРЭС</x:v>
      </x:c>
      <x:c r="B418" s="16" t="str">
        <x:v>2000547179-V311</x:v>
      </x:c>
      <x:c r="C418" s="16" t="str">
        <x:v>РУКАВ ВГ(III) 10-32*47 ГОСТ18698-79</x:v>
      </x:c>
      <x:c r="D418" s="16" t="str">
        <x:v>РТИ и прч спец.заказ</x:v>
      </x:c>
      <x:c r="E418" s="16" t="str">
        <x:v>М</x:v>
      </x:c>
      <x:c r="F418" s="26" t="n">
        <x:v>4.4</x:v>
      </x:c>
      <x:c r="G418" s="17" t="n">
        <x:v>161.12539999999998</x:v>
      </x:c>
      <x:c r="H418" s="17" t="n">
        <x:f>G418*F418</x:f>
        <x:v>708.95176</x:v>
      </x:c>
      <x:c r="I418" s="22" t="str">
        <x:f>HYPERLINK("https://etp-aktiv.ru/catalog/materialy/rezino-tekhnicheskie-izdeliya/2000547179-V311/","Открыть позицию")</x:f>
        <x:v>Открыть позицию</x:v>
      </x:c>
    </x:row>
    <x:row r="419" ht="28" customHeight="1">
      <x:c r="A419" s="16" t="str">
        <x:v>Назаровская ГРЭС</x:v>
      </x:c>
      <x:c r="B419" s="16" t="str">
        <x:v>2000512703-V311</x:v>
      </x:c>
      <x:c r="C419" s="16" t="str">
        <x:v>РУКАВ РЕЗИНОВЫЙ В 19ММ P20 ГОСТ5398-76</x:v>
      </x:c>
      <x:c r="D419" s="16" t="str">
        <x:v>РТИ и прч спец.заказ</x:v>
      </x:c>
      <x:c r="E419" s="16" t="str">
        <x:v>М</x:v>
      </x:c>
      <x:c r="F419" s="21" t="n">
        <x:v>43</x:v>
      </x:c>
      <x:c r="G419" s="17" t="n">
        <x:v>76.99419999999999</x:v>
      </x:c>
      <x:c r="H419" s="17" t="n">
        <x:f>G419*F419</x:f>
        <x:v>3310.7506</x:v>
      </x:c>
      <x:c r="I419" s="22" t="str">
        <x:f>HYPERLINK("https://etp-aktiv.ru/catalog/materialy/rezino-tekhnicheskie-izdeliya/2000512703-V311/","Открыть позицию")</x:f>
        <x:v>Открыть позицию</x:v>
      </x:c>
    </x:row>
    <x:row r="420" ht="28" customHeight="1">
      <x:c r="A420" s="16" t="str">
        <x:v>Назаровская ГРЭС</x:v>
      </x:c>
      <x:c r="B420" s="16" t="str">
        <x:v>2000570603-V311</x:v>
      </x:c>
      <x:c r="C420" s="16" t="str">
        <x:v>СЛЮДА ЩИПАНАЯ СМЩ 50-6-I-1 ГОСТ3028-78</x:v>
      </x:c>
      <x:c r="D420" s="16" t="str">
        <x:v>Э/изоляцион мат-лы</x:v>
      </x:c>
      <x:c r="E420" s="16" t="str">
        <x:v>КГ</x:v>
      </x:c>
      <x:c r="F420" s="30" t="n">
        <x:v>0.796</x:v>
      </x:c>
      <x:c r="G420" s="17" t="n">
        <x:v>24175.7884</x:v>
      </x:c>
      <x:c r="H420" s="17" t="n">
        <x:f>G420*F420</x:f>
        <x:v>19243.9275664</x:v>
      </x:c>
      <x:c r="I420" s="22" t="str">
        <x:f>HYPERLINK("https://etp-aktiv.ru/catalog/materialy/ehlektroizolyacionnye-materialy/2000570603-V311/","Открыть позицию")</x:f>
        <x:v>Открыть позицию</x:v>
      </x:c>
    </x:row>
    <x:row r="421" ht="28" customHeight="1">
      <x:c r="A421" s="16" t="str">
        <x:v>Назаровская ГРЭС</x:v>
      </x:c>
      <x:c r="B421" s="16" t="str">
        <x:v>2000040980-V311</x:v>
      </x:c>
      <x:c r="C421" s="16" t="str">
        <x:v>СТ/ТЕКСТОЛИТ ЛИСТ СТЭФ 1,5ММ ГОСТ12652</x:v>
      </x:c>
      <x:c r="D421" s="16" t="str">
        <x:v>Э/изоляцион мат-лы</x:v>
      </x:c>
      <x:c r="E421" s="16" t="str">
        <x:v>КГ</x:v>
      </x:c>
      <x:c r="F421" s="26" t="n">
        <x:v>6.3</x:v>
      </x:c>
      <x:c r="G421" s="17" t="n">
        <x:v>144.1186</x:v>
      </x:c>
      <x:c r="H421" s="17" t="n">
        <x:f>G421*F421</x:f>
        <x:v>907.9471799999999</x:v>
      </x:c>
      <x:c r="I421" s="22" t="str">
        <x:f>HYPERLINK("https://etp-aktiv.ru/catalog/materialy/ehlektroizolyacionnye-materialy/2000040980-V311/","Открыть позицию")</x:f>
        <x:v>Открыть позицию</x:v>
      </x:c>
    </x:row>
    <x:row r="422" ht="28" customHeight="1">
      <x:c r="A422" s="16" t="str">
        <x:v>Назаровская ГРЭС</x:v>
      </x:c>
      <x:c r="B422" s="16" t="str">
        <x:v>2000040996-V311</x:v>
      </x:c>
      <x:c r="C422" s="16" t="str">
        <x:v>СТ/ТЕКСТОЛИТ ЛИСТ СТЭФ-У 4ММ</x:v>
      </x:c>
      <x:c r="D422" s="16" t="str">
        <x:v>Э/изоляцион мат-лы</x:v>
      </x:c>
      <x:c r="E422" s="16" t="str">
        <x:v>КГ</x:v>
      </x:c>
      <x:c r="F422" s="26" t="n">
        <x:v>31.7</x:v>
      </x:c>
      <x:c r="G422" s="17" t="n">
        <x:v>91.7684</x:v>
      </x:c>
      <x:c r="H422" s="17" t="n">
        <x:f>G422*F422</x:f>
        <x:v>2909.0582799999997</x:v>
      </x:c>
      <x:c r="I422" s="22" t="str">
        <x:f>HYPERLINK("https://etp-aktiv.ru/catalog/materialy/ehlektroizolyacionnye-materialy/2000040996-V311/","Открыть позицию")</x:f>
        <x:v>Открыть позицию</x:v>
      </x:c>
    </x:row>
    <x:row r="423" ht="28" customHeight="1">
      <x:c r="A423" s="16" t="str">
        <x:v>Назаровская ГРЭС</x:v>
      </x:c>
      <x:c r="B423" s="16" t="str">
        <x:v>2000548604-V311</x:v>
      </x:c>
      <x:c r="C423" s="16" t="str">
        <x:v>СТ/ТЕКСТОЛИТ СТЭФ-П 2,0 ТУ16-503.168</x:v>
      </x:c>
      <x:c r="D423" s="16" t="str">
        <x:v>Э/изоляцион мат-лы</x:v>
      </x:c>
      <x:c r="E423" s="16" t="str">
        <x:v>КГ</x:v>
      </x:c>
      <x:c r="F423" s="26" t="n">
        <x:v>30.6</x:v>
      </x:c>
      <x:c r="G423" s="17" t="n">
        <x:v>595.543</x:v>
      </x:c>
      <x:c r="H423" s="17" t="n">
        <x:f>G423*F423</x:f>
        <x:v>18223.6158</x:v>
      </x:c>
      <x:c r="I423" s="22" t="str">
        <x:f>HYPERLINK("https://etp-aktiv.ru/catalog/materialy/ehlektroizolyacionnye-materialy/2000548604-V311/","Открыть позицию")</x:f>
        <x:v>Открыть позицию</x:v>
      </x:c>
    </x:row>
    <x:row r="424" ht="28" customHeight="1">
      <x:c r="A424" s="16" t="str">
        <x:v>Назаровская ГРЭС</x:v>
      </x:c>
      <x:c r="B424" s="16" t="str">
        <x:v>2000548588-V311</x:v>
      </x:c>
      <x:c r="C424" s="16" t="str">
        <x:v>СТЕКЛОЛАКОТКАНЬ ЛСМ 0,15ММ</x:v>
      </x:c>
      <x:c r="D424" s="16" t="str">
        <x:v>Э/изоляцион мат-лы</x:v>
      </x:c>
      <x:c r="E424" s="16" t="str">
        <x:v>М</x:v>
      </x:c>
      <x:c r="F424" s="26" t="n">
        <x:v>28.5</x:v>
      </x:c>
      <x:c r="G424" s="17" t="n">
        <x:v>108.09199999999998</x:v>
      </x:c>
      <x:c r="H424" s="17" t="n">
        <x:f>G424*F424</x:f>
        <x:v>3080.6219999999994</x:v>
      </x:c>
      <x:c r="I424" s="22" t="str">
        <x:f>HYPERLINK("https://etp-aktiv.ru/catalog/materialy/ehlektroizolyacionnye-materialy/2000548588-V311/","Открыть позицию")</x:f>
        <x:v>Открыть позицию</x:v>
      </x:c>
    </x:row>
    <x:row r="425" ht="28" customHeight="1">
      <x:c r="A425" s="16" t="str">
        <x:v>Назаровская ГРЭС</x:v>
      </x:c>
      <x:c r="B425" s="16" t="str">
        <x:v>2000548637-V311</x:v>
      </x:c>
      <x:c r="C425" s="16" t="str">
        <x:v>СТЕРЖЕНЬ ФТОРОПЛАСТ Ф-4 20*1000ММ</x:v>
      </x:c>
      <x:c r="D425" s="16" t="str">
        <x:v>Э/изоляцион мат-лы</x:v>
      </x:c>
      <x:c r="E425" s="16" t="str">
        <x:v>КГ</x:v>
      </x:c>
      <x:c r="F425" s="26" t="n">
        <x:v>1.4</x:v>
      </x:c>
      <x:c r="G425" s="17" t="n">
        <x:v>583.3186</x:v>
      </x:c>
      <x:c r="H425" s="17" t="n">
        <x:f>G425*F425</x:f>
        <x:v>816.6460399999999</x:v>
      </x:c>
      <x:c r="I425" s="22" t="str">
        <x:f>HYPERLINK("https://etp-aktiv.ru/catalog/materialy/ehlektroizolyacionnye-materialy/2000548637-V311/","Открыть позицию")</x:f>
        <x:v>Открыть позицию</x:v>
      </x:c>
    </x:row>
    <x:row r="426" ht="28" customHeight="1">
      <x:c r="A426" s="16" t="str">
        <x:v>Назаровская ГРЭС</x:v>
      </x:c>
      <x:c r="B426" s="16" t="str">
        <x:v>2000157946-V311</x:v>
      </x:c>
      <x:c r="C426" s="16" t="str">
        <x:v>СТЕРЖЕНЬ ФТОРОПЛАСТ Ф-4 90*100ММ</x:v>
      </x:c>
      <x:c r="D426" s="16" t="str">
        <x:v>Э/изоляцион мат-лы</x:v>
      </x:c>
      <x:c r="E426" s="16" t="str">
        <x:v>КГ</x:v>
      </x:c>
      <x:c r="F426" s="26" t="n">
        <x:v>5.4</x:v>
      </x:c>
      <x:c r="G426" s="17" t="n">
        <x:v>528.4186</x:v>
      </x:c>
      <x:c r="H426" s="17" t="n">
        <x:f>G426*F426</x:f>
        <x:v>2853.46044</x:v>
      </x:c>
      <x:c r="I426" s="22" t="str">
        <x:f>HYPERLINK("https://etp-aktiv.ru/catalog/materialy/ehlektroizolyacionnye-materialy/2000157946-V311/","Открыть позицию")</x:f>
        <x:v>Открыть позицию</x:v>
      </x:c>
    </x:row>
    <x:row r="427" ht="28" customHeight="1">
      <x:c r="A427" s="16" t="str">
        <x:v>Назаровская ГРЭС</x:v>
      </x:c>
      <x:c r="B427" s="16" t="str">
        <x:v>2000548638-V311</x:v>
      </x:c>
      <x:c r="C427" s="16" t="str">
        <x:v>СТЕРЖЕНЬ ФТОРОПЛАСТ Ф-4 К20 100ММ</x:v>
      </x:c>
      <x:c r="D427" s="16" t="str">
        <x:v>Э/изоляцион мат-лы</x:v>
      </x:c>
      <x:c r="E427" s="16" t="str">
        <x:v>КГ</x:v>
      </x:c>
      <x:c r="F427" s="26" t="n">
        <x:v>17.1</x:v>
      </x:c>
      <x:c r="G427" s="17" t="n">
        <x:v>682.8218</x:v>
      </x:c>
      <x:c r="H427" s="17" t="n">
        <x:f>G427*F427</x:f>
        <x:v>11676.252780000003</x:v>
      </x:c>
      <x:c r="I427" s="22" t="str">
        <x:f>HYPERLINK("https://etp-aktiv.ru/catalog/materialy/ehlektroizolyacionnye-materialy/2000548638-V311/","Открыть позицию")</x:f>
        <x:v>Открыть позицию</x:v>
      </x:c>
    </x:row>
    <x:row r="428" ht="28" customHeight="1">
      <x:c r="A428" s="16" t="str">
        <x:v>Назаровская ГРЭС</x:v>
      </x:c>
      <x:c r="B428" s="16" t="str">
        <x:v>2000548639-V311</x:v>
      </x:c>
      <x:c r="C428" s="16" t="str">
        <x:v>СТЕРЖЕНЬ ФТОРОПЛАСТ Ф-4 К20 175ММ</x:v>
      </x:c>
      <x:c r="D428" s="16" t="str">
        <x:v>Э/изоляцион мат-лы</x:v>
      </x:c>
      <x:c r="E428" s="16" t="str">
        <x:v>КГ</x:v>
      </x:c>
      <x:c r="F428" s="26" t="n">
        <x:v>4.9</x:v>
      </x:c>
      <x:c r="G428" s="17" t="n">
        <x:v>583.8066</x:v>
      </x:c>
      <x:c r="H428" s="17" t="n">
        <x:f>G428*F428</x:f>
        <x:v>2860.65234</x:v>
      </x:c>
      <x:c r="I428" s="22" t="str">
        <x:f>HYPERLINK("https://etp-aktiv.ru/catalog/materialy/ehlektroizolyacionnye-materialy/2000548639-V311/","Открыть позицию")</x:f>
        <x:v>Открыть позицию</x:v>
      </x:c>
    </x:row>
    <x:row r="429" ht="28" customHeight="1">
      <x:c r="A429" s="16" t="str">
        <x:v>Назаровская ГРЭС</x:v>
      </x:c>
      <x:c r="B429" s="16" t="str">
        <x:v>2000548645-V311</x:v>
      </x:c>
      <x:c r="C429" s="16" t="str">
        <x:v>ТЕКСТОЛИТ А 1С 6ММ ГОСТ2910-74</x:v>
      </x:c>
      <x:c r="D429" s="16" t="str">
        <x:v>Э/изоляцион мат-лы</x:v>
      </x:c>
      <x:c r="E429" s="16" t="str">
        <x:v>КГ</x:v>
      </x:c>
      <x:c r="F429" s="26" t="n">
        <x:v>3.1</x:v>
      </x:c>
      <x:c r="G429" s="17" t="n">
        <x:v>184.8666</x:v>
      </x:c>
      <x:c r="H429" s="17" t="n">
        <x:f>G429*F429</x:f>
        <x:v>573.08646</x:v>
      </x:c>
      <x:c r="I429" s="22" t="str">
        <x:f>HYPERLINK("https://etp-aktiv.ru/catalog/materialy/ehlektroizolyacionnye-materialy/2000548645-V311/","Открыть позицию")</x:f>
        <x:v>Открыть позицию</x:v>
      </x:c>
    </x:row>
    <x:row r="430" ht="28" customHeight="1">
      <x:c r="A430" s="16" t="str">
        <x:v>Назаровская ГРЭС</x:v>
      </x:c>
      <x:c r="B430" s="16" t="str">
        <x:v>2000042076-V311</x:v>
      </x:c>
      <x:c r="C430" s="16" t="str">
        <x:v>ТЕКСТОЛИТ А Т 30ММ</x:v>
      </x:c>
      <x:c r="D430" s="16" t="str">
        <x:v>Э/изоляцион мат-лы</x:v>
      </x:c>
      <x:c r="E430" s="16" t="str">
        <x:v>КГ</x:v>
      </x:c>
      <x:c r="F430" s="26" t="n">
        <x:v>107.1</x:v>
      </x:c>
      <x:c r="G430" s="17" t="n">
        <x:v>193.72379999999998</x:v>
      </x:c>
      <x:c r="H430" s="17" t="n">
        <x:f>G430*F430</x:f>
        <x:v>20747.818979999996</x:v>
      </x:c>
      <x:c r="I430" s="22" t="str">
        <x:f>HYPERLINK("https://etp-aktiv.ru/catalog/materialy/ehlektroizolyacionnye-materialy/2000042076-V311/","Открыть позицию")</x:f>
        <x:v>Открыть позицию</x:v>
      </x:c>
    </x:row>
    <x:row r="431" ht="28" customHeight="1">
      <x:c r="A431" s="16" t="str">
        <x:v>Назаровская ГРЭС</x:v>
      </x:c>
      <x:c r="B431" s="16" t="str">
        <x:v>2000548660-V311</x:v>
      </x:c>
      <x:c r="C431" s="16" t="str">
        <x:v>ТЕКСТОЛИТ ПТК 40ММ</x:v>
      </x:c>
      <x:c r="D431" s="16" t="str">
        <x:v>Э/изоляцион мат-лы</x:v>
      </x:c>
      <x:c r="E431" s="16" t="str">
        <x:v>КГ</x:v>
      </x:c>
      <x:c r="F431" s="26" t="n">
        <x:v>32.9</x:v>
      </x:c>
      <x:c r="G431" s="17" t="n">
        <x:v>195.749</x:v>
      </x:c>
      <x:c r="H431" s="17" t="n">
        <x:f>G431*F431</x:f>
        <x:v>6440.142099999999</x:v>
      </x:c>
      <x:c r="I431" s="22" t="str">
        <x:f>HYPERLINK("https://etp-aktiv.ru/catalog/materialy/ehlektroizolyacionnye-materialy/2000548660-V311/","Открыть позицию")</x:f>
        <x:v>Открыть позицию</x:v>
      </x:c>
    </x:row>
    <x:row r="432" ht="28" customHeight="1">
      <x:c r="A432" s="16" t="str">
        <x:v>Назаровская ГРЭС</x:v>
      </x:c>
      <x:c r="B432" s="16" t="str">
        <x:v>2000499745-V311</x:v>
      </x:c>
      <x:c r="C432" s="16" t="str">
        <x:v>ТЕКСТОЛИТ ПТК 60ММ</x:v>
      </x:c>
      <x:c r="D432" s="16" t="str">
        <x:v>Э/изоляцион мат-лы</x:v>
      </x:c>
      <x:c r="E432" s="16" t="str">
        <x:v>КГ</x:v>
      </x:c>
      <x:c r="F432" s="26" t="n">
        <x:v>74.3</x:v>
      </x:c>
      <x:c r="G432" s="17" t="n">
        <x:v>215.9644</x:v>
      </x:c>
      <x:c r="H432" s="17" t="n">
        <x:f>G432*F432</x:f>
        <x:v>16046.15492</x:v>
      </x:c>
      <x:c r="I432" s="22" t="str">
        <x:f>HYPERLINK("https://etp-aktiv.ru/catalog/materialy/ehlektroizolyacionnye-materialy/2000499745-V311/","Открыть позицию")</x:f>
        <x:v>Открыть позицию</x:v>
      </x:c>
    </x:row>
    <x:row r="433" ht="28" customHeight="1">
      <x:c r="A433" s="16" t="str">
        <x:v>Назаровская ГРЭС</x:v>
      </x:c>
      <x:c r="B433" s="16" t="str">
        <x:v>2000957611-V311</x:v>
      </x:c>
      <x:c r="C433" s="16" t="str">
        <x:v>ТЕПЛОИЗОЛЯЦИЯ 15/4-11 EFXT0150411SUPRS</x:v>
      </x:c>
      <x:c r="D433" s="16" t="str">
        <x:v>Теплоизоляция</x:v>
      </x:c>
      <x:c r="E433" s="16" t="str">
        <x:v>М</x:v>
      </x:c>
      <x:c r="F433" s="21" t="n">
        <x:v>2</x:v>
      </x:c>
      <x:c r="G433" s="17" t="n">
        <x:v>85.7172</x:v>
      </x:c>
      <x:c r="H433" s="17" t="n">
        <x:f>G433*F433</x:f>
        <x:v>171.4344</x:v>
      </x:c>
      <x:c r="I433" s="22" t="str">
        <x:f>HYPERLINK("https://etp-aktiv.ru/catalog/materialy/teploizolyaciya/2000957611-V311/","Открыть позицию")</x:f>
        <x:v>Открыть позицию</x:v>
      </x:c>
    </x:row>
    <x:row r="434" ht="28" customHeight="1">
      <x:c r="A434" s="16" t="str">
        <x:v>Назаровская ГРЭС</x:v>
      </x:c>
      <x:c r="B434" s="16" t="str">
        <x:v>2000546979-V311</x:v>
      </x:c>
      <x:c r="C434" s="16" t="str">
        <x:v>ТЕХПЛАСТИНА 1 2Н-1 МБС-С ГОСТ7338-90</x:v>
      </x:c>
      <x:c r="D434" s="16" t="str">
        <x:v>Проч резино-тех изд</x:v>
      </x:c>
      <x:c r="E434" s="16" t="str">
        <x:v>КГ</x:v>
      </x:c>
      <x:c r="F434" s="26" t="n">
        <x:v>6.351</x:v>
      </x:c>
      <x:c r="G434" s="17" t="n">
        <x:v>49.105</x:v>
      </x:c>
      <x:c r="H434" s="17" t="n">
        <x:f>G434*F434</x:f>
        <x:v>311.86585499999995</x:v>
      </x:c>
      <x:c r="I434" s="22" t="str">
        <x:f>HYPERLINK("https://etp-aktiv.ru/catalog/materialy/rezino-tekhnicheskie-izdeliya/2000546979-V311/","Открыть позицию")</x:f>
        <x:v>Открыть позицию</x:v>
      </x:c>
    </x:row>
    <x:row r="435" ht="28" customHeight="1">
      <x:c r="A435" s="16" t="str">
        <x:v>Назаровская ГРЭС</x:v>
      </x:c>
      <x:c r="B435" s="16" t="str">
        <x:v>2000546972-V311</x:v>
      </x:c>
      <x:c r="C435" s="16" t="str">
        <x:v>ТЕХПЛАСТИНА 1000*1000 1Ф-I-МБС-С Г7338</x:v>
      </x:c>
      <x:c r="D435" s="16" t="str">
        <x:v>Проч резино-тех изд</x:v>
      </x:c>
      <x:c r="E435" s="16" t="str">
        <x:v>КГ</x:v>
      </x:c>
      <x:c r="F435" s="26" t="n">
        <x:v>7.2</x:v>
      </x:c>
      <x:c r="G435" s="17" t="n">
        <x:v>75.7864</x:v>
      </x:c>
      <x:c r="H435" s="17" t="n">
        <x:f>G435*F435</x:f>
        <x:v>545.6620800000001</x:v>
      </x:c>
      <x:c r="I435" s="22" t="str">
        <x:f>HYPERLINK("https://etp-aktiv.ru/catalog/materialy/rezino-tekhnicheskie-izdeliya/2000546972-V311/","Открыть позицию")</x:f>
        <x:v>Открыть позицию</x:v>
      </x:c>
    </x:row>
    <x:row r="436" ht="28" customHeight="1">
      <x:c r="A436" s="16" t="str">
        <x:v>Назаровская ГРЭС</x:v>
      </x:c>
      <x:c r="B436" s="16" t="str">
        <x:v>2000547050-V311</x:v>
      </x:c>
      <x:c r="C436" s="16" t="str">
        <x:v>ТЕХПЛАСТИНА 15 1Ф-I-ТМКЩ-С ГОСТ7338-90</x:v>
      </x:c>
      <x:c r="D436" s="16" t="str">
        <x:v>Проч резино-тех изд</x:v>
      </x:c>
      <x:c r="E436" s="16" t="str">
        <x:v>КГ</x:v>
      </x:c>
      <x:c r="F436" s="26" t="n">
        <x:v>6.9</x:v>
      </x:c>
      <x:c r="G436" s="17" t="n">
        <x:v>237.9976</x:v>
      </x:c>
      <x:c r="H436" s="17" t="n">
        <x:f>G436*F436</x:f>
        <x:v>1642.18344</x:v>
      </x:c>
      <x:c r="I436" s="22" t="str">
        <x:f>HYPERLINK("https://etp-aktiv.ru/catalog/materialy/rezino-tekhnicheskie-izdeliya/2000547050-V311/","Открыть позицию")</x:f>
        <x:v>Открыть позицию</x:v>
      </x:c>
    </x:row>
    <x:row r="437" ht="28" customHeight="1">
      <x:c r="A437" s="16" t="str">
        <x:v>Назаровская ГРЭС</x:v>
      </x:c>
      <x:c r="B437" s="16" t="str">
        <x:v>2000546971-V311</x:v>
      </x:c>
      <x:c r="C437" s="16" t="str">
        <x:v>ТЕХПЛАСТИНА 1Ф-1 ТМКЩ-С 40 ГОСТ7338-90</x:v>
      </x:c>
      <x:c r="D437" s="16" t="str">
        <x:v>Проч резино-тех изд</x:v>
      </x:c>
      <x:c r="E437" s="16" t="str">
        <x:v>КГ</x:v>
      </x:c>
      <x:c r="F437" s="26" t="n">
        <x:v>135.3</x:v>
      </x:c>
      <x:c r="G437" s="17" t="n">
        <x:v>46.4576</x:v>
      </x:c>
      <x:c r="H437" s="17" t="n">
        <x:f>G437*F437</x:f>
        <x:v>6285.713280000001</x:v>
      </x:c>
      <x:c r="I437" s="22" t="str">
        <x:f>HYPERLINK("https://etp-aktiv.ru/catalog/materialy/rezino-tekhnicheskie-izdeliya/2000546971-V311/","Открыть позицию")</x:f>
        <x:v>Открыть позицию</x:v>
      </x:c>
    </x:row>
    <x:row r="438" ht="28" customHeight="1">
      <x:c r="A438" s="16" t="str">
        <x:v>Назаровская ГРЭС</x:v>
      </x:c>
      <x:c r="B438" s="16" t="str">
        <x:v>2000547038-V311</x:v>
      </x:c>
      <x:c r="C438" s="16" t="str">
        <x:v>ТЕХПЛАСТИНА 2 1Н-I-МБС-С ГОСТ7338-90</x:v>
      </x:c>
      <x:c r="D438" s="16" t="str">
        <x:v>Проч резино-тех изд</x:v>
      </x:c>
      <x:c r="E438" s="16" t="str">
        <x:v>КГ</x:v>
      </x:c>
      <x:c r="F438" s="21" t="n">
        <x:v>8</x:v>
      </x:c>
      <x:c r="G438" s="17" t="n">
        <x:v>118.3888</x:v>
      </x:c>
      <x:c r="H438" s="17" t="n">
        <x:f>G438*F438</x:f>
        <x:v>947.1104</x:v>
      </x:c>
      <x:c r="I438" s="22" t="str">
        <x:f>HYPERLINK("https://etp-aktiv.ru/catalog/materialy/rezino-tekhnicheskie-izdeliya/2000547038-V311/","Открыть позицию")</x:f>
        <x:v>Открыть позицию</x:v>
      </x:c>
    </x:row>
    <x:row r="439" ht="28" customHeight="1">
      <x:c r="A439" s="16" t="str">
        <x:v>Назаровская ГРЭС</x:v>
      </x:c>
      <x:c r="B439" s="16" t="str">
        <x:v>2000547051-V311</x:v>
      </x:c>
      <x:c r="C439" s="16" t="str">
        <x:v>ТЕХПЛАСТИНА 20 1Ф-I-ТМКЩ-С ГОСТ7338-90</x:v>
      </x:c>
      <x:c r="D439" s="16" t="str">
        <x:v>Проч резино-тех изд</x:v>
      </x:c>
      <x:c r="E439" s="16" t="str">
        <x:v>КГ</x:v>
      </x:c>
      <x:c r="F439" s="26" t="n">
        <x:v>108.95</x:v>
      </x:c>
      <x:c r="G439" s="17" t="n">
        <x:v>70.455</x:v>
      </x:c>
      <x:c r="H439" s="17" t="n">
        <x:f>G439*F439</x:f>
        <x:v>7676.07225</x:v>
      </x:c>
      <x:c r="I439" s="22" t="str">
        <x:f>HYPERLINK("https://etp-aktiv.ru/catalog/materialy/rezino-tekhnicheskie-izdeliya/2000547051-V311/","Открыть позицию")</x:f>
        <x:v>Открыть позицию</x:v>
      </x:c>
    </x:row>
    <x:row r="440" ht="28" customHeight="1">
      <x:c r="A440" s="16" t="str">
        <x:v>Назаровская ГРЭС</x:v>
      </x:c>
      <x:c r="B440" s="16" t="str">
        <x:v>2000003366-V311</x:v>
      </x:c>
      <x:c r="C440" s="16" t="str">
        <x:v>ТЕХПЛАСТИНА 20*1000*1000 МБС-С ГОСТ7338</x:v>
      </x:c>
      <x:c r="D440" s="16" t="str">
        <x:v>Проч резино-тех изд</x:v>
      </x:c>
      <x:c r="E440" s="16" t="str">
        <x:v>КГ</x:v>
      </x:c>
      <x:c r="F440" s="26" t="n">
        <x:v>8.5</x:v>
      </x:c>
      <x:c r="G440" s="17" t="n">
        <x:v>45.5182</x:v>
      </x:c>
      <x:c r="H440" s="17" t="n">
        <x:f>G440*F440</x:f>
        <x:v>386.9047</x:v>
      </x:c>
      <x:c r="I440" s="22" t="str">
        <x:f>HYPERLINK("https://etp-aktiv.ru/catalog/materialy/rezino-tekhnicheskie-izdeliya/2000003366-V311/","Открыть позицию")</x:f>
        <x:v>Открыть позицию</x:v>
      </x:c>
    </x:row>
    <x:row r="441" ht="28" customHeight="1">
      <x:c r="A441" s="16" t="str">
        <x:v>Назаровская ГРЭС</x:v>
      </x:c>
      <x:c r="B441" s="16" t="str">
        <x:v>2000546976-V311</x:v>
      </x:c>
      <x:c r="C441" s="16" t="str">
        <x:v>ТЕХПЛАСТИНА 2ММ 1Ф-I-ТМКЩ-С ГОСТ7338-90</x:v>
      </x:c>
      <x:c r="D441" s="16" t="str">
        <x:v>Проч резино-тех изд</x:v>
      </x:c>
      <x:c r="E441" s="16" t="str">
        <x:v>КГ</x:v>
      </x:c>
      <x:c r="F441" s="26" t="n">
        <x:v>2.2</x:v>
      </x:c>
      <x:c r="G441" s="17" t="n">
        <x:v>138.7506</x:v>
      </x:c>
      <x:c r="H441" s="17" t="n">
        <x:f>G441*F441</x:f>
        <x:v>305.25132</x:v>
      </x:c>
      <x:c r="I441" s="22" t="str">
        <x:f>HYPERLINK("https://etp-aktiv.ru/catalog/materialy/rezino-tekhnicheskie-izdeliya/2000546976-V311/","Открыть позицию")</x:f>
        <x:v>Открыть позицию</x:v>
      </x:c>
    </x:row>
    <x:row r="442" ht="28" customHeight="1">
      <x:c r="A442" s="16" t="str">
        <x:v>Назаровская ГРЭС</x:v>
      </x:c>
      <x:c r="B442" s="16" t="str">
        <x:v>2000546989-V311</x:v>
      </x:c>
      <x:c r="C442" s="16" t="str">
        <x:v>ТЕХПЛАСТИНА 3 2Н-I-МБС-С ГОСТ7338-90</x:v>
      </x:c>
      <x:c r="D442" s="16" t="str">
        <x:v>Проч резино-тех изд</x:v>
      </x:c>
      <x:c r="E442" s="16" t="str">
        <x:v>КГ</x:v>
      </x:c>
      <x:c r="F442" s="30" t="n">
        <x:v>0.1</x:v>
      </x:c>
      <x:c r="G442" s="17" t="n">
        <x:v>80.642</x:v>
      </x:c>
      <x:c r="H442" s="17" t="n">
        <x:f>G442*F442</x:f>
        <x:v>8.0642</x:v>
      </x:c>
      <x:c r="I442" s="22" t="str">
        <x:f>HYPERLINK("https://etp-aktiv.ru/catalog/materialy/rezino-tekhnicheskie-izdeliya/2000546989-V311/","Открыть позицию")</x:f>
        <x:v>Открыть позицию</x:v>
      </x:c>
    </x:row>
    <x:row r="443" ht="28" customHeight="1">
      <x:c r="A443" s="16" t="str">
        <x:v>Назаровская ГРЭС</x:v>
      </x:c>
      <x:c r="B443" s="16" t="str">
        <x:v>2000145868-V311</x:v>
      </x:c>
      <x:c r="C443" s="16" t="str">
        <x:v>ТЕХПЛАСТИНА 3ММ МБС ГОСТ7338-90</x:v>
      </x:c>
      <x:c r="D443" s="16" t="str">
        <x:v>Проч резино-тех изд</x:v>
      </x:c>
      <x:c r="E443" s="16" t="str">
        <x:v>КГ</x:v>
      </x:c>
      <x:c r="F443" s="30" t="n">
        <x:v>0.2</x:v>
      </x:c>
      <x:c r="G443" s="17" t="n">
        <x:v>79.95880000000001</x:v>
      </x:c>
      <x:c r="H443" s="17" t="n">
        <x:f>G443*F443</x:f>
        <x:v>15.991760000000003</x:v>
      </x:c>
      <x:c r="I443" s="22" t="str">
        <x:f>HYPERLINK("https://etp-aktiv.ru/catalog/materialy/rezino-tekhnicheskie-izdeliya/2000145868-V311/","Открыть позицию")</x:f>
        <x:v>Открыть позицию</x:v>
      </x:c>
    </x:row>
    <x:row r="444" ht="28" customHeight="1">
      <x:c r="A444" s="16" t="str">
        <x:v>Назаровская ГРЭС</x:v>
      </x:c>
      <x:c r="B444" s="16" t="str">
        <x:v>2000547040-V311</x:v>
      </x:c>
      <x:c r="C444" s="16" t="str">
        <x:v>ТЕХПЛАСТИНА 4*1000*2000 1Н-I-МБС-С Г7338</x:v>
      </x:c>
      <x:c r="D444" s="16" t="str">
        <x:v>Проч резино-тех изд</x:v>
      </x:c>
      <x:c r="E444" s="16" t="str">
        <x:v>КГ</x:v>
      </x:c>
      <x:c r="F444" s="26" t="n">
        <x:v>5.6</x:v>
      </x:c>
      <x:c r="G444" s="17" t="n">
        <x:v>65.6726</x:v>
      </x:c>
      <x:c r="H444" s="17" t="n">
        <x:f>G444*F444</x:f>
        <x:v>367.76655999999997</x:v>
      </x:c>
      <x:c r="I444" s="22" t="str">
        <x:f>HYPERLINK("https://etp-aktiv.ru/catalog/materialy/rezino-tekhnicheskie-izdeliya/2000547040-V311/","Открыть позицию")</x:f>
        <x:v>Открыть позицию</x:v>
      </x:c>
    </x:row>
    <x:row r="445" ht="28" customHeight="1">
      <x:c r="A445" s="16" t="str">
        <x:v>Назаровская ГРЭС</x:v>
      </x:c>
      <x:c r="B445" s="16" t="str">
        <x:v>2000185728-V311</x:v>
      </x:c>
      <x:c r="C445" s="16" t="str">
        <x:v>ТЕХПЛАСТИНА 4ММ ТМКЩ ГОСТ7338-90</x:v>
      </x:c>
      <x:c r="D445" s="16" t="str">
        <x:v>Проч резино-тех изд</x:v>
      </x:c>
      <x:c r="E445" s="16" t="str">
        <x:v>КГ</x:v>
      </x:c>
      <x:c r="F445" s="26" t="n">
        <x:v>28.5</x:v>
      </x:c>
      <x:c r="G445" s="17" t="n">
        <x:v>67.1854</x:v>
      </x:c>
      <x:c r="H445" s="17" t="n">
        <x:f>G445*F445</x:f>
        <x:v>1914.7839000000001</x:v>
      </x:c>
      <x:c r="I445" s="22" t="str">
        <x:f>HYPERLINK("https://etp-aktiv.ru/catalog/materialy/rezino-tekhnicheskie-izdeliya/2000185728-V311/","Открыть позицию")</x:f>
        <x:v>Открыть позицию</x:v>
      </x:c>
    </x:row>
    <x:row r="446" ht="28" customHeight="1">
      <x:c r="A446" s="16" t="str">
        <x:v>Назаровская ГРЭС</x:v>
      </x:c>
      <x:c r="B446" s="16" t="str">
        <x:v>2000546987-V311</x:v>
      </x:c>
      <x:c r="C446" s="16" t="str">
        <x:v>ТЕХПЛАСТИНА 6 2Н-I-МБС-С ГОСТ7338-90</x:v>
      </x:c>
      <x:c r="D446" s="16" t="str">
        <x:v>Проч резино-тех изд</x:v>
      </x:c>
      <x:c r="E446" s="16" t="str">
        <x:v>КГ</x:v>
      </x:c>
      <x:c r="F446" s="26" t="n">
        <x:v>15.1</x:v>
      </x:c>
      <x:c r="G446" s="17" t="n">
        <x:v>47.946</x:v>
      </x:c>
      <x:c r="H446" s="17" t="n">
        <x:f>G446*F446</x:f>
        <x:v>723.9846</x:v>
      </x:c>
      <x:c r="I446" s="22" t="str">
        <x:f>HYPERLINK("https://etp-aktiv.ru/catalog/materialy/rezino-tekhnicheskie-izdeliya/2000546987-V311/","Открыть позицию")</x:f>
        <x:v>Открыть позицию</x:v>
      </x:c>
    </x:row>
    <x:row r="447" ht="28" customHeight="1">
      <x:c r="A447" s="16" t="str">
        <x:v>Назаровская ГРЭС</x:v>
      </x:c>
      <x:c r="B447" s="16" t="str">
        <x:v>2000546977-V311</x:v>
      </x:c>
      <x:c r="C447" s="16" t="str">
        <x:v>ТЕХПЛАСТИНА 6ММ 2H-I ТМКЩ-С ГОСТ7338-90</x:v>
      </x:c>
      <x:c r="D447" s="16" t="str">
        <x:v>Проч резино-тех изд</x:v>
      </x:c>
      <x:c r="E447" s="16" t="str">
        <x:v>КГ</x:v>
      </x:c>
      <x:c r="F447" s="26" t="n">
        <x:v>1.2</x:v>
      </x:c>
      <x:c r="G447" s="17" t="n">
        <x:v>65.6482</x:v>
      </x:c>
      <x:c r="H447" s="17" t="n">
        <x:f>G447*F447</x:f>
        <x:v>78.77784</x:v>
      </x:c>
      <x:c r="I447" s="22" t="str">
        <x:f>HYPERLINK("https://etp-aktiv.ru/catalog/materialy/rezino-tekhnicheskie-izdeliya/2000546977-V311/","Открыть позицию")</x:f>
        <x:v>Открыть позицию</x:v>
      </x:c>
    </x:row>
    <x:row r="448" ht="28" customHeight="1">
      <x:c r="A448" s="16" t="str">
        <x:v>Назаровская ГРЭС</x:v>
      </x:c>
      <x:c r="B448" s="16" t="str">
        <x:v>2000888936-V311</x:v>
      </x:c>
      <x:c r="C448" s="16" t="str">
        <x:v>ЦИЛИНДР БАЗАЛЬТОВЫЙ ЦТЭ-150 D159*40</x:v>
      </x:c>
      <x:c r="D448" s="16" t="str">
        <x:v>Теплоизоляция</x:v>
      </x:c>
      <x:c r="E448" s="16" t="str">
        <x:v>М3</x:v>
      </x:c>
      <x:c r="F448" s="30" t="n">
        <x:v>0.6</x:v>
      </x:c>
      <x:c r="G448" s="17" t="n">
        <x:v>13045.618599999998</x:v>
      </x:c>
      <x:c r="H448" s="17" t="n">
        <x:f>G448*F448</x:f>
        <x:v>7827.371159999999</x:v>
      </x:c>
      <x:c r="I448" s="22" t="str">
        <x:f>HYPERLINK("https://etp-aktiv.ru/catalog/materialy/teploizolyaciya/2000888936-V311/","Открыть позицию")</x:f>
        <x:v>Открыть позицию</x:v>
      </x:c>
    </x:row>
    <x:row r="449" ht="28" customHeight="1">
      <x:c r="A449" s="16" t="str">
        <x:v>Назаровская ГРЭС</x:v>
      </x:c>
      <x:c r="B449" s="16" t="str">
        <x:v>2000888935-V311</x:v>
      </x:c>
      <x:c r="C449" s="16" t="str">
        <x:v>ЦИЛИНДР БАЗАЛЬТОВЫЙ ЦТЭ-150 D219*40</x:v>
      </x:c>
      <x:c r="D449" s="16" t="str">
        <x:v>Теплоизоляция</x:v>
      </x:c>
      <x:c r="E449" s="16" t="str">
        <x:v>М3</x:v>
      </x:c>
      <x:c r="F449" s="30" t="n">
        <x:v>0.231</x:v>
      </x:c>
      <x:c r="G449" s="17" t="n">
        <x:v>13045.618599999998</x:v>
      </x:c>
      <x:c r="H449" s="17" t="n">
        <x:f>G449*F449</x:f>
        <x:v>3013.5378966</x:v>
      </x:c>
      <x:c r="I449" s="22" t="str">
        <x:f>HYPERLINK("https://etp-aktiv.ru/catalog/materialy/teploizolyaciya/2000888935-V311/","Открыть позицию")</x:f>
        <x:v>Открыть позицию</x:v>
      </x:c>
    </x:row>
    <x:row r="450" ht="28" customHeight="1">
      <x:c r="A450" s="16" t="str">
        <x:v>Назаровская ГРЭС</x:v>
      </x:c>
      <x:c r="B450" s="16" t="str">
        <x:v>2000610822-V311</x:v>
      </x:c>
      <x:c r="C450" s="16" t="str">
        <x:v>ЦИЛИНДР ЦТЭ 150 D57*40</x:v>
      </x:c>
      <x:c r="D450" s="16" t="str">
        <x:v>Теплоизоляция</x:v>
      </x:c>
      <x:c r="E450" s="16" t="str">
        <x:v>М3</x:v>
      </x:c>
      <x:c r="F450" s="30" t="n">
        <x:v>0.084</x:v>
      </x:c>
      <x:c r="G450" s="17" t="n">
        <x:v>12459.518399999999</x:v>
      </x:c>
      <x:c r="H450" s="17" t="n">
        <x:f>G450*F450</x:f>
        <x:v>1046.5995456</x:v>
      </x:c>
      <x:c r="I450" s="22" t="str">
        <x:f>HYPERLINK("https://etp-aktiv.ru/catalog/materialy/teploizolyaciya/2000610822-V311/","Открыть позицию")</x:f>
        <x:v>Открыть позицию</x:v>
      </x:c>
    </x:row>
    <x:row r="451" ht="28" customHeight="1">
      <x:c r="A451" s="16" t="str">
        <x:v>Назаровская ГРЭС</x:v>
      </x:c>
      <x:c r="B451" s="16" t="str">
        <x:v>2000610823-V311</x:v>
      </x:c>
      <x:c r="C451" s="16" t="str">
        <x:v>ЦИЛИНДР ЦТЭ 150 D76*40</x:v>
      </x:c>
      <x:c r="D451" s="16" t="str">
        <x:v>Теплоизоляция</x:v>
      </x:c>
      <x:c r="E451" s="16" t="str">
        <x:v>М3</x:v>
      </x:c>
      <x:c r="F451" s="26" t="n">
        <x:v>1.02</x:v>
      </x:c>
      <x:c r="G451" s="17" t="n">
        <x:v>12425.248599999999</x:v>
      </x:c>
      <x:c r="H451" s="17" t="n">
        <x:f>G451*F451</x:f>
        <x:v>12673.753572</x:v>
      </x:c>
      <x:c r="I451" s="22" t="str">
        <x:f>HYPERLINK("https://etp-aktiv.ru/catalog/materialy/teploizolyaciya/2000610823-V311/","Открыть позицию")</x:f>
        <x:v>Открыть позицию</x:v>
      </x:c>
    </x:row>
    <x:row r="452" ht="28" customHeight="1">
      <x:c r="A452" s="16" t="str">
        <x:v>Назаровская ГРЭС</x:v>
      </x:c>
      <x:c r="B452" s="16" t="str">
        <x:v>2000548836-V311</x:v>
      </x:c>
      <x:c r="C452" s="16" t="str">
        <x:v>ЦИЛИНДР ЦТЭ-150 D108*40</x:v>
      </x:c>
      <x:c r="D452" s="16" t="str">
        <x:v>Теплоизоляция</x:v>
      </x:c>
      <x:c r="E452" s="16" t="str">
        <x:v>М3</x:v>
      </x:c>
      <x:c r="F452" s="30" t="n">
        <x:v>0.057</x:v>
      </x:c>
      <x:c r="G452" s="17" t="n">
        <x:v>13079.925</x:v>
      </x:c>
      <x:c r="H452" s="17" t="n">
        <x:f>G452*F452</x:f>
        <x:v>745.5557249999999</x:v>
      </x:c>
      <x:c r="I452" s="22" t="str">
        <x:f>HYPERLINK("https://etp-aktiv.ru/catalog/materialy/teploizolyaciya/2000548836-V311/","Открыть позицию")</x:f>
        <x:v>Открыть позицию</x:v>
      </x:c>
    </x:row>
    <x:row r="453" ht="28" customHeight="1">
      <x:c r="A453" s="16" t="str">
        <x:v>Назаровская ГРЭС</x:v>
      </x:c>
      <x:c r="B453" s="16" t="str">
        <x:v>2000548834-V311</x:v>
      </x:c>
      <x:c r="C453" s="16" t="str">
        <x:v>ЦИЛИНДР ЦТЭ-150 D89*40</x:v>
      </x:c>
      <x:c r="D453" s="16" t="str">
        <x:v>Теплоизоляция</x:v>
      </x:c>
      <x:c r="E453" s="16" t="str">
        <x:v>М3</x:v>
      </x:c>
      <x:c r="F453" s="26" t="n">
        <x:v>1.676</x:v>
      </x:c>
      <x:c r="G453" s="17" t="n">
        <x:v>13079.925</x:v>
      </x:c>
      <x:c r="H453" s="17" t="n">
        <x:f>G453*F453</x:f>
        <x:v>21921.954299999998</x:v>
      </x:c>
      <x:c r="I453" s="22" t="str">
        <x:f>HYPERLINK("https://etp-aktiv.ru/catalog/materialy/teploizolyaciya/2000548834-V311/","Открыть позицию")</x:f>
        <x:v>Открыть позицию</x:v>
      </x:c>
    </x:row>
    <x:row r="454" ht="28" customHeight="1">
      <x:c r="A454" s="16" t="str">
        <x:v>Назаровская ГРЭС</x:v>
      </x:c>
      <x:c r="B454" s="16" t="str">
        <x:v>2000632221-V311</x:v>
      </x:c>
      <x:c r="C454" s="16" t="str">
        <x:v>ШНУР 12*12 ТУ38.105.108-76</x:v>
      </x:c>
      <x:c r="D454" s="16" t="str">
        <x:v>Проч резино-тех изд</x:v>
      </x:c>
      <x:c r="E454" s="16" t="str">
        <x:v>КГ</x:v>
      </x:c>
      <x:c r="F454" s="26" t="n">
        <x:v>11.025</x:v>
      </x:c>
      <x:c r="G454" s="17" t="n">
        <x:v>156.9896</x:v>
      </x:c>
      <x:c r="H454" s="17" t="n">
        <x:f>G454*F454</x:f>
        <x:v>1730.81034</x:v>
      </x:c>
      <x:c r="I454" s="22" t="str">
        <x:f>HYPERLINK("https://etp-aktiv.ru/catalog/materialy/rezino-tekhnicheskie-izdeliya/2000632221-V311/","Открыть позицию")</x:f>
        <x:v>Открыть позицию</x:v>
      </x:c>
    </x:row>
    <x:row r="455" ht="28" customHeight="1">
      <x:c r="A455" s="16" t="str">
        <x:v>Назаровская ГРЭС</x:v>
      </x:c>
      <x:c r="B455" s="16" t="str">
        <x:v>2000546762-V311</x:v>
      </x:c>
      <x:c r="C455" s="16" t="str">
        <x:v>ШНУР РЕЗ 1,2C 3 ГОСТ6467-79</x:v>
      </x:c>
      <x:c r="D455" s="16" t="str">
        <x:v>Проч резино-тех изд</x:v>
      </x:c>
      <x:c r="E455" s="16" t="str">
        <x:v>КГ</x:v>
      </x:c>
      <x:c r="F455" s="26" t="n">
        <x:v>1.85</x:v>
      </x:c>
      <x:c r="G455" s="17" t="n">
        <x:v>161.69879999999998</x:v>
      </x:c>
      <x:c r="H455" s="17" t="n">
        <x:f>G455*F455</x:f>
        <x:v>299.14277999999996</x:v>
      </x:c>
      <x:c r="I455" s="22" t="str">
        <x:f>HYPERLINK("https://etp-aktiv.ru/catalog/materialy/rezino-tekhnicheskie-izdeliya/2000546762-V311/","Открыть позицию")</x:f>
        <x:v>Открыть позицию</x:v>
      </x:c>
    </x:row>
    <x:row r="456" ht="28" customHeight="1">
      <x:c r="A456" s="16" t="str">
        <x:v>Назаровская ГРЭС</x:v>
      </x:c>
      <x:c r="B456" s="16" t="str">
        <x:v>2000546767-V311</x:v>
      </x:c>
      <x:c r="C456" s="16" t="str">
        <x:v>ШНУР РЕЗ 1,4C 10 ГОСТ6467-79</x:v>
      </x:c>
      <x:c r="D456" s="16" t="str">
        <x:v>Проч резино-тех изд</x:v>
      </x:c>
      <x:c r="E456" s="16" t="str">
        <x:v>КГ</x:v>
      </x:c>
      <x:c r="F456" s="26" t="n">
        <x:v>1.1</x:v>
      </x:c>
      <x:c r="G456" s="17" t="n">
        <x:v>141.6786</x:v>
      </x:c>
      <x:c r="H456" s="17" t="n">
        <x:f>G456*F456</x:f>
        <x:v>155.84646</x:v>
      </x:c>
      <x:c r="I456" s="22" t="str">
        <x:f>HYPERLINK("https://etp-aktiv.ru/catalog/materialy/rezino-tekhnicheskie-izdeliya/2000546767-V311/","Открыть позицию")</x:f>
        <x:v>Открыть позицию</x:v>
      </x:c>
    </x:row>
    <x:row r="457" ht="28" customHeight="1">
      <x:c r="A457" s="16" t="str">
        <x:v>Назаровская ГРЭС</x:v>
      </x:c>
      <x:c r="B457" s="16" t="str">
        <x:v>2000546787-V311</x:v>
      </x:c>
      <x:c r="C457" s="16" t="str">
        <x:v>ШНУР РЕЗ. 1-1М 10,0 ГОСТ6467-79</x:v>
      </x:c>
      <x:c r="D457" s="16" t="str">
        <x:v>Проч резино-тех изд</x:v>
      </x:c>
      <x:c r="E457" s="16" t="str">
        <x:v>КГ</x:v>
      </x:c>
      <x:c r="F457" s="30" t="n">
        <x:v>0.4</x:v>
      </x:c>
      <x:c r="G457" s="17" t="n">
        <x:v>90.99980000000001</x:v>
      </x:c>
      <x:c r="H457" s="17" t="n">
        <x:f>G457*F457</x:f>
        <x:v>36.39992</x:v>
      </x:c>
      <x:c r="I457" s="22" t="str">
        <x:f>HYPERLINK("https://etp-aktiv.ru/catalog/materialy/rezino-tekhnicheskie-izdeliya/2000546787-V311/","Открыть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f5ca7971a9f54edb"/>
  </x:tableParts>
</x:worksheet>
</file>

<file path=xl/worksheets/sheet1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Химические материалы, ЛКМ и лаборатория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Красноярская ГРЭС-2</x:v>
      </x:c>
      <x:c r="B5" s="16" t="str">
        <x:v>2000020746-V116</x:v>
      </x:c>
      <x:c r="C5" s="16" t="str">
        <x:v>БУРА ТЕХНИЧЕСКАЯ ГОСТ8429-77</x:v>
      </x:c>
      <x:c r="D5" s="16" t="str">
        <x:v>Химические реактивы</x:v>
      </x:c>
      <x:c r="E5" s="16" t="str">
        <x:v>КГ</x:v>
      </x:c>
      <x:c r="F5" s="26" t="n">
        <x:v>48.7</x:v>
      </x:c>
      <x:c r="G5" s="17" t="n">
        <x:v>89.6456</x:v>
      </x:c>
      <x:c r="H5" s="17" t="n">
        <x:f>G5*F5</x:f>
        <x:v>4365.740720000001</x:v>
      </x:c>
      <x:c r="I5" s="22" t="str">
        <x:f>HYPERLINK("https://etp-aktiv.ru/catalog/materialy/himicheskaya-produkciya/2000020746-V116/","Открыть позицию")</x:f>
        <x:v>Открыть позицию</x:v>
      </x:c>
    </x:row>
    <x:row r="6" ht="28" customHeight="1">
      <x:c r="A6" s="16" t="str">
        <x:v>Красноярская ГРЭС-2</x:v>
      </x:c>
      <x:c r="B6" s="16" t="str">
        <x:v>2000604287-V116</x:v>
      </x:c>
      <x:c r="C6" s="16" t="str">
        <x:v>ГАЗ ФРЕОН R22 БАЛЛОН 13,6КГ</x:v>
      </x:c>
      <x:c r="D6" s="16" t="str">
        <x:v>Промышленные газы</x:v>
      </x:c>
      <x:c r="E6" s="16" t="str">
        <x:v>ШТ</x:v>
      </x:c>
      <x:c r="F6" s="21" t="n">
        <x:v>8</x:v>
      </x:c>
      <x:c r="G6" s="17" t="n">
        <x:v>6766.425</x:v>
      </x:c>
      <x:c r="H6" s="17" t="n">
        <x:f>G6*F6</x:f>
        <x:v>54131.4</x:v>
      </x:c>
      <x:c r="I6" s="22" t="str">
        <x:f>HYPERLINK("https://etp-aktiv.ru/catalog/materialy/himicheskaya-produkciya/2000604287-V116/","Открыть позицию")</x:f>
        <x:v>Открыть позицию</x:v>
      </x:c>
    </x:row>
    <x:row r="7" ht="28" customHeight="1">
      <x:c r="A7" s="16" t="str">
        <x:v>Красноярская ГРЭС-2</x:v>
      </x:c>
      <x:c r="B7" s="16" t="str">
        <x:v>2000158162-V116</x:v>
      </x:c>
      <x:c r="C7" s="16" t="str">
        <x:v>ГЛИЦЕРИН Д-98 ДИСТИЛЛИРОВ ГОСТ6824-96</x:v>
      </x:c>
      <x:c r="D7" s="16" t="str">
        <x:v>Проч химич материалы</x:v>
      </x:c>
      <x:c r="E7" s="16" t="str">
        <x:v>КГ</x:v>
      </x:c>
      <x:c r="F7" s="21" t="n">
        <x:v>8</x:v>
      </x:c>
      <x:c r="G7" s="17" t="n">
        <x:v>105.81060000000001</x:v>
      </x:c>
      <x:c r="H7" s="17" t="n">
        <x:f>G7*F7</x:f>
        <x:v>846.4848000000001</x:v>
      </x:c>
      <x:c r="I7" s="22" t="str">
        <x:f>HYPERLINK("https://etp-aktiv.ru/catalog/materialy/himicheskaya-produkciya/2000158162-V116/","Открыть позицию")</x:f>
        <x:v>Открыть позицию</x:v>
      </x:c>
    </x:row>
    <x:row r="8" ht="28" customHeight="1">
      <x:c r="A8" s="16" t="str">
        <x:v>Красноярская ГРЭС-2</x:v>
      </x:c>
      <x:c r="B8" s="16" t="str">
        <x:v>2000302336-V116</x:v>
      </x:c>
      <x:c r="C8" s="16" t="str">
        <x:v>ГРАФИТ КРИСТАЛЛИЧЕСКИЙ ЛИТЕЙНЫЙ ГЛ-1</x:v>
      </x:c>
      <x:c r="D8" s="16" t="str">
        <x:v>Проч химич материалы</x:v>
      </x:c>
      <x:c r="E8" s="16" t="str">
        <x:v>Т</x:v>
      </x:c>
      <x:c r="F8" s="30" t="n">
        <x:v>0.128</x:v>
      </x:c>
      <x:c r="G8" s="17" t="n">
        <x:v>84763.1844</x:v>
      </x:c>
      <x:c r="H8" s="17" t="n">
        <x:f>G8*F8</x:f>
        <x:v>10849.6876032</x:v>
      </x:c>
      <x:c r="I8" s="22" t="str">
        <x:f>HYPERLINK("https://etp-aktiv.ru/catalog/materialy/himicheskaya-produkciya/2000302336-V116/","Открыть позицию")</x:f>
        <x:v>Открыть позицию</x:v>
      </x:c>
    </x:row>
    <x:row r="9" ht="28" customHeight="1">
      <x:c r="A9" s="16" t="str">
        <x:v>Красноярская ГРЭС-2</x:v>
      </x:c>
      <x:c r="B9" s="16" t="str">
        <x:v>2000816638-V116</x:v>
      </x:c>
      <x:c r="C9" s="16" t="str">
        <x:v>ГРУНТ-ЭМАЛЬ РИФОМЕТ-ПГЛ RAL9005</x:v>
      </x:c>
      <x:c r="D9" s="16" t="str">
        <x:v>Лакокрасоч материалы</x:v>
      </x:c>
      <x:c r="E9" s="16" t="str">
        <x:v>КГ</x:v>
      </x:c>
      <x:c r="F9" s="21" t="n">
        <x:v>75</x:v>
      </x:c>
      <x:c r="G9" s="17" t="n">
        <x:v>264.06899999999996</x:v>
      </x:c>
      <x:c r="H9" s="17" t="n">
        <x:f>G9*F9</x:f>
        <x:v>19805.174999999996</x:v>
      </x:c>
      <x:c r="I9" s="22" t="str">
        <x:f>HYPERLINK("https://etp-aktiv.ru/catalog/materialy/lakokrasochnye-materialy/2000816638-V116/","Открыть позицию")</x:f>
        <x:v>Открыть позицию</x:v>
      </x:c>
    </x:row>
    <x:row r="10" ht="28" customHeight="1">
      <x:c r="A10" s="16" t="str">
        <x:v>Красноярская ГРЭС-2</x:v>
      </x:c>
      <x:c r="B10" s="16" t="str">
        <x:v>2000466955-V116</x:v>
      </x:c>
      <x:c r="C10" s="16" t="str">
        <x:v>ЖИДКОСТЬ Д/СНЯТИЯ КРАСКИ СК</x:v>
      </x:c>
      <x:c r="D10" s="16" t="str">
        <x:v>Проч химич материалы</x:v>
      </x:c>
      <x:c r="E10" s="16" t="str">
        <x:v>Л</x:v>
      </x:c>
      <x:c r="F10" s="21" t="n">
        <x:v>10</x:v>
      </x:c>
      <x:c r="G10" s="17" t="n">
        <x:v>140.971</x:v>
      </x:c>
      <x:c r="H10" s="17" t="n">
        <x:f>G10*F10</x:f>
        <x:v>1409.71</x:v>
      </x:c>
      <x:c r="I10" s="22" t="str">
        <x:f>HYPERLINK("https://etp-aktiv.ru/catalog/materialy/himicheskaya-produkciya/2000466955-V116/","Открыть позицию")</x:f>
        <x:v>Открыть позицию</x:v>
      </x:c>
    </x:row>
    <x:row r="11" ht="28" customHeight="1">
      <x:c r="A11" s="16" t="str">
        <x:v>Красноярская ГРЭС-2</x:v>
      </x:c>
      <x:c r="B11" s="16" t="str">
        <x:v>2000736839-V116</x:v>
      </x:c>
      <x:c r="C11" s="16" t="str">
        <x:v>КОКС ЛИТЕЙНЫЙ КЛ-1 60+ ГОСТ3340-88</x:v>
      </x:c>
      <x:c r="D11" s="16" t="str">
        <x:v>Проч химич материалы</x:v>
      </x:c>
      <x:c r="E11" s="16" t="str">
        <x:v>Т</x:v>
      </x:c>
      <x:c r="F11" s="30" t="n">
        <x:v>0.5</x:v>
      </x:c>
      <x:c r="G11" s="17" t="n">
        <x:v>83379.375</x:v>
      </x:c>
      <x:c r="H11" s="17" t="n">
        <x:f>G11*F11</x:f>
        <x:v>41689.6875</x:v>
      </x:c>
      <x:c r="I11" s="22" t="str">
        <x:f>HYPERLINK("https://etp-aktiv.ru/catalog/materialy/himicheskaya-produkciya/2000736839-V116/","Открыть позицию")</x:f>
        <x:v>Открыть позицию</x:v>
      </x:c>
    </x:row>
    <x:row r="12" ht="28" customHeight="1">
      <x:c r="A12" s="16" t="str">
        <x:v>Красноярская ГРЭС-2</x:v>
      </x:c>
      <x:c r="B12" s="16" t="str">
        <x:v>2000692010-V116</x:v>
      </x:c>
      <x:c r="C12" s="16" t="str">
        <x:v>КРАСКА ВОДОЭМУЛЬСИОННАЯ ЭВА-27А БЕЛАЯ</x:v>
      </x:c>
      <x:c r="D12" s="16" t="str">
        <x:v>Лакокрасоч материалы</x:v>
      </x:c>
      <x:c r="E12" s="16" t="str">
        <x:v>КГ</x:v>
      </x:c>
      <x:c r="F12" s="21" t="n">
        <x:v>10</x:v>
      </x:c>
      <x:c r="G12" s="17" t="n">
        <x:v>70.1134</x:v>
      </x:c>
      <x:c r="H12" s="17" t="n">
        <x:f>G12*F12</x:f>
        <x:v>701.134</x:v>
      </x:c>
      <x:c r="I12" s="22" t="str">
        <x:f>HYPERLINK("https://etp-aktiv.ru/catalog/materialy/lakokrasochnye-materialy/2000692010-V116/","Открыть позицию")</x:f>
        <x:v>Открыть позицию</x:v>
      </x:c>
    </x:row>
    <x:row r="13" ht="28" customHeight="1">
      <x:c r="A13" s="16" t="str">
        <x:v>Красноярская ГРЭС-2</x:v>
      </x:c>
      <x:c r="B13" s="16" t="str">
        <x:v>2000229261-V116</x:v>
      </x:c>
      <x:c r="C13" s="16" t="str">
        <x:v>КУПОРОС МЕДНЫЙ МАРКА А ГОСТ19347-99</x:v>
      </x:c>
      <x:c r="D13" s="16" t="str">
        <x:v>Химические реактивы</x:v>
      </x:c>
      <x:c r="E13" s="16" t="str">
        <x:v>Т</x:v>
      </x:c>
      <x:c r="F13" s="30" t="n">
        <x:v>0.002</x:v>
      </x:c>
      <x:c r="G13" s="17" t="n">
        <x:v>209306.25</x:v>
      </x:c>
      <x:c r="H13" s="17" t="n">
        <x:f>G13*F13</x:f>
        <x:v>418.6125</x:v>
      </x:c>
      <x:c r="I13" s="22" t="str">
        <x:f>HYPERLINK("https://etp-aktiv.ru/catalog/materialy/himicheskaya-produkciya/2000229261-V116/","Открыть позицию")</x:f>
        <x:v>Открыть позицию</x:v>
      </x:c>
    </x:row>
    <x:row r="14" ht="28" customHeight="1">
      <x:c r="A14" s="16" t="str">
        <x:v>Красноярская ГРЭС-2</x:v>
      </x:c>
      <x:c r="B14" s="16" t="str">
        <x:v>2000211854-V116</x:v>
      </x:c>
      <x:c r="C14" s="16" t="str">
        <x:v>МАСЛО ИНДУСТРИАЛЬНОЕ И-30А</x:v>
      </x:c>
      <x:c r="D14" s="16" t="str">
        <x:v>Масла и смазки</x:v>
      </x:c>
      <x:c r="E14" s="16" t="str">
        <x:v>КГ</x:v>
      </x:c>
      <x:c r="F14" s="21" t="n">
        <x:v>130</x:v>
      </x:c>
      <x:c r="G14" s="17" t="n">
        <x:v>104.9932</x:v>
      </x:c>
      <x:c r="H14" s="17" t="n">
        <x:f>G14*F14</x:f>
        <x:v>13649.116</x:v>
      </x:c>
      <x:c r="I14" s="22" t="str">
        <x:f>HYPERLINK("https://etp-aktiv.ru/catalog/materialy/gsm/2000211854-V116/","Открыть позицию")</x:f>
        <x:v>Открыть позицию</x:v>
      </x:c>
    </x:row>
    <x:row r="15" ht="28" customHeight="1">
      <x:c r="A15" s="16" t="str">
        <x:v>Красноярская ГРЭС-2</x:v>
      </x:c>
      <x:c r="B15" s="16" t="str">
        <x:v>2000211857-V116</x:v>
      </x:c>
      <x:c r="C15" s="16" t="str">
        <x:v>МАСЛО ИНДУСТРИАЛЬНОЕ И-50А</x:v>
      </x:c>
      <x:c r="D15" s="16" t="str">
        <x:v>Масла и смазки</x:v>
      </x:c>
      <x:c r="E15" s="16" t="str">
        <x:v>КГ</x:v>
      </x:c>
      <x:c r="F15" s="21" t="n">
        <x:v>29</x:v>
      </x:c>
      <x:c r="G15" s="17" t="n">
        <x:v>57.644999999999996</x:v>
      </x:c>
      <x:c r="H15" s="17" t="n">
        <x:f>G15*F15</x:f>
        <x:v>1671.705</x:v>
      </x:c>
      <x:c r="I15" s="22" t="str">
        <x:f>HYPERLINK("https://etp-aktiv.ru/catalog/materialy/gsm/2000211857-V116/","Открыть позицию")</x:f>
        <x:v>Открыть позицию</x:v>
      </x:c>
    </x:row>
    <x:row r="16" ht="28" customHeight="1">
      <x:c r="A16" s="16" t="str">
        <x:v>Красноярская ГРЭС-2</x:v>
      </x:c>
      <x:c r="B16" s="16" t="str">
        <x:v>2000033126-V116</x:v>
      </x:c>
      <x:c r="C16" s="16" t="str">
        <x:v>ПАСТА ГОИ ТУ6-18-36-85</x:v>
      </x:c>
      <x:c r="D16" s="16" t="str">
        <x:v>Проч химич материалы</x:v>
      </x:c>
      <x:c r="E16" s="16" t="str">
        <x:v>КГ</x:v>
      </x:c>
      <x:c r="F16" s="30" t="n">
        <x:v>0.94</x:v>
      </x:c>
      <x:c r="G16" s="17" t="n">
        <x:v>175.96059999999997</x:v>
      </x:c>
      <x:c r="H16" s="17" t="n">
        <x:f>G16*F16</x:f>
        <x:v>165.40296399999997</x:v>
      </x:c>
      <x:c r="I16" s="22" t="str">
        <x:f>HYPERLINK("https://etp-aktiv.ru/catalog/materialy/himicheskaya-produkciya/2000033126-V116/","Открыть позицию")</x:f>
        <x:v>Открыть позицию</x:v>
      </x:c>
    </x:row>
    <x:row r="17" ht="28" customHeight="1">
      <x:c r="A17" s="16" t="str">
        <x:v>Красноярская ГРЭС-2</x:v>
      </x:c>
      <x:c r="B17" s="16" t="str">
        <x:v>2000148856-V116</x:v>
      </x:c>
      <x:c r="C17" s="16" t="str">
        <x:v>РАСТВОРИТЕЛЬ Р-4</x:v>
      </x:c>
      <x:c r="D17" s="16" t="str">
        <x:v>Лакокрасоч материалы</x:v>
      </x:c>
      <x:c r="E17" s="16" t="str">
        <x:v>КГ</x:v>
      </x:c>
      <x:c r="F17" s="26" t="n">
        <x:v>14.8</x:v>
      </x:c>
      <x:c r="G17" s="17" t="n">
        <x:v>79.1292</x:v>
      </x:c>
      <x:c r="H17" s="17" t="n">
        <x:f>G17*F17</x:f>
        <x:v>1171.11216</x:v>
      </x:c>
      <x:c r="I17" s="22" t="str">
        <x:f>HYPERLINK("https://etp-aktiv.ru/catalog/materialy/lakokrasochnye-materialy/2000148856-V116/","Открыть позицию")</x:f>
        <x:v>Открыть позицию</x:v>
      </x:c>
    </x:row>
    <x:row r="18" ht="28" customHeight="1">
      <x:c r="A18" s="16" t="str">
        <x:v>Красноярская ГРЭС-2</x:v>
      </x:c>
      <x:c r="B18" s="16" t="str">
        <x:v>2000690837-V116</x:v>
      </x:c>
      <x:c r="C18" s="16" t="str">
        <x:v>СВЯЗКА АЛЮМОХРОМФОСФАТНАЯ АХФС ТУ6-18-16</x:v>
      </x:c>
      <x:c r="D18" s="16" t="str">
        <x:v>Проч химич материалы</x:v>
      </x:c>
      <x:c r="E18" s="16" t="str">
        <x:v>КГ</x:v>
      </x:c>
      <x:c r="F18" s="21" t="n">
        <x:v>210</x:v>
      </x:c>
      <x:c r="G18" s="17" t="n">
        <x:v>583.892</x:v>
      </x:c>
      <x:c r="H18" s="17" t="n">
        <x:f>G18*F18</x:f>
        <x:v>122617.32</x:v>
      </x:c>
      <x:c r="I18" s="22" t="str">
        <x:f>HYPERLINK("https://etp-aktiv.ru/catalog/materialy/himicheskaya-produkciya/2000690837-V116/","Открыть позицию")</x:f>
        <x:v>Открыть позицию</x:v>
      </x:c>
    </x:row>
    <x:row r="19" ht="28" customHeight="1">
      <x:c r="A19" s="16" t="str">
        <x:v>Красноярская ГРЭС-2</x:v>
      </x:c>
      <x:c r="B19" s="16" t="str">
        <x:v>2000457764-V116</x:v>
      </x:c>
      <x:c r="C19" s="16" t="str">
        <x:v>СМАЗКА ГРАФИТНАЯ Ж</x:v>
      </x:c>
      <x:c r="D19" s="16" t="str">
        <x:v>Масла и смазки</x:v>
      </x:c>
      <x:c r="E19" s="16" t="str">
        <x:v>КГ</x:v>
      </x:c>
      <x:c r="F19" s="26" t="n">
        <x:v>114.4</x:v>
      </x:c>
      <x:c r="G19" s="17" t="n">
        <x:v>41.4434</x:v>
      </x:c>
      <x:c r="H19" s="17" t="n">
        <x:f>G19*F19</x:f>
        <x:v>4741.12496</x:v>
      </x:c>
      <x:c r="I19" s="22" t="str">
        <x:f>HYPERLINK("https://etp-aktiv.ru/catalog/materialy/gsm/2000457764-V116/","Открыть позицию")</x:f>
        <x:v>Открыть позицию</x:v>
      </x:c>
    </x:row>
    <x:row r="20" ht="28" customHeight="1">
      <x:c r="A20" s="16" t="str">
        <x:v>Красноярская ГРЭС-2</x:v>
      </x:c>
      <x:c r="B20" s="16" t="str">
        <x:v>2000690832-V116</x:v>
      </x:c>
      <x:c r="C20" s="16" t="str">
        <x:v>СМАЗКА ТЕРМОСТОЙКАЯ ПОЛИТЕРМ 800Г</x:v>
      </x:c>
      <x:c r="D20" s="16" t="str">
        <x:v>Другие смазоч мат-лы</x:v>
      </x:c>
      <x:c r="E20" s="16" t="str">
        <x:v>ШТ</x:v>
      </x:c>
      <x:c r="F20" s="21" t="n">
        <x:v>2</x:v>
      </x:c>
      <x:c r="G20" s="17" t="n">
        <x:v>1539.945</x:v>
      </x:c>
      <x:c r="H20" s="17" t="n">
        <x:f>G20*F20</x:f>
        <x:v>3079.89</x:v>
      </x:c>
      <x:c r="I20" s="22" t="str">
        <x:f>HYPERLINK("https://etp-aktiv.ru/catalog/materialy/gsm/2000690832-V116/","Открыть позицию")</x:f>
        <x:v>Открыть позицию</x:v>
      </x:c>
    </x:row>
    <x:row r="21" ht="28" customHeight="1">
      <x:c r="A21" s="16" t="str">
        <x:v>Красноярская ГРЭС-2</x:v>
      </x:c>
      <x:c r="B21" s="16" t="str">
        <x:v>2000211761-V116</x:v>
      </x:c>
      <x:c r="C21" s="16" t="str">
        <x:v>СМАЗКА УССА</x:v>
      </x:c>
      <x:c r="D21" s="16" t="str">
        <x:v>Масла и смазки</x:v>
      </x:c>
      <x:c r="E21" s="16" t="str">
        <x:v>КГ</x:v>
      </x:c>
      <x:c r="F21" s="26" t="n">
        <x:v>32.1</x:v>
      </x:c>
      <x:c r="G21" s="17" t="n">
        <x:v>82.9722</x:v>
      </x:c>
      <x:c r="H21" s="17" t="n">
        <x:f>G21*F21</x:f>
        <x:v>2663.40762</x:v>
      </x:c>
      <x:c r="I21" s="22" t="str">
        <x:f>HYPERLINK("https://etp-aktiv.ru/catalog/materialy/gsm/2000211761-V116/","Открыть позицию")</x:f>
        <x:v>Открыть позицию</x:v>
      </x:c>
    </x:row>
    <x:row r="22" ht="28" customHeight="1">
      <x:c r="A22" s="16" t="str">
        <x:v>Красноярская ГРЭС-2</x:v>
      </x:c>
      <x:c r="B22" s="16" t="str">
        <x:v>2000649306-V116</x:v>
      </x:c>
      <x:c r="C22" s="16" t="str">
        <x:v>СМЫВКА APS-M10 ТУ2319-004-78125300-2007</x:v>
      </x:c>
      <x:c r="D22" s="16" t="str">
        <x:v>Проч химич материалы</x:v>
      </x:c>
      <x:c r="E22" s="16" t="str">
        <x:v>КГ</x:v>
      </x:c>
      <x:c r="F22" s="21" t="n">
        <x:v>15</x:v>
      </x:c>
      <x:c r="G22" s="17" t="n">
        <x:v>160.125</x:v>
      </x:c>
      <x:c r="H22" s="17" t="n">
        <x:f>G22*F22</x:f>
        <x:v>2401.875</x:v>
      </x:c>
      <x:c r="I22" s="22" t="str">
        <x:f>HYPERLINK("https://etp-aktiv.ru/catalog/materialy/himicheskaya-produkciya/2000649306-V116/","Открыть позицию")</x:f>
        <x:v>Открыть позицию</x:v>
      </x:c>
    </x:row>
    <x:row r="23" ht="28" customHeight="1">
      <x:c r="A23" s="16" t="str">
        <x:v>Красноярская ГРЭС-2</x:v>
      </x:c>
      <x:c r="B23" s="16" t="str">
        <x:v>2000730820-V116</x:v>
      </x:c>
      <x:c r="C23" s="16" t="str">
        <x:v>СТ ВОДЫ KF-0,6X-5ML 50МКГ/Г 5МЛ*5ШТ</x:v>
      </x:c>
      <x:c r="D23" s="16" t="str">
        <x:v>Химические реактивы</x:v>
      </x:c>
      <x:c r="E23" s="16" t="str">
        <x:v>УПК</x:v>
      </x:c>
      <x:c r="F23" s="21" t="n">
        <x:v>1</x:v>
      </x:c>
      <x:c r="G23" s="17" t="n">
        <x:v>22388.22</x:v>
      </x:c>
      <x:c r="H23" s="17" t="n">
        <x:f>G23*F23</x:f>
        <x:v>22388.22</x:v>
      </x:c>
      <x:c r="I23" s="22" t="str">
        <x:f>HYPERLINK("https://etp-aktiv.ru/catalog/materialy/himicheskaya-produkciya/2000730820-V116/","Открыть позицию")</x:f>
        <x:v>Открыть позицию</x:v>
      </x:c>
    </x:row>
    <x:row r="24" ht="28" customHeight="1">
      <x:c r="A24" s="16" t="str">
        <x:v>Красноярская ГРЭС-2</x:v>
      </x:c>
      <x:c r="B24" s="16" t="str">
        <x:v>2000603812-V116</x:v>
      </x:c>
      <x:c r="C24" s="16" t="str">
        <x:v>СТАНДАРТ ЭЛЕКТР 10МКСМ/СМ 51300169 250МЛ</x:v>
      </x:c>
      <x:c r="D24" s="16" t="str">
        <x:v>Химические реактивы</x:v>
      </x:c>
      <x:c r="E24" s="16" t="str">
        <x:v>ШТ</x:v>
      </x:c>
      <x:c r="F24" s="21" t="n">
        <x:v>8</x:v>
      </x:c>
      <x:c r="G24" s="17" t="n">
        <x:v>1509.75</x:v>
      </x:c>
      <x:c r="H24" s="17" t="n">
        <x:f>G24*F24</x:f>
        <x:v>12078</x:v>
      </x:c>
      <x:c r="I24" s="22" t="str">
        <x:f>HYPERLINK("https://etp-aktiv.ru/catalog/materialy/himicheskaya-produkciya/2000603812-V116/","Открыть позицию")</x:f>
        <x:v>Открыть позицию</x:v>
      </x:c>
    </x:row>
    <x:row r="25" ht="28" customHeight="1">
      <x:c r="A25" s="16" t="str">
        <x:v>Красноярская ГРЭС-2</x:v>
      </x:c>
      <x:c r="B25" s="16" t="str">
        <x:v>2000043549-V116</x:v>
      </x:c>
      <x:c r="C25" s="16" t="str">
        <x:v>УАЙТ-СПИРИТ</x:v>
      </x:c>
      <x:c r="D25" s="16" t="str">
        <x:v>Лакокрасоч материалы</x:v>
      </x:c>
      <x:c r="E25" s="16" t="str">
        <x:v>КГ</x:v>
      </x:c>
      <x:c r="F25" s="21" t="n">
        <x:v>3</x:v>
      </x:c>
      <x:c r="G25" s="17" t="n">
        <x:v>54.35099999999999</x:v>
      </x:c>
      <x:c r="H25" s="17" t="n">
        <x:f>G25*F25</x:f>
        <x:v>163.05299999999997</x:v>
      </x:c>
      <x:c r="I25" s="22" t="str">
        <x:f>HYPERLINK("https://etp-aktiv.ru/catalog/materialy/lakokrasochnye-materialy/2000043549-V116/","Открыть позицию")</x:f>
        <x:v>Открыть позицию</x:v>
      </x:c>
    </x:row>
    <x:row r="26" ht="28" customHeight="1">
      <x:c r="A26" s="16" t="str">
        <x:v>Красноярская ГРЭС-2</x:v>
      </x:c>
      <x:c r="B26" s="16" t="str">
        <x:v>2000355685-V116</x:v>
      </x:c>
      <x:c r="C26" s="16" t="str">
        <x:v>ФРЕОН R410 A ГАЗ 11,3КГ ГОСТ9293-74</x:v>
      </x:c>
      <x:c r="D26" s="16" t="str">
        <x:v>Промышленные газы</x:v>
      </x:c>
      <x:c r="E26" s="16" t="str">
        <x:v>ШТ</x:v>
      </x:c>
      <x:c r="F26" s="21" t="n">
        <x:v>3</x:v>
      </x:c>
      <x:c r="G26" s="17" t="n">
        <x:v>7663.125</x:v>
      </x:c>
      <x:c r="H26" s="17" t="n">
        <x:f>G26*F26</x:f>
        <x:v>22989.375</x:v>
      </x:c>
      <x:c r="I26" s="22" t="str">
        <x:f>HYPERLINK("https://etp-aktiv.ru/catalog/materialy/himicheskaya-produkciya/2000355685-V116/","Открыть позицию")</x:f>
        <x:v>Открыть позицию</x:v>
      </x:c>
    </x:row>
    <x:row r="27" ht="28" customHeight="1">
      <x:c r="A27" s="16" t="str">
        <x:v>Красноярская ГРЭС-2</x:v>
      </x:c>
      <x:c r="B27" s="16" t="str">
        <x:v>2000045078-V116</x:v>
      </x:c>
      <x:c r="C27" s="16" t="str">
        <x:v>ЦИНК ГРАНУЛИРОВАННЫЙ ХЧ ТУ6-09-5294-86</x:v>
      </x:c>
      <x:c r="D27" s="16" t="str">
        <x:v>Химические реактивы</x:v>
      </x:c>
      <x:c r="E27" s="16" t="str">
        <x:v>КГ</x:v>
      </x:c>
      <x:c r="F27" s="26" t="n">
        <x:v>10.3</x:v>
      </x:c>
      <x:c r="G27" s="17" t="n">
        <x:v>346.5288</x:v>
      </x:c>
      <x:c r="H27" s="17" t="n">
        <x:f>G27*F27</x:f>
        <x:v>3569.2466400000003</x:v>
      </x:c>
      <x:c r="I27" s="22" t="str">
        <x:f>HYPERLINK("https://etp-aktiv.ru/catalog/materialy/himicheskaya-produkciya/2000045078-V116/","Открыть позицию")</x:f>
        <x:v>Открыть позицию</x:v>
      </x:c>
    </x:row>
    <x:row r="28" ht="28" customHeight="1">
      <x:c r="A28" s="16" t="str">
        <x:v>Красноярская ГРЭС-2</x:v>
      </x:c>
      <x:c r="B28" s="16" t="str">
        <x:v>2000284282-V116</x:v>
      </x:c>
      <x:c r="C28" s="16" t="str">
        <x:v>ЭМАЛЬ КО-983 ТУ16-89479.0275001</x:v>
      </x:c>
      <x:c r="D28" s="16" t="str">
        <x:v>Лакокрасоч материалы</x:v>
      </x:c>
      <x:c r="E28" s="16" t="str">
        <x:v>КГ</x:v>
      </x:c>
      <x:c r="F28" s="26" t="n">
        <x:v>27.6</x:v>
      </x:c>
      <x:c r="G28" s="17" t="n">
        <x:v>277.977</x:v>
      </x:c>
      <x:c r="H28" s="17" t="n">
        <x:f>G28*F28</x:f>
        <x:v>7672.1651999999995</x:v>
      </x:c>
      <x:c r="I28" s="22" t="str">
        <x:f>HYPERLINK("https://etp-aktiv.ru/catalog/materialy/lakokrasochnye-materialy/2000284282-V116/","Открыть позицию")</x:f>
        <x:v>Открыть позицию</x:v>
      </x:c>
    </x:row>
    <x:row r="29" ht="28" customHeight="1">
      <x:c r="A29" s="16" t="str">
        <x:v>Красноярская ТЭЦ-1</x:v>
      </x:c>
      <x:c r="B29" s="16" t="str">
        <x:v>2000802215-V119</x:v>
      </x:c>
      <x:c r="C29" s="16" t="str">
        <x:v>БИХРОМАТ КАЛИЯ ТЕХ ВС ГОСТ2652-78</x:v>
      </x:c>
      <x:c r="D29" s="16" t="str">
        <x:v>Химические реактивы</x:v>
      </x:c>
      <x:c r="E29" s="16" t="str">
        <x:v>КГ</x:v>
      </x:c>
      <x:c r="F29" s="21" t="n">
        <x:v>3</x:v>
      </x:c>
      <x:c r="G29" s="17" t="n">
        <x:v>393.21819999999997</x:v>
      </x:c>
      <x:c r="H29" s="17" t="n">
        <x:f>G29*F29</x:f>
        <x:v>1179.6545999999998</x:v>
      </x:c>
      <x:c r="I29" s="22" t="str">
        <x:f>HYPERLINK("https://etp-aktiv.ru/catalog/materialy/himicheskaya-produkciya/2000802215-V119/","Открыть позицию")</x:f>
        <x:v>Открыть позицию</x:v>
      </x:c>
    </x:row>
    <x:row r="30" ht="28" customHeight="1">
      <x:c r="A30" s="16" t="str">
        <x:v>Красноярская ТЭЦ-1</x:v>
      </x:c>
      <x:c r="B30" s="16" t="str">
        <x:v>2000560852-V119</x:v>
      </x:c>
      <x:c r="C30" s="16" t="str">
        <x:v>ДВУОКИСЬ УГЛЕР ГАЗООБ ВЫСШ СОРТ ГОСТ8050</x:v>
      </x:c>
      <x:c r="D30" s="16" t="str">
        <x:v>Промышленные газы</x:v>
      </x:c>
      <x:c r="E30" s="16" t="str">
        <x:v>КГ</x:v>
      </x:c>
      <x:c r="F30" s="21" t="n">
        <x:v>64</x:v>
      </x:c>
      <x:c r="G30" s="17" t="n">
        <x:v>18.5806</x:v>
      </x:c>
      <x:c r="H30" s="17" t="n">
        <x:f>G30*F30</x:f>
        <x:v>1189.1584</x:v>
      </x:c>
      <x:c r="I30" s="22" t="str">
        <x:f>HYPERLINK("https://etp-aktiv.ru/catalog/materialy/himicheskaya-produkciya/2000560852-V119/","Открыть позицию")</x:f>
        <x:v>Открыть позицию</x:v>
      </x:c>
    </x:row>
    <x:row r="31" ht="28" customHeight="1">
      <x:c r="A31" s="16" t="str">
        <x:v>Красноярская ТЭЦ-1</x:v>
      </x:c>
      <x:c r="B31" s="16" t="str">
        <x:v>2000757870-V119</x:v>
      </x:c>
      <x:c r="C31" s="16" t="str">
        <x:v>СМАЗКА РЕДУКТ AEROSHELL GREASE 7</x:v>
      </x:c>
      <x:c r="D31" s="16" t="str">
        <x:v>Масла и смазки</x:v>
      </x:c>
      <x:c r="E31" s="16" t="str">
        <x:v>КГ</x:v>
      </x:c>
      <x:c r="F31" s="30" t="n">
        <x:v>0.5</x:v>
      </x:c>
      <x:c r="G31" s="17" t="n">
        <x:v>2743.292</x:v>
      </x:c>
      <x:c r="H31" s="17" t="n">
        <x:f>G31*F31</x:f>
        <x:v>1371.646</x:v>
      </x:c>
      <x:c r="I31" s="22" t="str">
        <x:f>HYPERLINK("https://etp-aktiv.ru/catalog/materialy/gsm/2000757870-V119/","Открыть позицию")</x:f>
        <x:v>Открыть позицию</x:v>
      </x:c>
    </x:row>
    <x:row r="32" ht="28" customHeight="1">
      <x:c r="A32" s="16" t="str">
        <x:v>Красноярская ТЭЦ-2</x:v>
      </x:c>
      <x:c r="B32" s="16" t="str">
        <x:v>5000067251-V113</x:v>
      </x:c>
      <x:c r="C32" s="16" t="str">
        <x:v>ХОЛОДИЛЬНИК ХД-125-4.151.00.00.00</x:v>
      </x:c>
      <x:c r="D32" s="16" t="str">
        <x:v>Лаборат оборудование</x:v>
      </x:c>
      <x:c r="E32" s="16" t="str">
        <x:v>ШТ</x:v>
      </x:c>
      <x:c r="F32" s="21" t="n">
        <x:v>2</x:v>
      </x:c>
      <x:c r="G32" s="17" t="n">
        <x:v>12553.4218</x:v>
      </x:c>
      <x:c r="H32" s="17" t="n">
        <x:f>G32*F32</x:f>
        <x:v>25106.8436</x:v>
      </x:c>
      <x:c r="I32" s="22" t="str">
        <x:f>HYPERLINK("https://etp-aktiv.ru/catalog/materialy/prochie-materialy/5000067251-V113/","Открыть позицию")</x:f>
        <x:v>Открыть позицию</x:v>
      </x:c>
    </x:row>
    <x:row r="33" ht="28" customHeight="1">
      <x:c r="A33" s="16" t="str">
        <x:v>Красноярская ТЭЦ-3</x:v>
      </x:c>
      <x:c r="B33" s="16" t="str">
        <x:v>2000996216-V114</x:v>
      </x:c>
      <x:c r="C33" s="16" t="str">
        <x:v>СМАЗКА УВС СУПЕРКОНТ</x:v>
      </x:c>
      <x:c r="D33" s="16" t="str">
        <x:v>Масла и смазки</x:v>
      </x:c>
      <x:c r="E33" s="16" t="str">
        <x:v>КГ</x:v>
      </x:c>
      <x:c r="F33" s="21" t="n">
        <x:v>1</x:v>
      </x:c>
      <x:c r="G33" s="17" t="n">
        <x:v>3699.04</x:v>
      </x:c>
      <x:c r="H33" s="17" t="n">
        <x:f>G33*F33</x:f>
        <x:v>3699.04</x:v>
      </x:c>
      <x:c r="I33" s="22" t="str">
        <x:f>HYPERLINK("https://etp-aktiv.ru/catalog/materialy/gsm/2000996216-V114/","Открыть позицию")</x:f>
        <x:v>Открыть позицию</x:v>
      </x:c>
    </x:row>
    <x:row r="34" ht="28" customHeight="1">
      <x:c r="A34" s="16" t="str">
        <x:v>Минусинская ТЭЦ</x:v>
      </x:c>
      <x:c r="B34" s="16" t="str">
        <x:v>2000500651-V112</x:v>
      </x:c>
      <x:c r="C34" s="16" t="str">
        <x:v>АЦЕТОН ТЕХНИЧЕСКИЙ ГОСТ2768-84</x:v>
      </x:c>
      <x:c r="D34" s="16" t="str">
        <x:v>Химические реактивы</x:v>
      </x:c>
      <x:c r="E34" s="16" t="str">
        <x:v>КГ</x:v>
      </x:c>
      <x:c r="F34" s="26" t="n">
        <x:v>1.2</x:v>
      </x:c>
      <x:c r="G34" s="17" t="n">
        <x:v>240.90120000000002</x:v>
      </x:c>
      <x:c r="H34" s="17" t="n">
        <x:f>G34*F34</x:f>
        <x:v>289.08144</x:v>
      </x:c>
      <x:c r="I34" s="22" t="str">
        <x:f>HYPERLINK("https://etp-aktiv.ru/catalog/materialy/himicheskaya-produkciya/2000500651-V112/","Открыть позицию")</x:f>
        <x:v>Открыть позицию</x:v>
      </x:c>
    </x:row>
    <x:row r="35" ht="28" customHeight="1">
      <x:c r="A35" s="16" t="str">
        <x:v>Минусинская ТЭЦ</x:v>
      </x:c>
      <x:c r="B35" s="16" t="str">
        <x:v>2000691106-V112</x:v>
      </x:c>
      <x:c r="C35" s="16" t="str">
        <x:v>ЛАК БИТУМНЫЙ БТ-577М</x:v>
      </x:c>
      <x:c r="D35" s="16" t="str">
        <x:v>Лакокрасоч материалы</x:v>
      </x:c>
      <x:c r="E35" s="16" t="str">
        <x:v>КГ</x:v>
      </x:c>
      <x:c r="F35" s="30" t="n">
        <x:v>0.35</x:v>
      </x:c>
      <x:c r="G35" s="17" t="n">
        <x:v>60.5974</x:v>
      </x:c>
      <x:c r="H35" s="17" t="n">
        <x:f>G35*F35</x:f>
        <x:v>21.20909</x:v>
      </x:c>
      <x:c r="I35" s="22" t="str">
        <x:f>HYPERLINK("https://etp-aktiv.ru/catalog/materialy/lakokrasochnye-materialy/2000691106-V112/","Открыть позицию")</x:f>
        <x:v>Открыть позицию</x:v>
      </x:c>
    </x:row>
    <x:row r="36" ht="28" customHeight="1">
      <x:c r="A36" s="16" t="str">
        <x:v>Минусинская ТЭЦ</x:v>
      </x:c>
      <x:c r="B36" s="16" t="str">
        <x:v>2000269131-V112</x:v>
      </x:c>
      <x:c r="C36" s="16" t="str">
        <x:v>МАСЛО ГИДРАВЛИЧЕСКОЕ ВМГЗ 180КГ</x:v>
      </x:c>
      <x:c r="D36" s="16" t="str">
        <x:v>Другие смазоч мат-лы</x:v>
      </x:c>
      <x:c r="E36" s="16" t="str">
        <x:v>ШТ</x:v>
      </x:c>
      <x:c r="F36" s="21" t="n">
        <x:v>3</x:v>
      </x:c>
      <x:c r="G36" s="17" t="n">
        <x:v>10476.9696</x:v>
      </x:c>
      <x:c r="H36" s="17" t="n">
        <x:f>G36*F36</x:f>
        <x:v>31430.9088</x:v>
      </x:c>
      <x:c r="I36" s="22" t="str">
        <x:f>HYPERLINK("https://etp-aktiv.ru/catalog/materialy/gsm/2000269131-V112/","Открыть позицию")</x:f>
        <x:v>Открыть позицию</x:v>
      </x:c>
    </x:row>
    <x:row r="37" ht="28" customHeight="1">
      <x:c r="A37" s="16" t="str">
        <x:v>Минусинская ТЭЦ</x:v>
      </x:c>
      <x:c r="B37" s="16" t="str">
        <x:v>2000683588-V112</x:v>
      </x:c>
      <x:c r="C37" s="16" t="str">
        <x:v>ПАРАФИН ТЕХНИЧЕСКИЙ А</x:v>
      </x:c>
      <x:c r="D37" s="16" t="str">
        <x:v>Проч химич материалы</x:v>
      </x:c>
      <x:c r="E37" s="16" t="str">
        <x:v>КГ</x:v>
      </x:c>
      <x:c r="F37" s="26" t="n">
        <x:v>1.5</x:v>
      </x:c>
      <x:c r="G37" s="17" t="n">
        <x:v>244.9882</x:v>
      </x:c>
      <x:c r="H37" s="17" t="n">
        <x:f>G37*F37</x:f>
        <x:v>367.4823</x:v>
      </x:c>
      <x:c r="I37" s="22" t="str">
        <x:f>HYPERLINK("https://etp-aktiv.ru/catalog/materialy/himicheskaya-produkciya/2000683588-V112/","Открыть позицию")</x:f>
        <x:v>Открыть позицию</x:v>
      </x:c>
    </x:row>
    <x:row r="38" ht="28" customHeight="1">
      <x:c r="A38" s="16" t="str">
        <x:v>Минусинская ТЭЦ</x:v>
      </x:c>
      <x:c r="B38" s="16" t="str">
        <x:v>2000186045-V112</x:v>
      </x:c>
      <x:c r="C38" s="16" t="str">
        <x:v>СМАЗКА ЛИТОЛ-24</x:v>
      </x:c>
      <x:c r="D38" s="16" t="str">
        <x:v>Масла и смазки</x:v>
      </x:c>
      <x:c r="E38" s="16" t="str">
        <x:v>Т</x:v>
      </x:c>
      <x:c r="F38" s="30" t="n">
        <x:v>0.05</x:v>
      </x:c>
      <x:c r="G38" s="17" t="n">
        <x:v>81152.91159999999</x:v>
      </x:c>
      <x:c r="H38" s="17" t="n">
        <x:f>G38*F38</x:f>
        <x:v>4057.64558</x:v>
      </x:c>
      <x:c r="I38" s="22" t="str">
        <x:f>HYPERLINK("https://etp-aktiv.ru/catalog/materialy/gsm/2000186045-V112/","Открыть позицию")</x:f>
        <x:v>Открыть позицию</x:v>
      </x:c>
    </x:row>
    <x:row r="39" ht="28" customHeight="1">
      <x:c r="A39" s="16" t="str">
        <x:v>Минусинская ТЭЦ</x:v>
      </x:c>
      <x:c r="B39" s="16" t="str">
        <x:v>2000192439-V112</x:v>
      </x:c>
      <x:c r="C39" s="16" t="str">
        <x:v>СМАЗКА ЛИТОЛ-24 (КГ)</x:v>
      </x:c>
      <x:c r="D39" s="16" t="str">
        <x:v>Масла и смазки</x:v>
      </x:c>
      <x:c r="E39" s="16" t="str">
        <x:v>КГ</x:v>
      </x:c>
      <x:c r="F39" s="26" t="n">
        <x:v>48.6</x:v>
      </x:c>
      <x:c r="G39" s="17" t="n">
        <x:v>69.7108</x:v>
      </x:c>
      <x:c r="H39" s="17" t="n">
        <x:f>G39*F39</x:f>
        <x:v>3387.9448800000005</x:v>
      </x:c>
      <x:c r="I39" s="22" t="str">
        <x:f>HYPERLINK("https://etp-aktiv.ru/catalog/materialy/gsm/2000192439-V112/","Открыть позицию")</x:f>
        <x:v>Открыть позицию</x:v>
      </x:c>
    </x:row>
    <x:row r="40" ht="28" customHeight="1">
      <x:c r="A40" s="16" t="str">
        <x:v>Назаровская ГРЭС</x:v>
      </x:c>
      <x:c r="B40" s="16" t="str">
        <x:v>2000547614-V311</x:v>
      </x:c>
      <x:c r="C40" s="16" t="str">
        <x:v>ГРАФИТ КРИСТАЛ СМАЗОЧН ГС-4 ГОСТ8295-73</x:v>
      </x:c>
      <x:c r="D40" s="16" t="str">
        <x:v>Проч химич материалы</x:v>
      </x:c>
      <x:c r="E40" s="16" t="str">
        <x:v>КГ</x:v>
      </x:c>
      <x:c r="F40" s="26" t="n">
        <x:v>238.35</x:v>
      </x:c>
      <x:c r="G40" s="17" t="n">
        <x:v>265.0084</x:v>
      </x:c>
      <x:c r="H40" s="17" t="n">
        <x:f>G40*F40</x:f>
        <x:v>63164.75214</x:v>
      </x:c>
      <x:c r="I40" s="22" t="str">
        <x:f>HYPERLINK("https://etp-aktiv.ru/catalog/materialy/himicheskaya-produkciya/2000547614-V311/","Открыть позицию")</x:f>
        <x:v>Открыть позицию</x:v>
      </x:c>
    </x:row>
    <x:row r="41" ht="28" customHeight="1">
      <x:c r="A41" s="16" t="str">
        <x:v>Назаровская ГРЭС</x:v>
      </x:c>
      <x:c r="B41" s="16" t="str">
        <x:v>2000695419-V311</x:v>
      </x:c>
      <x:c r="C41" s="16" t="str">
        <x:v>КАРБИД БОРА N10 ГОСТ3647-80</x:v>
      </x:c>
      <x:c r="D41" s="16" t="str">
        <x:v>Проч химич материалы</x:v>
      </x:c>
      <x:c r="E41" s="16" t="str">
        <x:v>КГ</x:v>
      </x:c>
      <x:c r="F41" s="30" t="n">
        <x:v>0.638</x:v>
      </x:c>
      <x:c r="G41" s="17" t="n">
        <x:v>2659.8562</x:v>
      </x:c>
      <x:c r="H41" s="17" t="n">
        <x:f>G41*F41</x:f>
        <x:v>1696.9882556000002</x:v>
      </x:c>
      <x:c r="I41" s="22" t="str">
        <x:f>HYPERLINK("https://etp-aktiv.ru/catalog/materialy/himicheskaya-produkciya/2000695419-V311/","Открыть позицию")</x:f>
        <x:v>Открыть позицию</x:v>
      </x:c>
    </x:row>
    <x:row r="42" ht="28" customHeight="1">
      <x:c r="A42" s="16" t="str">
        <x:v>Назаровская ГРЭС</x:v>
      </x:c>
      <x:c r="B42" s="16" t="str">
        <x:v>2000530875-V311</x:v>
      </x:c>
      <x:c r="C42" s="16" t="str">
        <x:v>КИСЛОТА ОРТОФОСФОРНАЯ Ч ГОСТ6552-80</x:v>
      </x:c>
      <x:c r="D42" s="16" t="str">
        <x:v>Химические реактивы</x:v>
      </x:c>
      <x:c r="E42" s="16" t="str">
        <x:v>КГ</x:v>
      </x:c>
      <x:c r="F42" s="21" t="n">
        <x:v>27</x:v>
      </x:c>
      <x:c r="G42" s="17" t="n">
        <x:v>356.84999999999997</x:v>
      </x:c>
      <x:c r="H42" s="17" t="n">
        <x:f>G42*F42</x:f>
        <x:v>9634.949999999999</x:v>
      </x:c>
      <x:c r="I42" s="22" t="str">
        <x:f>HYPERLINK("https://etp-aktiv.ru/catalog/materialy/himicheskaya-produkciya/2000530875-V311/","Открыть позицию")</x:f>
        <x:v>Открыть позицию</x:v>
      </x:c>
    </x:row>
    <x:row r="43" ht="28" customHeight="1">
      <x:c r="A43" s="16" t="str">
        <x:v>Назаровская ГРЭС</x:v>
      </x:c>
      <x:c r="B43" s="16" t="str">
        <x:v>2000564471-V311</x:v>
      </x:c>
      <x:c r="C43" s="16" t="str">
        <x:v>КОМПАУНД СИЛИКОНОВЫЙ MOLYKOTE 111 1КГ</x:v>
      </x:c>
      <x:c r="D43" s="16" t="str">
        <x:v>Другие смазоч мат-лы</x:v>
      </x:c>
      <x:c r="E43" s="16" t="str">
        <x:v>ШТ</x:v>
      </x:c>
      <x:c r="F43" s="21" t="n">
        <x:v>3</x:v>
      </x:c>
      <x:c r="G43" s="17" t="n">
        <x:v>6118.7636</x:v>
      </x:c>
      <x:c r="H43" s="17" t="n">
        <x:f>G43*F43</x:f>
        <x:v>18356.290800000002</x:v>
      </x:c>
      <x:c r="I43" s="22" t="str">
        <x:f>HYPERLINK("https://etp-aktiv.ru/catalog/materialy/gsm/2000564471-V311/","Открыть позицию")</x:f>
        <x:v>Открыть позицию</x:v>
      </x:c>
    </x:row>
    <x:row r="44" ht="28" customHeight="1">
      <x:c r="A44" s="16" t="str">
        <x:v>Назаровская ГРЭС</x:v>
      </x:c>
      <x:c r="B44" s="16" t="str">
        <x:v>2000595530-V311</x:v>
      </x:c>
      <x:c r="C44" s="16" t="str">
        <x:v>МАСЛО 2-ТАКТ INFORCE 11-04-02 PREMIUM 1Л</x:v>
      </x:c>
      <x:c r="D44" s="16" t="str">
        <x:v>Другие смазоч мат-лы</x:v>
      </x:c>
      <x:c r="E44" s="16" t="str">
        <x:v>ШТ</x:v>
      </x:c>
      <x:c r="F44" s="21" t="n">
        <x:v>4</x:v>
      </x:c>
      <x:c r="G44" s="17" t="n">
        <x:v>137.25</x:v>
      </x:c>
      <x:c r="H44" s="17" t="n">
        <x:f>G44*F44</x:f>
        <x:v>549</x:v>
      </x:c>
      <x:c r="I44" s="22" t="str">
        <x:f>HYPERLINK("https://etp-aktiv.ru/catalog/materialy/gsm/2000595530-V311/","Открыть позицию")</x:f>
        <x:v>Открыть позицию</x:v>
      </x:c>
    </x:row>
    <x:row r="45" ht="28" customHeight="1">
      <x:c r="A45" s="16" t="str">
        <x:v>Назаровская ГРЭС</x:v>
      </x:c>
      <x:c r="B45" s="16" t="str">
        <x:v>2000030410-V311</x:v>
      </x:c>
      <x:c r="C45" s="16" t="str">
        <x:v>МАСЛО МТ-16П SAE40</x:v>
      </x:c>
      <x:c r="D45" s="16" t="str">
        <x:v>Масла и смазки</x:v>
      </x:c>
      <x:c r="E45" s="16" t="str">
        <x:v>Т</x:v>
      </x:c>
      <x:c r="F45" s="26" t="n">
        <x:v>1.44</x:v>
      </x:c>
      <x:c r="G45" s="17" t="n">
        <x:v>33457.6338</x:v>
      </x:c>
      <x:c r="H45" s="17" t="n">
        <x:f>G45*F45</x:f>
        <x:v>48178.992672</x:v>
      </x:c>
      <x:c r="I45" s="22" t="str">
        <x:f>HYPERLINK("https://etp-aktiv.ru/catalog/materialy/gsm/2000030410-V311/","Открыть позицию")</x:f>
        <x:v>Открыть позицию</x:v>
      </x:c>
    </x:row>
    <x:row r="46" ht="28" customHeight="1">
      <x:c r="A46" s="16" t="str">
        <x:v>Назаровская ГРЭС</x:v>
      </x:c>
      <x:c r="B46" s="16" t="str">
        <x:v>2000530793-V311</x:v>
      </x:c>
      <x:c r="C46" s="16" t="str">
        <x:v>НАТРИЙ ГИДРООКИСЬ ХЧ ГОСТ4328-77</x:v>
      </x:c>
      <x:c r="D46" s="16" t="str">
        <x:v>Химические реактивы</x:v>
      </x:c>
      <x:c r="E46" s="16" t="str">
        <x:v>КГ</x:v>
      </x:c>
      <x:c r="F46" s="26" t="n">
        <x:v>874.54</x:v>
      </x:c>
      <x:c r="G46" s="17" t="n">
        <x:v>88.5232</x:v>
      </x:c>
      <x:c r="H46" s="17" t="n">
        <x:f>G46*F46</x:f>
        <x:v>77417.07932799999</x:v>
      </x:c>
      <x:c r="I46" s="22" t="str">
        <x:f>HYPERLINK("https://etp-aktiv.ru/catalog/materialy/himicheskaya-produkciya/2000530793-V311/","Открыть позицию")</x:f>
        <x:v>Открыть позицию</x:v>
      </x:c>
    </x:row>
    <x:row r="47" ht="28" customHeight="1">
      <x:c r="A47" s="16" t="str">
        <x:v>Назаровская ГРЭС</x:v>
      </x:c>
      <x:c r="B47" s="16" t="str">
        <x:v>2000129583-V311</x:v>
      </x:c>
      <x:c r="C47" s="16" t="str">
        <x:v>СМАЗКА CHEVRON DELO GREASES EP NLGI 2</x:v>
      </x:c>
      <x:c r="D47" s="16" t="str">
        <x:v>Масла и смазки</x:v>
      </x:c>
      <x:c r="E47" s="16" t="str">
        <x:v>Т</x:v>
      </x:c>
      <x:c r="F47" s="30" t="n">
        <x:v>0.016</x:v>
      </x:c>
      <x:c r="G47" s="17" t="n">
        <x:v>607899.5626000001</x:v>
      </x:c>
      <x:c r="H47" s="17" t="n">
        <x:f>G47*F47</x:f>
        <x:v>9726.393001600001</x:v>
      </x:c>
      <x:c r="I47" s="22" t="str">
        <x:f>HYPERLINK("https://etp-aktiv.ru/catalog/materialy/gsm/2000129583-V311/","Открыть позицию")</x:f>
        <x:v>Открыть позицию</x:v>
      </x:c>
    </x:row>
    <x:row r="48" ht="28" customHeight="1">
      <x:c r="A48" s="16" t="str">
        <x:v>Назаровская ГРЭС</x:v>
      </x:c>
      <x:c r="B48" s="16" t="str">
        <x:v>2000219779-V311</x:v>
      </x:c>
      <x:c r="C48" s="16" t="str">
        <x:v>СМАЗКА СОЛИДОЛ Ж</x:v>
      </x:c>
      <x:c r="D48" s="16" t="str">
        <x:v>Масла и смазки</x:v>
      </x:c>
      <x:c r="E48" s="16" t="str">
        <x:v>КГ</x:v>
      </x:c>
      <x:c r="F48" s="26" t="n">
        <x:v>934.34</x:v>
      </x:c>
      <x:c r="G48" s="17" t="n">
        <x:v>33.476800000000004</x:v>
      </x:c>
      <x:c r="H48" s="17" t="n">
        <x:f>G48*F48</x:f>
        <x:v>31278.713312000003</x:v>
      </x:c>
      <x:c r="I48" s="22" t="str">
        <x:f>HYPERLINK("https://etp-aktiv.ru/catalog/materialy/gsm/2000219779-V311/","Открыть позицию")</x:f>
        <x:v>Открыть позицию</x:v>
      </x:c>
    </x:row>
    <x:row r="49" ht="28" customHeight="1">
      <x:c r="A49" s="16" t="str">
        <x:v>Назаровская ГРЭС</x:v>
      </x:c>
      <x:c r="B49" s="16" t="str">
        <x:v>2000461125-V311</x:v>
      </x:c>
      <x:c r="C49" s="16" t="str">
        <x:v>СОЛЬВЕНТ МАРКА Б ГОСТ1928-79</x:v>
      </x:c>
      <x:c r="D49" s="16" t="str">
        <x:v>Лакокрасоч материалы</x:v>
      </x:c>
      <x:c r="E49" s="16" t="str">
        <x:v>КГ</x:v>
      </x:c>
      <x:c r="F49" s="26" t="n">
        <x:v>3.45</x:v>
      </x:c>
      <x:c r="G49" s="17" t="n">
        <x:v>70.699</x:v>
      </x:c>
      <x:c r="H49" s="17" t="n">
        <x:f>G49*F49</x:f>
        <x:v>243.91155</x:v>
      </x:c>
      <x:c r="I49" s="22" t="str">
        <x:f>HYPERLINK("https://etp-aktiv.ru/catalog/materialy/lakokrasochnye-materialy/2000461125-V311/","Открыть позицию")</x:f>
        <x:v>Открыть позицию</x:v>
      </x:c>
    </x:row>
    <x:row r="50" ht="28" customHeight="1">
      <x:c r="A50" s="16" t="str">
        <x:v>Назаровская ГРЭС</x:v>
      </x:c>
      <x:c r="B50" s="16" t="str">
        <x:v>2000958893-V311</x:v>
      </x:c>
      <x:c r="C50" s="16" t="str">
        <x:v>СОРБЕНТ ENH ТУ BY192564230.001-397_022</x:v>
      </x:c>
      <x:c r="D50" s="16" t="str">
        <x:v>Проч химич материалы</x:v>
      </x:c>
      <x:c r="E50" s="16" t="str">
        <x:v>КГ</x:v>
      </x:c>
      <x:c r="F50" s="21" t="n">
        <x:v>98</x:v>
      </x:c>
      <x:c r="G50" s="17" t="n">
        <x:v>294.3982</x:v>
      </x:c>
      <x:c r="H50" s="17" t="n">
        <x:f>G50*F50</x:f>
        <x:v>28851.023599999997</x:v>
      </x:c>
      <x:c r="I50" s="22" t="str">
        <x:f>HYPERLINK("https://etp-aktiv.ru/catalog/materialy/himicheskaya-produkciya/2000958893-V311/","Открыть позицию")</x:f>
        <x:v>Открыть позицию</x:v>
      </x:c>
    </x:row>
    <x:row r="51" ht="28" customHeight="1">
      <x:c r="A51" s="16" t="str">
        <x:v>Назаровская ГРЭС</x:v>
      </x:c>
      <x:c r="B51" s="16" t="str">
        <x:v>2000280237-V311</x:v>
      </x:c>
      <x:c r="C51" s="16" t="str">
        <x:v>СРЕДСТВО МОЮЩЕЕ КОНЦЕНТРИР DIMER</x:v>
      </x:c>
      <x:c r="D51" s="16" t="str">
        <x:v>Проч химич материалы</x:v>
      </x:c>
      <x:c r="E51" s="16" t="str">
        <x:v>КГ</x:v>
      </x:c>
      <x:c r="F51" s="21" t="n">
        <x:v>3</x:v>
      </x:c>
      <x:c r="G51" s="17" t="n">
        <x:v>220.5028</x:v>
      </x:c>
      <x:c r="H51" s="17" t="n">
        <x:f>G51*F51</x:f>
        <x:v>661.5084</x:v>
      </x:c>
      <x:c r="I51" s="22" t="str">
        <x:f>HYPERLINK("https://etp-aktiv.ru/catalog/materialy/himicheskaya-produkciya/2000280237-V311/","Открыть позицию")</x:f>
        <x:v>Открыть позицию</x:v>
      </x:c>
    </x:row>
    <x:row r="52" ht="28" customHeight="1">
      <x:c r="A52" s="16" t="str">
        <x:v>Назаровская ГРЭС</x:v>
      </x:c>
      <x:c r="B52" s="16" t="str">
        <x:v>2000547604-V311</x:v>
      </x:c>
      <x:c r="C52" s="16" t="str">
        <x:v>ТАЛЬК МОЛОТЫЙ ТМК 28 ГОСТ21234-2024</x:v>
      </x:c>
      <x:c r="D52" s="16" t="str">
        <x:v>Проч химич материалы</x:v>
      </x:c>
      <x:c r="E52" s="16" t="str">
        <x:v>КГ</x:v>
      </x:c>
      <x:c r="F52" s="21" t="n">
        <x:v>14</x:v>
      </x:c>
      <x:c r="G52" s="17" t="n">
        <x:v>75.7864</x:v>
      </x:c>
      <x:c r="H52" s="17" t="n">
        <x:f>G52*F52</x:f>
        <x:v>1061.0096</x:v>
      </x:c>
      <x:c r="I52" s="22" t="str">
        <x:f>HYPERLINK("https://etp-aktiv.ru/catalog/materialy/himicheskaya-produkciya/2000547604-V311/","Открыть позицию")</x:f>
        <x:v>Открыть позицию</x:v>
      </x:c>
    </x:row>
    <x:row r="53" ht="28" customHeight="1">
      <x:c r="A53" s="16" t="str">
        <x:v>Назаровская ГРЭС</x:v>
      </x:c>
      <x:c r="B53" s="16" t="str">
        <x:v>2000922659-V311</x:v>
      </x:c>
      <x:c r="C53" s="16" t="str">
        <x:v>ТКАНЬ 250МКМ 27ПА-120 ГОСТ4403-91</x:v>
      </x:c>
      <x:c r="D53" s="16" t="str">
        <x:v>Химическая посуда</x:v>
      </x:c>
      <x:c r="E53" s="16" t="str">
        <x:v>ПМ</x:v>
      </x:c>
      <x:c r="F53" s="26" t="n">
        <x:v>19.8</x:v>
      </x:c>
      <x:c r="G53" s="17" t="n">
        <x:v>603.6193999999999</x:v>
      </x:c>
      <x:c r="H53" s="17" t="n">
        <x:f>G53*F53</x:f>
        <x:v>11951.66412</x:v>
      </x:c>
      <x:c r="I53" s="22" t="str">
        <x:f>HYPERLINK("https://etp-aktiv.ru/catalog/materialy/mebel-i-bytovaya-tekhnika/2000922659-V311/","Открыть позицию")</x:f>
        <x:v>Открыть позицию</x:v>
      </x:c>
    </x:row>
    <x:row r="54" ht="28" customHeight="1">
      <x:c r="A54" s="16" t="str">
        <x:v>Назаровская ГРЭС</x:v>
      </x:c>
      <x:c r="B54" s="16" t="str">
        <x:v>2000922680-V311</x:v>
      </x:c>
      <x:c r="C54" s="16" t="str">
        <x:v>ТКАНЬ 390МКМ 17,5ПЧ-180 ГОСТ4403-91</x:v>
      </x:c>
      <x:c r="D54" s="16" t="str">
        <x:v>Химическая посуда</x:v>
      </x:c>
      <x:c r="E54" s="16" t="str">
        <x:v>ПМ</x:v>
      </x:c>
      <x:c r="F54" s="26" t="n">
        <x:v>12.3</x:v>
      </x:c>
      <x:c r="G54" s="17" t="n">
        <x:v>1678.903</x:v>
      </x:c>
      <x:c r="H54" s="17" t="n">
        <x:f>G54*F54</x:f>
        <x:v>20650.5069</x:v>
      </x:c>
      <x:c r="I54" s="22" t="str">
        <x:f>HYPERLINK("https://etp-aktiv.ru/catalog/materialy/mebel-i-bytovaya-tekhnika/2000922680-V311/","Открыть позицию")</x:f>
        <x:v>Открыть позицию</x:v>
      </x:c>
    </x:row>
    <x:row r="55" ht="28" customHeight="1">
      <x:c r="A55" s="16" t="str">
        <x:v>Назаровская ГРЭС</x:v>
      </x:c>
      <x:c r="B55" s="16" t="str">
        <x:v>2000387074-V311</x:v>
      </x:c>
      <x:c r="C55" s="16" t="str">
        <x:v>ФЛЮС-ГЕЛЬ AMTECH RMA-223-AS-TF 10СМ3</x:v>
      </x:c>
      <x:c r="D55" s="16" t="str">
        <x:v>Проч химич материалы</x:v>
      </x:c>
      <x:c r="E55" s="16" t="str">
        <x:v>ШТ</x:v>
      </x:c>
      <x:c r="F55" s="21" t="n">
        <x:v>2</x:v>
      </x:c>
      <x:c r="G55" s="17" t="n">
        <x:v>296.2282</x:v>
      </x:c>
      <x:c r="H55" s="17" t="n">
        <x:f>G55*F55</x:f>
        <x:v>592.4564</x:v>
      </x:c>
      <x:c r="I55" s="22" t="str">
        <x:f>HYPERLINK("https://etp-aktiv.ru/catalog/materialy/himicheskaya-produkciya/2000387074-V311/","Открыть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d023875ca18348d1"/>
  </x:tableParts>
</x:worksheet>
</file>

<file path=xl/worksheets/sheet1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Авто- и спецтехника: запасные части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КрасТЭК</x:v>
      </x:c>
      <x:c r="B5" s="16" t="str">
        <x:v>2000261481-VG11</x:v>
      </x:c>
      <x:c r="C5" s="16" t="str">
        <x:v>КРОНШТЕЙН КРЕПЛЕНИЯ 3630408</x:v>
      </x:c>
      <x:c r="D5" s="16" t="str">
        <x:v>ЗЧ к ДВС Cummins</x:v>
      </x:c>
      <x:c r="E5" s="16" t="str">
        <x:v>ШТ</x:v>
      </x:c>
      <x:c r="F5" s="21" t="n">
        <x:v>9</x:v>
      </x:c>
      <x:c r="G5" s="17" t="n">
        <x:v>3642.5174</x:v>
      </x:c>
      <x:c r="H5" s="17" t="n">
        <x:f>G5*F5</x:f>
        <x:v>32782.6566</x:v>
      </x:c>
      <x:c r="I5" s="22" t="str">
        <x:f>HYPERLINK("https://etp-aktiv.ru/catalog/materialy/zapasnye-chasti-k-dorozhno-stroitelnoj-tekhnike/2000261481-VG11/","Открыть позицию")</x:f>
        <x:v>Открыть позицию</x:v>
      </x:c>
    </x:row>
    <x:row r="6" ht="28" customHeight="1">
      <x:c r="A6" s="16" t="str">
        <x:v>КрасТЭК</x:v>
      </x:c>
      <x:c r="B6" s="16" t="str">
        <x:v>2000277165-VG11</x:v>
      </x:c>
      <x:c r="C6" s="16" t="str">
        <x:v>ФИЛЬТР</x:v>
      </x:c>
      <x:c r="D6" s="16" t="str">
        <x:v>Хозтовары/инвентарь</x:v>
      </x:c>
      <x:c r="E6" s="16" t="str">
        <x:v>ШТ</x:v>
      </x:c>
      <x:c r="F6" s="21" t="n">
        <x:v>2</x:v>
      </x:c>
      <x:c r="G6" s="17" t="n">
        <x:v>3027.8325999999997</x:v>
      </x:c>
      <x:c r="H6" s="17" t="n">
        <x:f>G6*F6</x:f>
        <x:v>6055.6651999999995</x:v>
      </x:c>
      <x:c r="I6" s="22" t="str">
        <x:f>HYPERLINK("https://etp-aktiv.ru/catalog/materialy/hozyajstvennye-tovary-i-inventar/2000277165-VG11/","Открыть позицию")</x:f>
        <x:v>Открыть позицию</x:v>
      </x:c>
    </x:row>
    <x:row r="7" ht="28" customHeight="1">
      <x:c r="A7" s="16" t="str">
        <x:v>Красноярская ГРЭС-2</x:v>
      </x:c>
      <x:c r="B7" s="16" t="str">
        <x:v>2000462597-V116</x:v>
      </x:c>
      <x:c r="C7" s="16" t="str">
        <x:v>ЦИЛИНДР КОВША 4712921</x:v>
      </x:c>
      <x:c r="D7" s="16" t="str">
        <x:v>ЗЧ КарьерТехнHitachi</x:v>
      </x:c>
      <x:c r="E7" s="16" t="str">
        <x:v>ШТ</x:v>
      </x:c>
      <x:c r="F7" s="21" t="n">
        <x:v>1</x:v>
      </x:c>
      <x:c r="G7" s="17" t="n">
        <x:v>99999.99620000001</x:v>
      </x:c>
      <x:c r="H7" s="17" t="n">
        <x:f>G7*F7</x:f>
        <x:v>99999.99620000001</x:v>
      </x:c>
      <x:c r="I7" s="22" t="str">
        <x:f>HYPERLINK("https://etp-aktiv.ru/catalog/materialy/zapasnye-chasti-k-dorozhno-stroitelnoj-tekhnike/2000462597-V116/","Открыть позицию")</x:f>
        <x:v>Открыть позицию</x:v>
      </x:c>
    </x:row>
    <x:row r="8" ht="28" customHeight="1">
      <x:c r="A8" s="16" t="str">
        <x:v>Красноярская ТЭЦ-1</x:v>
      </x:c>
      <x:c r="B8" s="16" t="str">
        <x:v>2000536329-V119</x:v>
      </x:c>
      <x:c r="C8" s="16" t="str">
        <x:v>БЛОК ФИЛЬТРОВ-ДЕМПФЕРОВ БФ-02 БССДЗ</x:v>
      </x:c>
      <x:c r="D8" s="16" t="str">
        <x:v>Низковол апп-ра и ЗЧ</x:v>
      </x:c>
      <x:c r="E8" s="16" t="str">
        <x:v>ШТ</x:v>
      </x:c>
      <x:c r="F8" s="21" t="n">
        <x:v>4</x:v>
      </x:c>
      <x:c r="G8" s="17" t="n">
        <x:v>6274.789400000001</x:v>
      </x:c>
      <x:c r="H8" s="17" t="n">
        <x:f>G8*F8</x:f>
        <x:v>25099.157600000002</x:v>
      </x:c>
      <x:c r="I8" s="22" t="str">
        <x:f>HYPERLINK("https://etp-aktiv.ru/catalog/materialy/nizkovoltnaya-apparatura-i-zapasnye-chasti/2000536329-V119/","Открыть позицию")</x:f>
        <x:v>Открыть позицию</x:v>
      </x:c>
    </x:row>
    <x:row r="9" ht="28" customHeight="1">
      <x:c r="A9" s="16" t="str">
        <x:v>Красноярская ТЭЦ-1</x:v>
      </x:c>
      <x:c r="B9" s="16" t="str">
        <x:v>2000000002-V119</x:v>
      </x:c>
      <x:c r="C9" s="16" t="str">
        <x:v>ЗАКЛЕПКА 5*10 284108-П</x:v>
      </x:c>
      <x:c r="D9" s="16" t="str">
        <x:v>ЗЧ автотрансп оборуд</x:v>
      </x:c>
      <x:c r="E9" s="16" t="str">
        <x:v>ШТ</x:v>
      </x:c>
      <x:c r="F9" s="21" t="n">
        <x:v>1345</x:v>
      </x:c>
      <x:c r="G9" s="17" t="n">
        <x:v>1.3785999999999998</x:v>
      </x:c>
      <x:c r="H9" s="17" t="n">
        <x:f>G9*F9</x:f>
        <x:v>1854.2169999999999</x:v>
      </x:c>
      <x:c r="I9" s="22" t="str">
        <x:f>HYPERLINK("https://etp-aktiv.ru/catalog/materialy/zapasnye-chasti-k-avtotransportnomu-oborudovaniyu/2000000002-V119/","Открыть позицию")</x:f>
        <x:v>Открыть позицию</x:v>
      </x:c>
    </x:row>
    <x:row r="10" ht="28" customHeight="1">
      <x:c r="A10" s="16" t="str">
        <x:v>Красноярская ТЭЦ-1</x:v>
      </x:c>
      <x:c r="B10" s="16" t="str">
        <x:v>2000171655-V119</x:v>
      </x:c>
      <x:c r="C10" s="16" t="str">
        <x:v>ЛОПАТКА РАБОЧАЯ 18СТ.Т.ПТ-60-90 1130680</x:v>
      </x:c>
      <x:c r="D10" s="16" t="str">
        <x:v>ЗЧ автотрансп оборуд</x:v>
      </x:c>
      <x:c r="E10" s="16" t="str">
        <x:v>КМП</x:v>
      </x:c>
      <x:c r="F10" s="21" t="n">
        <x:v>1</x:v>
      </x:c>
      <x:c r="G10" s="17" t="n">
        <x:v>2988.6218</x:v>
      </x:c>
      <x:c r="H10" s="17" t="n">
        <x:f>G10*F10</x:f>
        <x:v>2988.6218</x:v>
      </x:c>
      <x:c r="I10" s="22" t="str">
        <x:f>HYPERLINK("https://etp-aktiv.ru/catalog/materialy/zapasnye-chasti-k-avtotransportnomu-oborudovaniyu/2000171655-V119/","Открыть позицию")</x:f>
        <x:v>Открыть позицию</x:v>
      </x:c>
    </x:row>
    <x:row r="11" ht="28" customHeight="1">
      <x:c r="A11" s="16" t="str">
        <x:v>Красноярская ТЭЦ-1</x:v>
      </x:c>
      <x:c r="B11" s="16" t="str">
        <x:v>2000631633-V119</x:v>
      </x:c>
      <x:c r="C11" s="16" t="str">
        <x:v>ПРОКЛАДКА ФИЛЬТРУЮЩАЯ SK 3183.100 5ШТ</x:v>
      </x:c>
      <x:c r="D11" s="16" t="str">
        <x:v>Низковол апп-ра и ЗЧ</x:v>
      </x:c>
      <x:c r="E11" s="16" t="str">
        <x:v>УПК</x:v>
      </x:c>
      <x:c r="F11" s="21" t="n">
        <x:v>4</x:v>
      </x:c>
      <x:c r="G11" s="17" t="n">
        <x:v>5453.9734</x:v>
      </x:c>
      <x:c r="H11" s="17" t="n">
        <x:f>G11*F11</x:f>
        <x:v>21815.8936</x:v>
      </x:c>
      <x:c r="I11" s="22" t="str">
        <x:f>HYPERLINK("https://etp-aktiv.ru/catalog/materialy/nizkovoltnaya-apparatura-i-zapasnye-chasti/2000631633-V119/","Открыть позицию")</x:f>
        <x:v>Открыть позицию</x:v>
      </x:c>
    </x:row>
    <x:row r="12" ht="28" customHeight="1">
      <x:c r="A12" s="16" t="str">
        <x:v>Красноярская ТЭЦ-1</x:v>
      </x:c>
      <x:c r="B12" s="16" t="str">
        <x:v>2000038169-V119</x:v>
      </x:c>
      <x:c r="C12" s="16" t="str">
        <x:v>РЕМЕНЬ 1650</x:v>
      </x:c>
      <x:c r="D12" s="16" t="str">
        <x:v>ЗЧ автотрансп оборуд</x:v>
      </x:c>
      <x:c r="E12" s="16" t="str">
        <x:v>ШТ</x:v>
      </x:c>
      <x:c r="F12" s="21" t="n">
        <x:v>4</x:v>
      </x:c>
      <x:c r="G12" s="17" t="n">
        <x:v>434.625</x:v>
      </x:c>
      <x:c r="H12" s="17" t="n">
        <x:f>G12*F12</x:f>
        <x:v>1738.5</x:v>
      </x:c>
      <x:c r="I12" s="22" t="str">
        <x:f>HYPERLINK("https://etp-aktiv.ru/catalog/materialy/zapasnye-chasti-k-avtotransportnomu-oborudovaniyu/2000038169-V119/","Открыть позицию")</x:f>
        <x:v>Открыть позицию</x:v>
      </x:c>
    </x:row>
    <x:row r="13" ht="28" customHeight="1">
      <x:c r="A13" s="16" t="str">
        <x:v>Красноярская ТЭЦ-1</x:v>
      </x:c>
      <x:c r="B13" s="16" t="str">
        <x:v>2000044198-V119</x:v>
      </x:c>
      <x:c r="C13" s="16" t="str">
        <x:v>ФИЛЬТР МАСЛЯНЫЙ М5303М</x:v>
      </x:c>
      <x:c r="D13" s="16" t="str">
        <x:v>Фильтры СпецТ/АвТран</x:v>
      </x:c>
      <x:c r="E13" s="16" t="str">
        <x:v>ШТ</x:v>
      </x:c>
      <x:c r="F13" s="21" t="n">
        <x:v>10</x:v>
      </x:c>
      <x:c r="G13" s="17" t="n">
        <x:v>145.8388</x:v>
      </x:c>
      <x:c r="H13" s="17" t="n">
        <x:f>G13*F13</x:f>
        <x:v>1458.388</x:v>
      </x:c>
      <x:c r="I13" s="22" t="str">
        <x:f>HYPERLINK("https://etp-aktiv.ru/catalog/materialy/zapasnye-chasti-k-avtotransportnomu-oborudovaniyu/2000044198-V119/","Открыть позицию")</x:f>
        <x:v>Открыть позицию</x:v>
      </x:c>
    </x:row>
    <x:row r="14" ht="28" customHeight="1">
      <x:c r="A14" s="16" t="str">
        <x:v>Красноярская ТЭЦ-1</x:v>
      </x:c>
      <x:c r="B14" s="16" t="str">
        <x:v>2000183884-V119</x:v>
      </x:c>
      <x:c r="C14" s="16" t="str">
        <x:v>ШЕСТЕРНЯ 16.37.121 Z43</x:v>
      </x:c>
      <x:c r="D14" s="16" t="str">
        <x:v>ЗЧ к ДСТ менее 20т</x:v>
      </x:c>
      <x:c r="E14" s="16" t="str">
        <x:v>ШТ</x:v>
      </x:c>
      <x:c r="F14" s="21" t="n">
        <x:v>1</x:v>
      </x:c>
      <x:c r="G14" s="17" t="n">
        <x:v>1453.3981999999999</x:v>
      </x:c>
      <x:c r="H14" s="17" t="n">
        <x:f>G14*F14</x:f>
        <x:v>1453.3981999999999</x:v>
      </x:c>
      <x:c r="I14" s="22" t="str">
        <x:f>HYPERLINK("https://etp-aktiv.ru/catalog/materialy/zapasnye-chasti-k-dorozhno-stroitelnoj-tekhnike/2000183884-V119/","Открыть позицию")</x:f>
        <x:v>Открыть позицию</x:v>
      </x:c>
    </x:row>
    <x:row r="15" ht="28" customHeight="1">
      <x:c r="A15" s="16" t="str">
        <x:v>Красноярская ТЭЦ-1</x:v>
      </x:c>
      <x:c r="B15" s="16" t="str">
        <x:v>2000183955-V119</x:v>
      </x:c>
      <x:c r="C15" s="16" t="str">
        <x:v>ШЕСТЕРНЯ СШ 20.37.105 Z22/19</x:v>
      </x:c>
      <x:c r="D15" s="16" t="str">
        <x:v>ЗЧ к ДСТ менее 20т</x:v>
      </x:c>
      <x:c r="E15" s="16" t="str">
        <x:v>ШТ</x:v>
      </x:c>
      <x:c r="F15" s="21" t="n">
        <x:v>1</x:v>
      </x:c>
      <x:c r="G15" s="17" t="n">
        <x:v>977.5737999999999</x:v>
      </x:c>
      <x:c r="H15" s="17" t="n">
        <x:f>G15*F15</x:f>
        <x:v>977.5737999999999</x:v>
      </x:c>
      <x:c r="I15" s="22" t="str">
        <x:f>HYPERLINK("https://etp-aktiv.ru/catalog/materialy/zapasnye-chasti-k-dorozhno-stroitelnoj-tekhnike/2000183955-V119/","Открыть позицию")</x:f>
        <x:v>Открыть позицию</x:v>
      </x:c>
    </x:row>
    <x:row r="16" ht="28" customHeight="1">
      <x:c r="A16" s="16" t="str">
        <x:v>Красноярская ТЭЦ-2</x:v>
      </x:c>
      <x:c r="B16" s="16" t="str">
        <x:v>2000243566-V113</x:v>
      </x:c>
      <x:c r="C16" s="16" t="str">
        <x:v>АВТОМАТ 5SX2304-7 4А 3P C</x:v>
      </x:c>
      <x:c r="D16" s="16" t="str">
        <x:v>Низковол апп-ра и ЗЧ</x:v>
      </x:c>
      <x:c r="E16" s="16" t="str">
        <x:v>ШТ</x:v>
      </x:c>
      <x:c r="F16" s="21" t="n">
        <x:v>2</x:v>
      </x:c>
      <x:c r="G16" s="17" t="n">
        <x:v>283.8452</x:v>
      </x:c>
      <x:c r="H16" s="17" t="n">
        <x:f>G16*F16</x:f>
        <x:v>567.6904</x:v>
      </x:c>
      <x:c r="I16" s="22" t="str">
        <x:f>HYPERLINK("https://etp-aktiv.ru/catalog/materialy/nizkovoltnaya-apparatura-i-zapasnye-chasti/2000243566-V113/","Открыть позицию")</x:f>
        <x:v>Открыть позицию</x:v>
      </x:c>
    </x:row>
    <x:row r="17" ht="28" customHeight="1">
      <x:c r="A17" s="16" t="str">
        <x:v>Красноярская ТЭЦ-2</x:v>
      </x:c>
      <x:c r="B17" s="16" t="str">
        <x:v>2000018891-V113</x:v>
      </x:c>
      <x:c r="C17" s="16" t="str">
        <x:v>АВТОМАТ А-3716 БУЗ РТ 16 50А</x:v>
      </x:c>
      <x:c r="D17" s="16" t="str">
        <x:v>Низковол апп-ра и ЗЧ</x:v>
      </x:c>
      <x:c r="E17" s="16" t="str">
        <x:v>ШТ</x:v>
      </x:c>
      <x:c r="F17" s="21" t="n">
        <x:v>1</x:v>
      </x:c>
      <x:c r="G17" s="17" t="n">
        <x:v>3911.625</x:v>
      </x:c>
      <x:c r="H17" s="17" t="n">
        <x:f>G17*F17</x:f>
        <x:v>3911.625</x:v>
      </x:c>
      <x:c r="I17" s="22" t="str">
        <x:f>HYPERLINK("https://etp-aktiv.ru/catalog/materialy/nizkovoltnaya-apparatura-i-zapasnye-chasti/2000018891-V113/","Открыть позицию")</x:f>
        <x:v>Открыть позицию</x:v>
      </x:c>
    </x:row>
    <x:row r="18" ht="28" customHeight="1">
      <x:c r="A18" s="16" t="str">
        <x:v>Красноярская ТЭЦ-2</x:v>
      </x:c>
      <x:c r="B18" s="16" t="str">
        <x:v>2001004024-V113</x:v>
      </x:c>
      <x:c r="C18" s="16" t="str">
        <x:v>АВТОМАТ ВА50-39ПРО 7013003 400А 3P</x:v>
      </x:c>
      <x:c r="D18" s="16" t="str">
        <x:v>Низковол апп-ра и ЗЧ</x:v>
      </x:c>
      <x:c r="E18" s="16" t="str">
        <x:v>ШТ</x:v>
      </x:c>
      <x:c r="F18" s="21" t="n">
        <x:v>1</x:v>
      </x:c>
      <x:c r="G18" s="17" t="n">
        <x:v>25502.4286</x:v>
      </x:c>
      <x:c r="H18" s="17" t="n">
        <x:f>G18*F18</x:f>
        <x:v>25502.4286</x:v>
      </x:c>
      <x:c r="I18" s="22" t="str">
        <x:f>HYPERLINK("https://etp-aktiv.ru/catalog/materialy/nizkovoltnaya-apparatura-i-zapasnye-chasti/2001004024-V113/","Открыть позицию")</x:f>
        <x:v>Открыть позицию</x:v>
      </x:c>
    </x:row>
    <x:row r="19" ht="28" customHeight="1">
      <x:c r="A19" s="16" t="str">
        <x:v>Красноярская ТЭЦ-2</x:v>
      </x:c>
      <x:c r="B19" s="16" t="str">
        <x:v>2000138437-V113</x:v>
      </x:c>
      <x:c r="C19" s="16" t="str">
        <x:v>АВТОМАТ ВК-300-БР-11-67-У-2-21 600В 16А</x:v>
      </x:c>
      <x:c r="D19" s="16" t="str">
        <x:v>Низковол апп-ра и ЗЧ</x:v>
      </x:c>
      <x:c r="E19" s="16" t="str">
        <x:v>ШТ</x:v>
      </x:c>
      <x:c r="F19" s="21" t="n">
        <x:v>1</x:v>
      </x:c>
      <x:c r="G19" s="17" t="n">
        <x:v>421.24159999999995</x:v>
      </x:c>
      <x:c r="H19" s="17" t="n">
        <x:f>G19*F19</x:f>
        <x:v>421.24159999999995</x:v>
      </x:c>
      <x:c r="I19" s="22" t="str">
        <x:f>HYPERLINK("https://etp-aktiv.ru/catalog/materialy/nizkovoltnaya-apparatura-i-zapasnye-chasti/2000138437-V113/","Открыть позицию")</x:f>
        <x:v>Открыть позицию</x:v>
      </x:c>
    </x:row>
    <x:row r="20" ht="28" customHeight="1">
      <x:c r="A20" s="16" t="str">
        <x:v>Красноярская ТЭЦ-2</x:v>
      </x:c>
      <x:c r="B20" s="16" t="str">
        <x:v>2000048649-V113</x:v>
      </x:c>
      <x:c r="C20" s="16" t="str">
        <x:v>КАБИНА 53205-5000011</x:v>
      </x:c>
      <x:c r="D20" s="16" t="str">
        <x:v>ЗЧ автотрансп оборуд</x:v>
      </x:c>
      <x:c r="E20" s="16" t="str">
        <x:v>ШТ</x:v>
      </x:c>
      <x:c r="F20" s="21" t="n">
        <x:v>1</x:v>
      </x:c>
      <x:c r="G20" s="17" t="n">
        <x:v>147829.6936</x:v>
      </x:c>
      <x:c r="H20" s="17" t="n">
        <x:f>G20*F20</x:f>
        <x:v>147829.6936</x:v>
      </x:c>
      <x:c r="I20" s="22" t="str">
        <x:f>HYPERLINK("https://etp-aktiv.ru/catalog/materialy/zapasnye-chasti-k-avtotransportnomu-oborudovaniyu/2000048649-V113/","Открыть позицию")</x:f>
        <x:v>Открыть позицию</x:v>
      </x:c>
    </x:row>
    <x:row r="21" ht="28" customHeight="1">
      <x:c r="A21" s="16" t="str">
        <x:v>Красноярская ТЭЦ-3</x:v>
      </x:c>
      <x:c r="B21" s="16" t="str">
        <x:v>2000040195-V114</x:v>
      </x:c>
      <x:c r="C21" s="16" t="str">
        <x:v>СИГНАЛ ЗВУКОВОЙ С-311-Б</x:v>
      </x:c>
      <x:c r="D21" s="16" t="str">
        <x:v>ЗЧ к ДСТ менее 20т</x:v>
      </x:c>
      <x:c r="E21" s="16" t="str">
        <x:v>ШТ</x:v>
      </x:c>
      <x:c r="F21" s="21" t="n">
        <x:v>1</x:v>
      </x:c>
      <x:c r="G21" s="17" t="n">
        <x:v>396.84159999999997</x:v>
      </x:c>
      <x:c r="H21" s="17" t="n">
        <x:f>G21*F21</x:f>
        <x:v>396.84159999999997</x:v>
      </x:c>
      <x:c r="I21" s="22" t="str">
        <x:f>HYPERLINK("https://etp-aktiv.ru/catalog/materialy/zapasnye-chasti-k-dorozhno-stroitelnoj-tekhnike/2000040195-V114/","Открыть позицию")</x:f>
        <x:v>Открыть позицию</x:v>
      </x:c>
    </x:row>
    <x:row r="22" ht="28" customHeight="1">
      <x:c r="A22" s="16" t="str">
        <x:v>Минусинская ТЭЦ</x:v>
      </x:c>
      <x:c r="B22" s="16" t="str">
        <x:v>2000220536-V112</x:v>
      </x:c>
      <x:c r="C22" s="16" t="str">
        <x:v>ЗАМОК-ВЫКЛЮЧАТЕЛЬ ВК-856</x:v>
      </x:c>
      <x:c r="D22" s="16" t="str">
        <x:v>ЗЧ к ДСТ менее 20т</x:v>
      </x:c>
      <x:c r="E22" s="16" t="str">
        <x:v>ШТ</x:v>
      </x:c>
      <x:c r="F22" s="21" t="n">
        <x:v>11</x:v>
      </x:c>
      <x:c r="G22" s="17" t="n">
        <x:v>263.0442</x:v>
      </x:c>
      <x:c r="H22" s="17" t="n">
        <x:f>G22*F22</x:f>
        <x:v>2893.4862</x:v>
      </x:c>
      <x:c r="I22" s="22" t="str">
        <x:f>HYPERLINK("https://etp-aktiv.ru/catalog/materialy/zapasnye-chasti-k-dorozhno-stroitelnoj-tekhnike/2000220536-V112/","Открыть позицию")</x:f>
        <x:v>Открыть позицию</x:v>
      </x:c>
    </x:row>
    <x:row r="23" ht="28" customHeight="1">
      <x:c r="A23" s="16" t="str">
        <x:v>Минусинская ТЭЦ</x:v>
      </x:c>
      <x:c r="B23" s="16" t="str">
        <x:v>2000290474-V112</x:v>
      </x:c>
      <x:c r="C23" s="16" t="str">
        <x:v>ФИЛЬТР ТОНКОЙ ОЧИСТКИ FF42000</x:v>
      </x:c>
      <x:c r="D23" s="16" t="str">
        <x:v>Фильтры СпецТ/АвТран</x:v>
      </x:c>
      <x:c r="E23" s="16" t="str">
        <x:v>ШТ</x:v>
      </x:c>
      <x:c r="F23" s="21" t="n">
        <x:v>2</x:v>
      </x:c>
      <x:c r="G23" s="17" t="n">
        <x:v>240.19359999999998</x:v>
      </x:c>
      <x:c r="H23" s="17" t="n">
        <x:f>G23*F23</x:f>
        <x:v>480.38719999999995</x:v>
      </x:c>
      <x:c r="I23" s="22" t="str">
        <x:f>HYPERLINK("https://etp-aktiv.ru/catalog/materialy/zapasnye-chasti-k-avtotransportnomu-oborudovaniyu/2000290474-V112/","Открыть позицию")</x:f>
        <x:v>Открыть позицию</x:v>
      </x:c>
    </x:row>
    <x:row r="24" ht="28" customHeight="1">
      <x:c r="A24" s="16" t="str">
        <x:v>Минусинская ТЭЦ</x:v>
      </x:c>
      <x:c r="B24" s="16" t="str">
        <x:v>2000387459-V112</x:v>
      </x:c>
      <x:c r="C24" s="16" t="str">
        <x:v>ФИЛЬТР ТОПЛИВНЫЙ ЭФТ-75-1117040А</x:v>
      </x:c>
      <x:c r="D24" s="16" t="str">
        <x:v>Фильтры СпецТ/АвТран</x:v>
      </x:c>
      <x:c r="E24" s="16" t="str">
        <x:v>ШТ</x:v>
      </x:c>
      <x:c r="F24" s="21" t="n">
        <x:v>18</x:v>
      </x:c>
      <x:c r="G24" s="17" t="n">
        <x:v>85.7782</x:v>
      </x:c>
      <x:c r="H24" s="17" t="n">
        <x:f>G24*F24</x:f>
        <x:v>1544.0076</x:v>
      </x:c>
      <x:c r="I24" s="22" t="str">
        <x:f>HYPERLINK("https://etp-aktiv.ru/catalog/materialy/zapasnye-chasti-k-avtotransportnomu-oborudovaniyu/2000387459-V112/","Открыть позицию")</x:f>
        <x:v>Открыть позицию</x:v>
      </x:c>
    </x:row>
    <x:row r="25" ht="28" customHeight="1">
      <x:c r="A25" s="16" t="str">
        <x:v>Назаровская ГРЭС</x:v>
      </x:c>
      <x:c r="B25" s="16" t="str">
        <x:v>2000173492-V311</x:v>
      </x:c>
      <x:c r="C25" s="16" t="str">
        <x:v>АВТОМАТ ВА 47-29 10А 1P</x:v>
      </x:c>
      <x:c r="D25" s="16" t="str">
        <x:v>Низковол апп-ра и ЗЧ</x:v>
      </x:c>
      <x:c r="E25" s="16" t="str">
        <x:v>ШТ</x:v>
      </x:c>
      <x:c r="F25" s="21" t="n">
        <x:v>1</x:v>
      </x:c>
      <x:c r="G25" s="17" t="n">
        <x:v>52.2892</x:v>
      </x:c>
      <x:c r="H25" s="17" t="n">
        <x:f>G25*F25</x:f>
        <x:v>52.2892</x:v>
      </x:c>
      <x:c r="I25" s="22" t="str">
        <x:f>HYPERLINK("https://etp-aktiv.ru/catalog/materialy/nizkovoltnaya-apparatura-i-zapasnye-chasti/2000173492-V311/","Открыть позицию")</x:f>
        <x:v>Открыть позицию</x:v>
      </x:c>
    </x:row>
    <x:row r="26" ht="28" customHeight="1">
      <x:c r="A26" s="16" t="str">
        <x:v>Назаровская ГРЭС</x:v>
      </x:c>
      <x:c r="B26" s="16" t="str">
        <x:v>2000581449-V311</x:v>
      </x:c>
      <x:c r="C26" s="16" t="str">
        <x:v>БОЛТ М8*90 16045021</x:v>
      </x:c>
      <x:c r="D26" s="16" t="str">
        <x:v>ЗЧ автотрансп оборуд</x:v>
      </x:c>
      <x:c r="E26" s="16" t="str">
        <x:v>ШТ</x:v>
      </x:c>
      <x:c r="F26" s="21" t="n">
        <x:v>3</x:v>
      </x:c>
      <x:c r="G26" s="17" t="n">
        <x:v>27.45</x:v>
      </x:c>
      <x:c r="H26" s="17" t="n">
        <x:f>G26*F26</x:f>
        <x:v>82.35</x:v>
      </x:c>
      <x:c r="I26" s="22" t="str">
        <x:f>HYPERLINK("https://etp-aktiv.ru/catalog/materialy/zapasnye-chasti-k-avtotransportnomu-oborudovaniyu/2000581449-V311/","Открыть позицию")</x:f>
        <x:v>Открыть позицию</x:v>
      </x:c>
    </x:row>
    <x:row r="27" ht="28" customHeight="1">
      <x:c r="A27" s="16" t="str">
        <x:v>Назаровская ГРЭС</x:v>
      </x:c>
      <x:c r="B27" s="16" t="str">
        <x:v>2000511021-V311</x:v>
      </x:c>
      <x:c r="C27" s="16" t="str">
        <x:v>ВИНТ М10*1,5*20 290781-П29</x:v>
      </x:c>
      <x:c r="D27" s="16" t="str">
        <x:v>ЗЧ автотрансп оборуд</x:v>
      </x:c>
      <x:c r="E27" s="16" t="str">
        <x:v>ШТ</x:v>
      </x:c>
      <x:c r="F27" s="21" t="n">
        <x:v>1200</x:v>
      </x:c>
      <x:c r="G27" s="17" t="n">
        <x:v>12.9198</x:v>
      </x:c>
      <x:c r="H27" s="17" t="n">
        <x:f>G27*F27</x:f>
        <x:v>15503.76</x:v>
      </x:c>
      <x:c r="I27" s="22" t="str">
        <x:f>HYPERLINK("https://etp-aktiv.ru/catalog/materialy/zapasnye-chasti-k-avtotransportnomu-oborudovaniyu/2000511021-V311/","Открыть позицию")</x:f>
        <x:v>Открыть позицию</x:v>
      </x:c>
    </x:row>
    <x:row r="28" ht="28" customHeight="1">
      <x:c r="A28" s="16" t="str">
        <x:v>Назаровская ГРЭС</x:v>
      </x:c>
      <x:c r="B28" s="16" t="str">
        <x:v>2000582682-V311</x:v>
      </x:c>
      <x:c r="C28" s="16" t="str">
        <x:v>ВТУЛКА ЗАЩИТНАЯ СЧ20 Н01.05.00.006</x:v>
      </x:c>
      <x:c r="D28" s="16" t="str">
        <x:v>ЗЧ автотрансп оборуд</x:v>
      </x:c>
      <x:c r="E28" s="16" t="str">
        <x:v>ШТ</x:v>
      </x:c>
      <x:c r="F28" s="21" t="n">
        <x:v>2</x:v>
      </x:c>
      <x:c r="G28" s="17" t="n">
        <x:v>708.3808</x:v>
      </x:c>
      <x:c r="H28" s="17" t="n">
        <x:f>G28*F28</x:f>
        <x:v>1416.7616</x:v>
      </x:c>
      <x:c r="I28" s="22" t="str">
        <x:f>HYPERLINK("https://etp-aktiv.ru/catalog/materialy/zapasnye-chasti-k-avtotransportnomu-oborudovaniyu/2000582682-V311/","Открыть позицию")</x:f>
        <x:v>Открыть позицию</x:v>
      </x:c>
    </x:row>
    <x:row r="29" ht="28" customHeight="1">
      <x:c r="A29" s="16" t="str">
        <x:v>Назаровская ГРЭС</x:v>
      </x:c>
      <x:c r="B29" s="16" t="str">
        <x:v>2000582896-V311</x:v>
      </x:c>
      <x:c r="C29" s="16" t="str">
        <x:v>КОЛЬЦО УПЛОТНИТЕЛЬНОЕ 62054</x:v>
      </x:c>
      <x:c r="D29" s="16" t="str">
        <x:v>ЗЧ автотрансп оборуд</x:v>
      </x:c>
      <x:c r="E29" s="16" t="str">
        <x:v>ШТ</x:v>
      </x:c>
      <x:c r="F29" s="21" t="n">
        <x:v>1</x:v>
      </x:c>
      <x:c r="G29" s="17" t="n">
        <x:v>8872.0474</x:v>
      </x:c>
      <x:c r="H29" s="17" t="n">
        <x:f>G29*F29</x:f>
        <x:v>8872.0474</x:v>
      </x:c>
      <x:c r="I29" s="22" t="str">
        <x:f>HYPERLINK("https://etp-aktiv.ru/catalog/materialy/zapasnye-chasti-k-avtotransportnomu-oborudovaniyu/2000582896-V311/","Открыть позицию")</x:f>
        <x:v>Открыть позицию</x:v>
      </x:c>
    </x:row>
    <x:row r="30" ht="28" customHeight="1">
      <x:c r="A30" s="16" t="str">
        <x:v>Назаровская ГРЭС</x:v>
      </x:c>
      <x:c r="B30" s="16" t="str">
        <x:v>2000003075-V311</x:v>
      </x:c>
      <x:c r="C30" s="16" t="str">
        <x:v>ПРОКЛАДКА 236-1003210</x:v>
      </x:c>
      <x:c r="D30" s="16" t="str">
        <x:v>ЗЧ автотрансп оборуд</x:v>
      </x:c>
      <x:c r="E30" s="16" t="str">
        <x:v>ШТ</x:v>
      </x:c>
      <x:c r="F30" s="21" t="n">
        <x:v>2</x:v>
      </x:c>
      <x:c r="G30" s="17" t="n">
        <x:v>85.1316</x:v>
      </x:c>
      <x:c r="H30" s="17" t="n">
        <x:f>G30*F30</x:f>
        <x:v>170.2632</x:v>
      </x:c>
      <x:c r="I30" s="22" t="str">
        <x:f>HYPERLINK("https://etp-aktiv.ru/catalog/materialy/zapasnye-chasti-k-avtotransportnomu-oborudovaniyu/2000003075-V311/","Открыть позицию")</x:f>
        <x:v>Открыть позицию</x:v>
      </x:c>
    </x:row>
    <x:row r="31" ht="28" customHeight="1">
      <x:c r="A31" s="16" t="str">
        <x:v>Назаровская ГРЭС</x:v>
      </x:c>
      <x:c r="B31" s="16" t="str">
        <x:v>2000536906-V311</x:v>
      </x:c>
      <x:c r="C31" s="16" t="str">
        <x:v>ПРОКЛАДКА ФИЛЬТРИРУЮЩАЯ SK 3171.100 5ШТ</x:v>
      </x:c>
      <x:c r="D31" s="16" t="str">
        <x:v>Низковол апп-ра и ЗЧ</x:v>
      </x:c>
      <x:c r="E31" s="16" t="str">
        <x:v>УПК</x:v>
      </x:c>
      <x:c r="F31" s="21" t="n">
        <x:v>1</x:v>
      </x:c>
      <x:c r="G31" s="17" t="n">
        <x:v>293.30019999999996</x:v>
      </x:c>
      <x:c r="H31" s="17" t="n">
        <x:f>G31*F31</x:f>
        <x:v>293.30019999999996</x:v>
      </x:c>
      <x:c r="I31" s="22" t="str">
        <x:f>HYPERLINK("https://etp-aktiv.ru/catalog/materialy/nizkovoltnaya-apparatura-i-zapasnye-chasti/2000536906-V311/","Открыть позицию")</x:f>
        <x:v>Открыть позицию</x:v>
      </x:c>
    </x:row>
    <x:row r="32" ht="28" customHeight="1">
      <x:c r="A32" s="16" t="str">
        <x:v>Назаровская ГРЭС</x:v>
      </x:c>
      <x:c r="B32" s="16" t="str">
        <x:v>2000040761-V311</x:v>
      </x:c>
      <x:c r="C32" s="16" t="str">
        <x:v>СОШКА 52-3405042</x:v>
      </x:c>
      <x:c r="D32" s="16" t="str">
        <x:v>ЗЧ КарьернТехнЧетра</x:v>
      </x:c>
      <x:c r="E32" s="16" t="str">
        <x:v>ШТ</x:v>
      </x:c>
      <x:c r="F32" s="21" t="n">
        <x:v>1</x:v>
      </x:c>
      <x:c r="G32" s="17" t="n">
        <x:v>665.083</x:v>
      </x:c>
      <x:c r="H32" s="17" t="n">
        <x:f>G32*F32</x:f>
        <x:v>665.083</x:v>
      </x:c>
      <x:c r="I32" s="22" t="str">
        <x:f>HYPERLINK("https://etp-aktiv.ru/catalog/materialy/zapasnye-chasti-k-dorozhno-stroitelnoj-tekhnike/2000040761-V311/","Открыть позицию")</x:f>
        <x:v>Открыть позицию</x:v>
      </x:c>
    </x:row>
    <x:row r="33" ht="28" customHeight="1">
      <x:c r="A33" s="16" t="str">
        <x:v>Назаровская ГРЭС</x:v>
      </x:c>
      <x:c r="B33" s="16" t="str">
        <x:v>2000006233-V311</x:v>
      </x:c>
      <x:c r="C33" s="16" t="str">
        <x:v>ФИЛЬТР 690А-1-24/19</x:v>
      </x:c>
      <x:c r="D33" s="16" t="str">
        <x:v>Фильтры СпецТ/АвТран</x:v>
      </x:c>
      <x:c r="E33" s="16" t="str">
        <x:v>ШТ</x:v>
      </x:c>
      <x:c r="F33" s="21" t="n">
        <x:v>1</x:v>
      </x:c>
      <x:c r="G33" s="17" t="n">
        <x:v>618.8206</x:v>
      </x:c>
      <x:c r="H33" s="17" t="n">
        <x:f>G33*F33</x:f>
        <x:v>618.8206</x:v>
      </x:c>
      <x:c r="I33" s="22" t="str">
        <x:f>HYPERLINK("https://etp-aktiv.ru/catalog/materialy/zapasnye-chasti-k-avtotransportnomu-oborudovaniyu/2000006233-V311/","Открыть позицию")</x:f>
        <x:v>Открыть позицию</x:v>
      </x:c>
    </x:row>
    <x:row r="34" ht="28" customHeight="1">
      <x:c r="A34" s="16" t="str">
        <x:v>Назаровская ГРЭС</x:v>
      </x:c>
      <x:c r="B34" s="16" t="str">
        <x:v>2000128337-V311</x:v>
      </x:c>
      <x:c r="C34" s="16" t="str">
        <x:v>ХОМУТ ПРОВОЛОЧНЫЙ 25-29ММ</x:v>
      </x:c>
      <x:c r="D34" s="16" t="str">
        <x:v>ЗЧ к ДСТ менее 20т</x:v>
      </x:c>
      <x:c r="E34" s="16" t="str">
        <x:v>ШТ</x:v>
      </x:c>
      <x:c r="F34" s="21" t="n">
        <x:v>203</x:v>
      </x:c>
      <x:c r="G34" s="17" t="n">
        <x:v>60.048399999999994</x:v>
      </x:c>
      <x:c r="H34" s="17" t="n">
        <x:f>G34*F34</x:f>
        <x:v>12189.8252</x:v>
      </x:c>
      <x:c r="I34" s="22" t="str">
        <x:f>HYPERLINK("https://etp-aktiv.ru/catalog/materialy/zapasnye-chasti-k-dorozhno-stroitelnoj-tekhnike/2000128337-V311/","Открыть позицию")</x:f>
        <x:v>Открыть позицию</x:v>
      </x:c>
    </x:row>
    <x:row r="35" ht="28" customHeight="1">
      <x:c r="A35" s="16" t="str">
        <x:v>Назаровская ГРЭС</x:v>
      </x:c>
      <x:c r="B35" s="16" t="str">
        <x:v>2000515784-V311</x:v>
      </x:c>
      <x:c r="C35" s="16" t="str">
        <x:v>ШПЛИНТ 3*50 26000026</x:v>
      </x:c>
      <x:c r="D35" s="16" t="str">
        <x:v>ЗЧ автотрансп оборуд</x:v>
      </x:c>
      <x:c r="E35" s="16" t="str">
        <x:v>ШТ</x:v>
      </x:c>
      <x:c r="F35" s="21" t="n">
        <x:v>40</x:v>
      </x:c>
      <x:c r="G35" s="17" t="n">
        <x:v>6.8686</x:v>
      </x:c>
      <x:c r="H35" s="17" t="n">
        <x:f>G35*F35</x:f>
        <x:v>274.74399999999997</x:v>
      </x:c>
      <x:c r="I35" s="22" t="str">
        <x:f>HYPERLINK("https://etp-aktiv.ru/catalog/materialy/zapasnye-chasti-k-avtotransportnomu-oborudovaniyu/2000515784-V311/","Открыть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7b9477c6328e458f"/>
  </x:tableParts>
</x:worksheet>
</file>

<file path=xl/worksheets/sheet1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Красноярск: Прочие специализированные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Красноярская ГРЭС-2</x:v>
      </x:c>
      <x:c r="B5" s="16" t="str">
        <x:v>5000040693-V116</x:v>
      </x:c>
      <x:c r="C5" s="16" t="str">
        <x:v>ПОЛКА VITA ЛДСП 700*300*500</x:v>
      </x:c>
      <x:c r="D5" s="16" t="str">
        <x:v>Мебель и быт техника</x:v>
      </x:c>
      <x:c r="E5" s="16" t="str">
        <x:v>ШТ</x:v>
      </x:c>
      <x:c r="F5" s="21" t="n">
        <x:v>1</x:v>
      </x:c>
      <x:c r="G5" s="17" t="n">
        <x:v>10293.75</x:v>
      </x:c>
      <x:c r="H5" s="17" t="n">
        <x:f>G5*F5</x:f>
        <x:v>10293.75</x:v>
      </x:c>
      <x:c r="I5" s="22" t="str">
        <x:f>HYPERLINK("https://etp-aktiv.ru/catalog/materialy/mebel-i-bytovaya-tekhnika/5000040693-V116/","Открыть позицию")</x:f>
        <x:v>Открыть позицию</x:v>
      </x:c>
    </x:row>
    <x:row r="6" ht="28" customHeight="1">
      <x:c r="A6" s="16" t="str">
        <x:v>Красноярская ТЭЦ-3</x:v>
      </x:c>
      <x:c r="B6" s="16" t="str">
        <x:v>5000069032-V114</x:v>
      </x:c>
      <x:c r="C6" s="16" t="str">
        <x:v>КРОВАТЬ НАДИН С407 1970*733*340</x:v>
      </x:c>
      <x:c r="D6" s="16" t="str">
        <x:v>Мебель и быт техника</x:v>
      </x:c>
      <x:c r="E6" s="16" t="str">
        <x:v>ШТ</x:v>
      </x:c>
      <x:c r="F6" s="21" t="n">
        <x:v>131</x:v>
      </x:c>
      <x:c r="G6" s="17" t="n">
        <x:v>885.2686</x:v>
      </x:c>
      <x:c r="H6" s="17" t="n">
        <x:f>G6*F6</x:f>
        <x:v>115970.1866</x:v>
      </x:c>
      <x:c r="I6" s="22" t="str">
        <x:f>HYPERLINK("https://etp-aktiv.ru/catalog/materialy/mebel-i-bytovaya-tekhnika/5000069032-V114/","Открыть позицию")</x:f>
        <x:v>Открыть позицию</x:v>
      </x:c>
    </x:row>
    <x:row r="7" ht="28" customHeight="1">
      <x:c r="A7" s="16" t="str">
        <x:v>Минусинская ТЭЦ</x:v>
      </x:c>
      <x:c r="B7" s="16" t="str">
        <x:v>2000552317-V112</x:v>
      </x:c>
      <x:c r="C7" s="16" t="str">
        <x:v>ПЛЕНКА 0,6*450 ПЭКОМ ТУ2245-006-05801845</x:v>
      </x:c>
      <x:c r="D7" s="16" t="str">
        <x:v>Тара, тарные матер</x:v>
      </x:c>
      <x:c r="E7" s="16" t="str">
        <x:v>КГ</x:v>
      </x:c>
      <x:c r="F7" s="21" t="n">
        <x:v>42</x:v>
      </x:c>
      <x:c r="G7" s="17" t="n">
        <x:v>127.9658</x:v>
      </x:c>
      <x:c r="H7" s="17" t="n">
        <x:f>G7*F7</x:f>
        <x:v>5374.5636</x:v>
      </x:c>
      <x:c r="I7" s="22" t="str">
        <x:f>HYPERLINK("https://etp-aktiv.ru/catalog/materialy/tara/2000552317-V112/","Открыть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0dae2c610fb34473"/>
  </x:tableParts>
</x:worksheet>
</file>