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tables/table13.xml" ContentType="application/vnd.openxmlformats-officedocument.spreadsheetml.table+xml"/>
  <Override PartName="/xl/worksheets/sheet14.xml" ContentType="application/vnd.openxmlformats-officedocument.spreadsheetml.worksheet+xml"/>
  <Override PartName="/xl/tables/table14.xml" ContentType="application/vnd.openxmlformats-officedocument.spreadsheetml.table+xml"/>
  <Override PartName="/xl/worksheets/sheet15.xml" ContentType="application/vnd.openxmlformats-officedocument.spreadsheetml.worksheet+xml"/>
  <Override PartName="/xl/tables/table15.xml" ContentType="application/vnd.openxmlformats-officedocument.spreadsheetml.table+xml"/>
  <Override PartName="/xl/worksheets/sheet16.xml" ContentType="application/vnd.openxmlformats-officedocument.spreadsheetml.worksheet+xml"/>
  <Override PartName="/xl/tables/table1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6cd0f91024b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водка" sheetId="1" r:id="Ra0dc9f1920094508"/>
    <x:sheet xmlns:r="http://schemas.openxmlformats.org/officeDocument/2006/relationships" name="ЗИП турбогенераторов" sheetId="2" r:id="R25fcf870b4264601"/>
    <x:sheet xmlns:r="http://schemas.openxmlformats.org/officeDocument/2006/relationships" name="КВО и ЗИП" sheetId="3" r:id="R7256ab5645604055"/>
    <x:sheet xmlns:r="http://schemas.openxmlformats.org/officeDocument/2006/relationships" name="Турбинное оборудование" sheetId="4" r:id="R21ff6ceffeda400d"/>
    <x:sheet xmlns:r="http://schemas.openxmlformats.org/officeDocument/2006/relationships" name="ЖД оборудование и ВСП" sheetId="5" r:id="Rbcdee813ba4240f4"/>
    <x:sheet xmlns:r="http://schemas.openxmlformats.org/officeDocument/2006/relationships" name="Промбезопасность" sheetId="6" r:id="Ra271557bc3fe457c"/>
    <x:sheet xmlns:r="http://schemas.openxmlformats.org/officeDocument/2006/relationships" name="Строительные материалы" sheetId="7" r:id="Rd72e2003bf074230"/>
    <x:sheet xmlns:r="http://schemas.openxmlformats.org/officeDocument/2006/relationships" name="Трубы и фитинги" sheetId="8" r:id="R9a5f481ae7bb4d00"/>
    <x:sheet xmlns:r="http://schemas.openxmlformats.org/officeDocument/2006/relationships" name="Металлопрокат и сварка" sheetId="9" r:id="R17dc3773eebb4a0c"/>
    <x:sheet xmlns:r="http://schemas.openxmlformats.org/officeDocument/2006/relationships" name="Кабельно-проводниковая" sheetId="10" r:id="Rb6e9d4baefdb4fe9"/>
    <x:sheet xmlns:r="http://schemas.openxmlformats.org/officeDocument/2006/relationships" name="Электрооборудование" sheetId="11" r:id="Rcd9e3c76ce1e470c"/>
    <x:sheet xmlns:r="http://schemas.openxmlformats.org/officeDocument/2006/relationships" name="МРО механика и ЗИП" sheetId="12" r:id="R30c30bd6f06542ef"/>
    <x:sheet xmlns:r="http://schemas.openxmlformats.org/officeDocument/2006/relationships" name="Изоляция РТИ огнеупоры" sheetId="13" r:id="Rf4f861951a0e4b52"/>
    <x:sheet xmlns:r="http://schemas.openxmlformats.org/officeDocument/2006/relationships" name="Химматериалы" sheetId="14" r:id="R9108e32857b84867"/>
    <x:sheet xmlns:r="http://schemas.openxmlformats.org/officeDocument/2006/relationships" name="Авто и спецтехника" sheetId="15" r:id="R26eb4a8604bc4605"/>
    <x:sheet xmlns:r="http://schemas.openxmlformats.org/officeDocument/2006/relationships" name="Прочие специализированные" sheetId="16" r:id="Rbbe3a39bf8ac44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 &quot;₽&quot;"/>
    <x:numFmt numFmtId="201" formatCode="#,##0"/>
    <x:numFmt numFmtId="202" formatCode="0.###"/>
    <x:numFmt numFmtId="203" formatCode="#,##0.##"/>
  </x:numFmts>
  <x:fonts count="5">
    <x:font>
      <x:sz val="11"/>
      <x:name val="Carlito"/>
    </x:font>
    <x:font>
      <x:b/>
      <x:sz val="16"/>
      <x:color rgb="FF1F2937"/>
      <x:name val="Arial"/>
    </x:font>
    <x:font>
      <x:i/>
      <x:sz val="10"/>
      <x:color rgb="FF5B677A"/>
      <x:name val="Arial"/>
    </x:font>
    <x:font>
      <x:b/>
      <x:sz val="10"/>
      <x:color rgb="FFFFFFFF"/>
      <x:name val="Arial"/>
    </x:font>
    <x:font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1">
    <x:border/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201" fontId="4" fillId="0" borderId="0" xfId="0" applyNumberFormat="1" applyFont="1" applyFill="1" applyBorder="1"/>
    <x:xf numFmtId="201" fontId="4" fillId="0" borderId="0" xfId="0" applyNumberFormat="1" applyFont="1" applyFill="1" applyBorder="1" applyAlignment="1">
      <x:alignment wrapText="1"/>
    </x:xf>
    <x:xf numFmtId="201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0"/>
    </x:xf>
    <x:xf numFmtId="202" fontId="0" fillId="0" borderId="0" xfId="0" applyNumberFormat="1" applyFont="1" applyFill="1" applyBorder="1"/>
    <x:xf numFmtId="202" fontId="4" fillId="0" borderId="0" xfId="0" applyNumberFormat="1" applyFont="1" applyFill="1" applyBorder="1"/>
    <x:xf numFmtId="202" fontId="4" fillId="0" borderId="0" xfId="0" applyNumberFormat="1" applyFont="1" applyFill="1" applyBorder="1" applyAlignment="1">
      <x:alignment wrapText="1"/>
    </x:xf>
    <x:xf numFmtId="202" fontId="4" fillId="0" borderId="0" xfId="0" applyNumberFormat="1" applyFont="1" applyFill="1" applyBorder="1" applyAlignment="1">
      <x:alignment vertical="center" wrapText="1"/>
    </x:xf>
    <x:xf numFmtId="203" fontId="0" fillId="0" borderId="0" xfId="0" applyNumberFormat="1" applyFont="1" applyFill="1" applyBorder="1"/>
    <x:xf numFmtId="203" fontId="4" fillId="0" borderId="0" xfId="0" applyNumberFormat="1" applyFont="1" applyFill="1" applyBorder="1"/>
    <x:xf numFmtId="203" fontId="4" fillId="0" borderId="0" xfId="0" applyNumberFormat="1" applyFont="1" applyFill="1" applyBorder="1" applyAlignment="1">
      <x:alignment wrapText="1"/>
    </x:xf>
    <x:xf numFmtId="203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23f18dc4f747b6" /><Relationship Type="http://schemas.openxmlformats.org/officeDocument/2006/relationships/theme" Target="/xl/theme/theme1.xml" Id="Re21e3c9c6d3c4600" /><Relationship Type="http://schemas.openxmlformats.org/officeDocument/2006/relationships/sharedStrings" Target="/xl/sharedStrings.xml" Id="R1ec5049355194286" /><Relationship Type="http://schemas.openxmlformats.org/officeDocument/2006/relationships/worksheet" Target="/xl/worksheets/sheet1.xml" Id="Ra0dc9f1920094508" /><Relationship Type="http://schemas.openxmlformats.org/officeDocument/2006/relationships/worksheet" Target="/xl/worksheets/sheet2.xml" Id="R25fcf870b4264601" /><Relationship Type="http://schemas.openxmlformats.org/officeDocument/2006/relationships/worksheet" Target="/xl/worksheets/sheet3.xml" Id="R7256ab5645604055" /><Relationship Type="http://schemas.openxmlformats.org/officeDocument/2006/relationships/worksheet" Target="/xl/worksheets/sheet4.xml" Id="R21ff6ceffeda400d" /><Relationship Type="http://schemas.openxmlformats.org/officeDocument/2006/relationships/worksheet" Target="/xl/worksheets/sheet5.xml" Id="Rbcdee813ba4240f4" /><Relationship Type="http://schemas.openxmlformats.org/officeDocument/2006/relationships/worksheet" Target="/xl/worksheets/sheet6.xml" Id="Ra271557bc3fe457c" /><Relationship Type="http://schemas.openxmlformats.org/officeDocument/2006/relationships/worksheet" Target="/xl/worksheets/sheet7.xml" Id="Rd72e2003bf074230" /><Relationship Type="http://schemas.openxmlformats.org/officeDocument/2006/relationships/worksheet" Target="/xl/worksheets/sheet8.xml" Id="R9a5f481ae7bb4d00" /><Relationship Type="http://schemas.openxmlformats.org/officeDocument/2006/relationships/worksheet" Target="/xl/worksheets/sheet9.xml" Id="R17dc3773eebb4a0c" /><Relationship Type="http://schemas.openxmlformats.org/officeDocument/2006/relationships/worksheet" Target="/xl/worksheets/sheet10.xml" Id="Rb6e9d4baefdb4fe9" /><Relationship Type="http://schemas.openxmlformats.org/officeDocument/2006/relationships/worksheet" Target="/xl/worksheets/sheet11.xml" Id="Rcd9e3c76ce1e470c" /><Relationship Type="http://schemas.openxmlformats.org/officeDocument/2006/relationships/worksheet" Target="/xl/worksheets/sheet12.xml" Id="R30c30bd6f06542ef" /><Relationship Type="http://schemas.openxmlformats.org/officeDocument/2006/relationships/worksheet" Target="/xl/worksheets/sheet13.xml" Id="Rf4f861951a0e4b52" /><Relationship Type="http://schemas.openxmlformats.org/officeDocument/2006/relationships/worksheet" Target="/xl/worksheets/sheet14.xml" Id="R9108e32857b84867" /><Relationship Type="http://schemas.openxmlformats.org/officeDocument/2006/relationships/worksheet" Target="/xl/worksheets/sheet15.xml" Id="R26eb4a8604bc4605" /><Relationship Type="http://schemas.openxmlformats.org/officeDocument/2006/relationships/worksheet" Target="/xl/worksheets/sheet16.xml" Id="Rbbe3a39bf8ac4450" /></Relationships>
</file>

<file path=xl/tables/table1.xml><?xml version="1.0" encoding="utf-8"?>
<x:table xmlns:x="http://schemas.openxmlformats.org/spreadsheetml/2006/main" id="1" name="CategorySummary" displayName="CategorySummary" ref="A4:F19" headerRowCount="1" totalsRowCount="0" totalsRowShown="0">
  <x:tableColumns count="6">
    <x:tableColumn id="1" name="Товарная категория"/>
    <x:tableColumn id="2" name="Лист"/>
    <x:tableColumn id="3" name="Позиций"/>
    <x:tableColumn id="4" name="ПЕ"/>
    <x:tableColumn id="5" name="Сумма с НДС, ₽"/>
    <x:tableColumn id="6" name="Статус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ategory01" displayName="Category01" ref="A4:I10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ategory02" displayName="Category02" ref="A4:I27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ategory03" displayName="Category03" ref="A4:I36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Category04" displayName="Category04" ref="A4:I62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Category05" displayName="Category05" ref="A4:I12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Category06" displayName="Category06" ref="A4:I106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Category07" displayName="Category07" ref="A4:I365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Category08" displayName="Category08" ref="A4:I474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Category09" displayName="Category09" ref="A4:I93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Category10" displayName="Category10" ref="A4:I283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Category11" displayName="Category11" ref="A4:I551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3.xml><?xml version="1.0" encoding="utf-8"?>
<x:table xmlns:x="http://schemas.openxmlformats.org/spreadsheetml/2006/main" id="13" name="Category12" displayName="Category12" ref="A4:I293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4.xml><?xml version="1.0" encoding="utf-8"?>
<x:table xmlns:x="http://schemas.openxmlformats.org/spreadsheetml/2006/main" id="14" name="Category13" displayName="Category13" ref="A4:I112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5.xml><?xml version="1.0" encoding="utf-8"?>
<x:table xmlns:x="http://schemas.openxmlformats.org/spreadsheetml/2006/main" id="15" name="Category14" displayName="Category14" ref="A4:I124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6.xml><?xml version="1.0" encoding="utf-8"?>
<x:table xmlns:x="http://schemas.openxmlformats.org/spreadsheetml/2006/main" id="16" name="Category15" displayName="Category15" ref="A4:I14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a51fd28388e430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e35e0d1fee14b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618c307b04ad46c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ca190c7a227b40e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bd86a23e24c441d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02265d29ecdd44f6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46ee51769f3d41ba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f1189edbbb2a43ab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9.xml" Id="Rf6fd14ed5dd74492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10.xml" Id="R00b1dc0f213441d6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1.xml" Id="Rd2da430c798e4e08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2.xml" Id="R59b35dc4eecc4bfd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3.xml" Id="R96e3e5e4f9f84329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4.xml" Id="R846314137c2d44da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5.xml" Id="Rc496254c2eaf4441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table" Target="/xl/tables/table16.xml" Id="R4c413e35dad447a8" /></Relationships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7" hidden="0" customWidth="1"/>
    <x:col min="2" max="2" width="28" hidden="0" customWidth="1"/>
    <x:col min="3" max="3" width="10" hidden="0" customWidth="1"/>
    <x:col min="4" max="4" width="44" hidden="0" customWidth="1"/>
    <x:col min="5" max="5" width="18" hidden="0" customWidth="1"/>
    <x:col min="6" max="6" width="29" hidden="0" customWidth="1"/>
  </x:cols>
  <x:sheetData>
    <x:row r="1" ht="28" customHeight="1">
      <x:c r="A1" s="2" t="str">
        <x:v>Неликвиды — Приморье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Товарная категория</x:v>
      </x:c>
      <x:c r="B4" s="10" t="str">
        <x:v>Лист</x:v>
      </x:c>
      <x:c r="C4" s="10" t="str">
        <x:v>Позиций</x:v>
      </x:c>
      <x:c r="D4" s="10" t="str">
        <x:v>ПЕ</x:v>
      </x:c>
      <x:c r="E4" s="10" t="str">
        <x:v>Сумма с НДС, ₽</x:v>
      </x:c>
      <x:c r="F4" s="10" t="str">
        <x:v>Статус</x:v>
      </x:c>
    </x:row>
    <x:row r="5" ht="58" customHeight="1">
      <x:c r="A5" s="16" t="str">
        <x:v>ЗИП турбогенераторов</x:v>
      </x:c>
      <x:c r="B5" s="16" t="str">
        <x:v>ЗИП турбогенераторов</x:v>
      </x:c>
      <x:c r="C5" s="16" t="n">
        <x:v>6</x:v>
      </x:c>
      <x:c r="D5" s="16" t="str">
        <x:v>Приморская ГРЭС</x:v>
      </x:c>
      <x:c r="E5" s="17" t="n">
        <x:v>4317805.699999999</x:v>
      </x:c>
      <x:c r="F5" s="16" t="str">
        <x:v>Существующая/расширенная группа</x:v>
      </x:c>
    </x:row>
    <x:row r="6" ht="58" customHeight="1">
      <x:c r="A6" s="16" t="str">
        <x:v>Котельно-вспомогательное оборудование и ЗИП</x:v>
      </x:c>
      <x:c r="B6" s="16" t="str">
        <x:v>КВО и ЗИП</x:v>
      </x:c>
      <x:c r="C6" s="16" t="n">
        <x:v>23</x:v>
      </x:c>
      <x:c r="D6" s="16" t="str">
        <x:v>Приморская ГРЭС</x:v>
      </x:c>
      <x:c r="E6" s="17" t="n">
        <x:v>9613944.259599999</x:v>
      </x:c>
      <x:c r="F6" s="16" t="str">
        <x:v>Существующая/расширенная группа</x:v>
      </x:c>
    </x:row>
    <x:row r="7" ht="58" customHeight="1">
      <x:c r="A7" s="16" t="str">
        <x:v>Турбинное оборудование и ЗИП</x:v>
      </x:c>
      <x:c r="B7" s="16" t="str">
        <x:v>Турбинное оборудование</x:v>
      </x:c>
      <x:c r="C7" s="16" t="n">
        <x:v>32</x:v>
      </x:c>
      <x:c r="D7" s="16" t="str">
        <x:v>Приморская ГРЭС</x:v>
      </x:c>
      <x:c r="E7" s="17" t="n">
        <x:v>29627496.1746</x:v>
      </x:c>
      <x:c r="F7" s="16" t="str">
        <x:v>Новая группа</x:v>
      </x:c>
    </x:row>
    <x:row r="8" ht="58" customHeight="1">
      <x:c r="A8" s="16" t="str">
        <x:v>Железнодорожное оборудование и материалы ВСП</x:v>
      </x:c>
      <x:c r="B8" s="16" t="str">
        <x:v>ЖД оборудование и ВСП</x:v>
      </x:c>
      <x:c r="C8" s="16" t="n">
        <x:v>58</x:v>
      </x:c>
      <x:c r="D8" s="16" t="str">
        <x:v>Приморская ГРЭС</x:v>
      </x:c>
      <x:c r="E8" s="17" t="n">
        <x:v>1827492.1009</x:v>
      </x:c>
      <x:c r="F8" s="16" t="str">
        <x:v>Новая группа</x:v>
      </x:c>
    </x:row>
    <x:row r="9" ht="58" customHeight="1">
      <x:c r="A9" s="16" t="str">
        <x:v>Промышленная безопасность, пожарное оборудование и медицина</x:v>
      </x:c>
      <x:c r="B9" s="16" t="str">
        <x:v>Промбезопасность</x:v>
      </x:c>
      <x:c r="C9" s="16" t="n">
        <x:v>8</x:v>
      </x:c>
      <x:c r="D9" s="16" t="str">
        <x:v>Приморская ГРЭС</x:v>
      </x:c>
      <x:c r="E9" s="17" t="n">
        <x:v>571785.5191</x:v>
      </x:c>
      <x:c r="F9" s="16" t="str">
        <x:v>Новая группа</x:v>
      </x:c>
    </x:row>
    <x:row r="10" ht="58" customHeight="1">
      <x:c r="A10" s="16" t="str">
        <x:v>Строительные материалы и ЖБИ</x:v>
      </x:c>
      <x:c r="B10" s="16" t="str">
        <x:v>Строительные материалы</x:v>
      </x:c>
      <x:c r="C10" s="16" t="n">
        <x:v>102</x:v>
      </x:c>
      <x:c r="D10" s="16" t="str">
        <x:v>Приморская ГРЭС</x:v>
      </x:c>
      <x:c r="E10" s="17" t="n">
        <x:v>4959123.689772401</x:v>
      </x:c>
      <x:c r="F10" s="16" t="str">
        <x:v>Существующая/расширенная группа</x:v>
      </x:c>
    </x:row>
    <x:row r="11" ht="58" customHeight="1">
      <x:c r="A11" s="16" t="str">
        <x:v>Трубы, фитинги, трубопроводная арматура и ОПС</x:v>
      </x:c>
      <x:c r="B11" s="16" t="str">
        <x:v>Трубы и фитинги</x:v>
      </x:c>
      <x:c r="C11" s="16" t="n">
        <x:v>361</x:v>
      </x:c>
      <x:c r="D11" s="16" t="str">
        <x:v>Приморская ГРЭС</x:v>
      </x:c>
      <x:c r="E11" s="17" t="n">
        <x:v>73876499.32454547</x:v>
      </x:c>
      <x:c r="F11" s="16" t="str">
        <x:v>Существующая/расширенная группа</x:v>
      </x:c>
    </x:row>
    <x:row r="12" ht="58" customHeight="1">
      <x:c r="A12" s="16" t="str">
        <x:v>Металлопрокат, металлоконструкции и сварка</x:v>
      </x:c>
      <x:c r="B12" s="16" t="str">
        <x:v>Металлопрокат и сварка</x:v>
      </x:c>
      <x:c r="C12" s="16" t="n">
        <x:v>470</x:v>
      </x:c>
      <x:c r="D12" s="16" t="str">
        <x:v>Приморская ГРЭС</x:v>
      </x:c>
      <x:c r="E12" s="17" t="n">
        <x:v>34575165.38565679</x:v>
      </x:c>
      <x:c r="F12" s="16" t="str">
        <x:v>Существующая/расширенная группа</x:v>
      </x:c>
    </x:row>
    <x:row r="13" ht="58" customHeight="1">
      <x:c r="A13" s="16" t="str">
        <x:v>Кабельно-проводниковая продукция</x:v>
      </x:c>
      <x:c r="B13" s="16" t="str">
        <x:v>Кабельно-проводниковая</x:v>
      </x:c>
      <x:c r="C13" s="16" t="n">
        <x:v>89</x:v>
      </x:c>
      <x:c r="D13" s="16" t="str">
        <x:v>Приморская ГРЭС</x:v>
      </x:c>
      <x:c r="E13" s="17" t="n">
        <x:v>4912583.234533802</x:v>
      </x:c>
      <x:c r="F13" s="16" t="str">
        <x:v>Существующая/расширенная группа</x:v>
      </x:c>
    </x:row>
    <x:row r="14" ht="58" customHeight="1">
      <x:c r="A14" s="16" t="str">
        <x:v>Электрооборудование, КИПиА и связь</x:v>
      </x:c>
      <x:c r="B14" s="16" t="str">
        <x:v>Электрооборудование</x:v>
      </x:c>
      <x:c r="C14" s="16" t="n">
        <x:v>279</x:v>
      </x:c>
      <x:c r="D14" s="16" t="str">
        <x:v>Приморская ГРЭС</x:v>
      </x:c>
      <x:c r="E14" s="17" t="n">
        <x:v>4987400.779366197</x:v>
      </x:c>
      <x:c r="F14" s="16" t="str">
        <x:v>Существующая/расширенная группа</x:v>
      </x:c>
    </x:row>
    <x:row r="15" ht="58" customHeight="1">
      <x:c r="A15" s="16" t="str">
        <x:v>МРО, механическое оборудование и ЗИП</x:v>
      </x:c>
      <x:c r="B15" s="16" t="str">
        <x:v>МРО механика и ЗИП</x:v>
      </x:c>
      <x:c r="C15" s="16" t="n">
        <x:v>547</x:v>
      </x:c>
      <x:c r="D15" s="16" t="str">
        <x:v>Приморская ГРЭС</x:v>
      </x:c>
      <x:c r="E15" s="17" t="n">
        <x:v>64719039.08267843</x:v>
      </x:c>
      <x:c r="F15" s="16" t="str">
        <x:v>Существующая/расширенная группа</x:v>
      </x:c>
    </x:row>
    <x:row r="16" ht="58" customHeight="1">
      <x:c r="A16" s="16" t="str">
        <x:v>Изоляция, РТИ, огнеупорные и кислотоупорные материалы</x:v>
      </x:c>
      <x:c r="B16" s="16" t="str">
        <x:v>Изоляция РТИ огнеупоры</x:v>
      </x:c>
      <x:c r="C16" s="16" t="n">
        <x:v>289</x:v>
      </x:c>
      <x:c r="D16" s="16" t="str">
        <x:v>Приморская ГРЭС</x:v>
      </x:c>
      <x:c r="E16" s="17" t="n">
        <x:v>4136902.7865724</x:v>
      </x:c>
      <x:c r="F16" s="16" t="str">
        <x:v>Существующая/расширенная группа</x:v>
      </x:c>
    </x:row>
    <x:row r="17" ht="58" customHeight="1">
      <x:c r="A17" s="16" t="str">
        <x:v>Химические материалы, ЛКМ и лаборатория</x:v>
      </x:c>
      <x:c r="B17" s="16" t="str">
        <x:v>Химматериалы</x:v>
      </x:c>
      <x:c r="C17" s="16" t="n">
        <x:v>108</x:v>
      </x:c>
      <x:c r="D17" s="16" t="str">
        <x:v>Приморская ГРЭС</x:v>
      </x:c>
      <x:c r="E17" s="17" t="n">
        <x:v>4061785.1323296004</x:v>
      </x:c>
      <x:c r="F17" s="16" t="str">
        <x:v>Существующая/расширенная группа</x:v>
      </x:c>
    </x:row>
    <x:row r="18" ht="58" customHeight="1">
      <x:c r="A18" s="16" t="str">
        <x:v>Авто- и спецтехника: запасные части</x:v>
      </x:c>
      <x:c r="B18" s="16" t="str">
        <x:v>Авто и спецтехника</x:v>
      </x:c>
      <x:c r="C18" s="16" t="n">
        <x:v>120</x:v>
      </x:c>
      <x:c r="D18" s="16" t="str">
        <x:v>Приморская ГРЭС</x:v>
      </x:c>
      <x:c r="E18" s="17" t="n">
        <x:v>919875.2476608003</x:v>
      </x:c>
      <x:c r="F18" s="16" t="str">
        <x:v>Существующая/расширенная группа</x:v>
      </x:c>
    </x:row>
    <x:row r="19" ht="58" customHeight="1">
      <x:c r="A19" s="16" t="str">
        <x:v>Прочие специализированные материалы</x:v>
      </x:c>
      <x:c r="B19" s="16" t="str">
        <x:v>Прочие специализированные</x:v>
      </x:c>
      <x:c r="C19" s="16" t="n">
        <x:v>10</x:v>
      </x:c>
      <x:c r="D19" s="16" t="str">
        <x:v>Приморская ГРЭС</x:v>
      </x:c>
      <x:c r="E19" s="17" t="n">
        <x:v>760738.4846999999</x:v>
      </x:c>
      <x:c r="F19" s="16" t="str">
        <x:v>Существующая/расширенная группа</x:v>
      </x:c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9a51fd28388e4306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Приморье: ЗИП турбогенераторов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Приморская ГРЭС</x:v>
      </x:c>
      <x:c r="B5" s="16" t="str">
        <x:v>2000716209-U117</x:v>
      </x:c>
      <x:c r="C5" s="16" t="str">
        <x:v>БОЛТ ТОКОВЕДУЩИЙ 8БС.568.007.02</x:v>
      </x:c>
      <x:c r="D5" s="16" t="str">
        <x:v>Запасные части к турбогенераторам</x:v>
      </x:c>
      <x:c r="E5" s="16" t="str">
        <x:v>ШТ</x:v>
      </x:c>
      <x:c r="F5" s="21" t="n">
        <x:v>2</x:v>
      </x:c>
      <x:c r="G5" s="17" t="n">
        <x:v>24705</x:v>
      </x:c>
      <x:c r="H5" s="17" t="n">
        <x:f>G5*F5</x:f>
        <x:v>49410</x:v>
      </x:c>
      <x:c r="I5" s="22" t="str">
        <x:f>HYPERLINK("https://etp-aktiv.ru/catalog/materialy/zapasnye-chasti-osnovnogo-ehnergeticheskogo-oborudovaniya/2000716209-U117/","Открыть позицию")</x:f>
        <x:v>Открыть позицию</x:v>
      </x:c>
    </x:row>
    <x:row r="6" ht="28" customHeight="1">
      <x:c r="A6" s="16" t="str">
        <x:v>Приморская ГРЭС</x:v>
      </x:c>
      <x:c r="B6" s="16" t="str">
        <x:v>2000716210-U117</x:v>
      </x:c>
      <x:c r="C6" s="16" t="str">
        <x:v>БОЛТ ТОКОВЕДУЩИЙ 8БС.568.021</x:v>
      </x:c>
      <x:c r="D6" s="16" t="str">
        <x:v>Запасные части к турбогенераторам</x:v>
      </x:c>
      <x:c r="E6" s="16" t="str">
        <x:v>ШТ</x:v>
      </x:c>
      <x:c r="F6" s="21" t="n">
        <x:v>2</x:v>
      </x:c>
      <x:c r="G6" s="17" t="n">
        <x:v>16470</x:v>
      </x:c>
      <x:c r="H6" s="17" t="n">
        <x:f>G6*F6</x:f>
        <x:v>32940</x:v>
      </x:c>
      <x:c r="I6" s="22" t="str">
        <x:f>HYPERLINK("https://etp-aktiv.ru/catalog/materialy/zapasnye-chasti-osnovnogo-ehnergeticheskogo-oborudovaniya/2000716210-U117/","Открыть позицию")</x:f>
        <x:v>Открыть позицию</x:v>
      </x:c>
    </x:row>
    <x:row r="7" ht="28" customHeight="1">
      <x:c r="A7" s="16" t="str">
        <x:v>Приморская ГРЭС</x:v>
      </x:c>
      <x:c r="B7" s="16" t="str">
        <x:v>2000525588-U117</x:v>
      </x:c>
      <x:c r="C7" s="16" t="str">
        <x:v>ВИНТ КОНТАКТНЫЙ 8БС.900.358 ТВФ</x:v>
      </x:c>
      <x:c r="D7" s="16" t="str">
        <x:v>Запасные части к турбогенераторам</x:v>
      </x:c>
      <x:c r="E7" s="16" t="str">
        <x:v>ШТ</x:v>
      </x:c>
      <x:c r="F7" s="21" t="n">
        <x:v>4</x:v>
      </x:c>
      <x:c r="G7" s="17" t="n">
        <x:v>5627.25</x:v>
      </x:c>
      <x:c r="H7" s="17" t="n">
        <x:f>G7*F7</x:f>
        <x:v>22509</x:v>
      </x:c>
      <x:c r="I7" s="22" t="str">
        <x:f>HYPERLINK("https://etp-aktiv.ru/catalog/materialy/zapasnye-chasti-osnovnogo-ehnergeticheskogo-oborudovaniya/2000525588-U117/","Открыть позицию")</x:f>
        <x:v>Открыть позицию</x:v>
      </x:c>
    </x:row>
    <x:row r="8" ht="28" customHeight="1">
      <x:c r="A8" s="16" t="str">
        <x:v>Приморская ГРЭС</x:v>
      </x:c>
      <x:c r="B8" s="16" t="str">
        <x:v>2000525596-U117</x:v>
      </x:c>
      <x:c r="C8" s="16" t="str">
        <x:v>ВТУЛКА 4Т6 5ТХ588529 ТГВ-200-2М У3</x:v>
      </x:c>
      <x:c r="D8" s="16" t="str">
        <x:v>Запасные части к турбогенераторам</x:v>
      </x:c>
      <x:c r="E8" s="16" t="str">
        <x:v>ШТ</x:v>
      </x:c>
      <x:c r="F8" s="21" t="n">
        <x:v>4</x:v>
      </x:c>
      <x:c r="G8" s="17" t="n">
        <x:v>3088.125</x:v>
      </x:c>
      <x:c r="H8" s="17" t="n">
        <x:f>G8*F8</x:f>
        <x:v>12352.5</x:v>
      </x:c>
      <x:c r="I8" s="22" t="str">
        <x:f>HYPERLINK("https://etp-aktiv.ru/catalog/materialy/zapasnye-chasti-osnovnogo-ehnergeticheskogo-oborudovaniya/2000525596-U117/","Открыть позицию")</x:f>
        <x:v>Открыть позицию</x:v>
      </x:c>
    </x:row>
    <x:row r="9" ht="28" customHeight="1">
      <x:c r="A9" s="16" t="str">
        <x:v>Приморская ГРЭС</x:v>
      </x:c>
      <x:c r="B9" s="16" t="str">
        <x:v>M2000763545-U117</x:v>
      </x:c>
      <x:c r="C9" s="16" t="str">
        <x:v>ГАЗООХЛАДИТЕЛЬ 6ТХ.392.035</x:v>
      </x:c>
      <x:c r="D9" s="16" t="str">
        <x:v>Запасные части к турбогенераторам</x:v>
      </x:c>
      <x:c r="E9" s="16" t="str">
        <x:v>ШТ</x:v>
      </x:c>
      <x:c r="F9" s="21" t="n">
        <x:v>1</x:v>
      </x:c>
      <x:c r="G9" s="17" t="n">
        <x:v>2687794.1999999997</x:v>
      </x:c>
      <x:c r="H9" s="17" t="n">
        <x:f>G9*F9</x:f>
        <x:v>2687794.1999999997</x:v>
      </x:c>
      <x:c r="I9" s="22" t="str">
        <x:f>HYPERLINK("https://etp-aktiv.ru/catalog/materialy/zapasnye-chasti-osnovnogo-ehnergeticheskogo-oborudovaniya/M2000763545-U117/","Открыть позицию")</x:f>
        <x:v>Открыть позицию</x:v>
      </x:c>
    </x:row>
    <x:row r="10" ht="28" customHeight="1">
      <x:c r="A10" s="16" t="str">
        <x:v>Приморская ГРЭС</x:v>
      </x:c>
      <x:c r="B10" s="16" t="str">
        <x:v>2001023523-U117</x:v>
      </x:c>
      <x:c r="C10" s="16" t="str">
        <x:v>РЕГУЛЯТОР ДРДМ-12М Т/Г ТВВ-165-2</x:v>
      </x:c>
      <x:c r="D10" s="16" t="str">
        <x:v>Запасные части к турбогенераторам</x:v>
      </x:c>
      <x:c r="E10" s="16" t="str">
        <x:v>ШТ</x:v>
      </x:c>
      <x:c r="F10" s="21" t="n">
        <x:v>1</x:v>
      </x:c>
      <x:c r="G10" s="17" t="n">
        <x:v>1512800</x:v>
      </x:c>
      <x:c r="H10" s="17" t="n">
        <x:f>G10*F10</x:f>
        <x:v>1512800</x:v>
      </x:c>
      <x:c r="I10" s="22" t="str">
        <x:f>HYPERLINK("https://etp-aktiv.ru/catalog/materialy/zapasnye-chasti-osnovnogo-ehnergeticheskogo-oborudovaniya/2001023523-U117/","Открыть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6e35e0d1fee14bd9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Приморье: Котельно-вспомогательное оборудование и ЗИП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Приморская ГРЭС</x:v>
      </x:c>
      <x:c r="B5" s="16" t="str">
        <x:v>2000738234-U117</x:v>
      </x:c>
      <x:c r="C5" s="16" t="str">
        <x:v>БАРАБАН НАТЯЖ ПСУ ПГ301.2030.00.00.СБ</x:v>
      </x:c>
      <x:c r="D5" s="16" t="str">
        <x:v>Запасные части к котельно-вспомогательному оборудованию</x:v>
      </x:c>
      <x:c r="E5" s="16" t="str">
        <x:v>ШТ</x:v>
      </x:c>
      <x:c r="F5" s="21" t="n">
        <x:v>1</x:v>
      </x:c>
      <x:c r="G5" s="17" t="n">
        <x:v>221902.75</x:v>
      </x:c>
      <x:c r="H5" s="17" t="n">
        <x:f>G5*F5</x:f>
        <x:v>221902.75</x:v>
      </x:c>
      <x:c r="I5" s="22" t="str">
        <x:f>HYPERLINK("https://etp-aktiv.ru/catalog/materialy/zapasnye-chasti-osnovnogo-ehnergeticheskogo-oborudovaniya/2000738234-U117/","Открыть позицию")</x:f>
        <x:v>Открыть позицию</x:v>
      </x:c>
    </x:row>
    <x:row r="6" ht="28" customHeight="1">
      <x:c r="A6" s="16" t="str">
        <x:v>Приморская ГРЭС</x:v>
      </x:c>
      <x:c r="B6" s="16" t="str">
        <x:v>2000916021-U117</x:v>
      </x:c>
      <x:c r="C6" s="16" t="str">
        <x:v>ВАЛ ВЕДУЩИЙ К-5649.00.01</x:v>
      </x:c>
      <x:c r="D6" s="16" t="str">
        <x:v>Запасные части к котельно-вспомогательному оборудованию</x:v>
      </x:c>
      <x:c r="E6" s="16" t="str">
        <x:v>ШТ</x:v>
      </x:c>
      <x:c r="F6" s="21" t="n">
        <x:v>1</x:v>
      </x:c>
      <x:c r="G6" s="17" t="n">
        <x:v>125330.59999999999</x:v>
      </x:c>
      <x:c r="H6" s="17" t="n">
        <x:f>G6*F6</x:f>
        <x:v>125330.59999999999</x:v>
      </x:c>
      <x:c r="I6" s="22" t="str">
        <x:f>HYPERLINK("https://etp-aktiv.ru/catalog/materialy/zapasnye-chasti-osnovnogo-ehnergeticheskogo-oborudovaniya/2000916021-U117/","Открыть позицию")</x:f>
        <x:v>Открыть позицию</x:v>
      </x:c>
    </x:row>
    <x:row r="7" ht="28" customHeight="1">
      <x:c r="A7" s="16" t="str">
        <x:v>Приморская ГРЭС</x:v>
      </x:c>
      <x:c r="B7" s="16" t="str">
        <x:v>2000813484-U117</x:v>
      </x:c>
      <x:c r="C7" s="16" t="str">
        <x:v>ГРЕБЕНКА 332670-02</x:v>
      </x:c>
      <x:c r="D7" s="16" t="str">
        <x:v>Запасные части к котлам</x:v>
      </x:c>
      <x:c r="E7" s="16" t="str">
        <x:v>ШТ</x:v>
      </x:c>
      <x:c r="F7" s="21" t="n">
        <x:v>200</x:v>
      </x:c>
      <x:c r="G7" s="17" t="n">
        <x:v>11075.0502</x:v>
      </x:c>
      <x:c r="H7" s="17" t="n">
        <x:f>G7*F7</x:f>
        <x:v>2215010.04</x:v>
      </x:c>
      <x:c r="I7" s="22" t="str">
        <x:f>HYPERLINK("https://etp-aktiv.ru/catalog/materialy/zapasnye-chasti-osnovnogo-ehnergeticheskogo-oborudovaniya/2000813484-U117/","Открыть позицию")</x:f>
        <x:v>Открыть позицию</x:v>
      </x:c>
    </x:row>
    <x:row r="8" ht="28" customHeight="1">
      <x:c r="A8" s="16" t="str">
        <x:v>Приморская ГРЭС</x:v>
      </x:c>
      <x:c r="B8" s="16" t="str">
        <x:v>2000814595-U117</x:v>
      </x:c>
      <x:c r="C8" s="16" t="str">
        <x:v>ГРЕБЕНКА 336779-05 12ХМ БКЗ-670-140</x:v>
      </x:c>
      <x:c r="D8" s="16" t="str">
        <x:v>Запасные части к котлам</x:v>
      </x:c>
      <x:c r="E8" s="16" t="str">
        <x:v>ШТ</x:v>
      </x:c>
      <x:c r="F8" s="21" t="n">
        <x:v>36</x:v>
      </x:c>
      <x:c r="G8" s="17" t="n">
        <x:v>13317.373599999999</x:v>
      </x:c>
      <x:c r="H8" s="17" t="n">
        <x:f>G8*F8</x:f>
        <x:v>479425.44959999993</x:v>
      </x:c>
      <x:c r="I8" s="22" t="str">
        <x:f>HYPERLINK("https://etp-aktiv.ru/catalog/materialy/zapasnye-chasti-osnovnogo-ehnergeticheskogo-oborudovaniya/2000814595-U117/","Открыть позицию")</x:f>
        <x:v>Открыть позицию</x:v>
      </x:c>
    </x:row>
    <x:row r="9" ht="28" customHeight="1">
      <x:c r="A9" s="16" t="str">
        <x:v>Приморская ГРЭС</x:v>
      </x:c>
      <x:c r="B9" s="16" t="str">
        <x:v>2000814596-U117</x:v>
      </x:c>
      <x:c r="C9" s="16" t="str">
        <x:v>ГРЕБЕНКА 336779-06 12ХМ БКЗ-670-140</x:v>
      </x:c>
      <x:c r="D9" s="16" t="str">
        <x:v>Запасные части к котлам</x:v>
      </x:c>
      <x:c r="E9" s="16" t="str">
        <x:v>ШТ</x:v>
      </x:c>
      <x:c r="F9" s="21" t="n">
        <x:v>10</x:v>
      </x:c>
      <x:c r="G9" s="17" t="n">
        <x:v>14387.582</x:v>
      </x:c>
      <x:c r="H9" s="17" t="n">
        <x:f>G9*F9</x:f>
        <x:v>143875.82</x:v>
      </x:c>
      <x:c r="I9" s="22" t="str">
        <x:f>HYPERLINK("https://etp-aktiv.ru/catalog/materialy/zapasnye-chasti-osnovnogo-ehnergeticheskogo-oborudovaniya/2000814596-U117/","Открыть позицию")</x:f>
        <x:v>Открыть позицию</x:v>
      </x:c>
    </x:row>
    <x:row r="10" ht="28" customHeight="1">
      <x:c r="A10" s="16" t="str">
        <x:v>Приморская ГРЭС</x:v>
      </x:c>
      <x:c r="B10" s="16" t="str">
        <x:v>2000826130-U117</x:v>
      </x:c>
      <x:c r="C10" s="16" t="str">
        <x:v>ГРЕБЕНКА 338998-01 478*65 ВСТ3</x:v>
      </x:c>
      <x:c r="D10" s="16" t="str">
        <x:v>Запасные части к котлам</x:v>
      </x:c>
      <x:c r="E10" s="16" t="str">
        <x:v>ШТ</x:v>
      </x:c>
      <x:c r="F10" s="21" t="n">
        <x:v>60</x:v>
      </x:c>
      <x:c r="G10" s="17" t="n">
        <x:v>1647</x:v>
      </x:c>
      <x:c r="H10" s="17" t="n">
        <x:f>G10*F10</x:f>
        <x:v>98820</x:v>
      </x:c>
      <x:c r="I10" s="22" t="str">
        <x:f>HYPERLINK("https://etp-aktiv.ru/catalog/materialy/zapasnye-chasti-osnovnogo-ehnergeticheskogo-oborudovaniya/2000826130-U117/","Открыть позицию")</x:f>
        <x:v>Открыть позицию</x:v>
      </x:c>
    </x:row>
    <x:row r="11" ht="28" customHeight="1">
      <x:c r="A11" s="16" t="str">
        <x:v>Приморская ГРЭС</x:v>
      </x:c>
      <x:c r="B11" s="16" t="str">
        <x:v>2000814597-U117</x:v>
      </x:c>
      <x:c r="C11" s="16" t="str">
        <x:v>ГРЕБЕНКА 339137 12ХМ БКЗ-670-140</x:v>
      </x:c>
      <x:c r="D11" s="16" t="str">
        <x:v>Запасные части к котлам</x:v>
      </x:c>
      <x:c r="E11" s="16" t="str">
        <x:v>ШТ</x:v>
      </x:c>
      <x:c r="F11" s="21" t="n">
        <x:v>20</x:v>
      </x:c>
      <x:c r="G11" s="17" t="n">
        <x:v>10877.4102</x:v>
      </x:c>
      <x:c r="H11" s="17" t="n">
        <x:f>G11*F11</x:f>
        <x:v>217548.204</x:v>
      </x:c>
      <x:c r="I11" s="22" t="str">
        <x:f>HYPERLINK("https://etp-aktiv.ru/catalog/materialy/zapasnye-chasti-osnovnogo-ehnergeticheskogo-oborudovaniya/2000814597-U117/","Открыть позицию")</x:f>
        <x:v>Открыть позицию</x:v>
      </x:c>
    </x:row>
    <x:row r="12" ht="28" customHeight="1">
      <x:c r="A12" s="16" t="str">
        <x:v>Приморская ГРЭС</x:v>
      </x:c>
      <x:c r="B12" s="16" t="str">
        <x:v>2000931080-U117</x:v>
      </x:c>
      <x:c r="C12" s="16" t="str">
        <x:v>ГРЕБЕНКА 339137-01 12ХМ БКЗ-670-140</x:v>
      </x:c>
      <x:c r="D12" s="16" t="str">
        <x:v>Запасные части к котлам</x:v>
      </x:c>
      <x:c r="E12" s="16" t="str">
        <x:v>ШТ</x:v>
      </x:c>
      <x:c r="F12" s="21" t="n">
        <x:v>94</x:v>
      </x:c>
      <x:c r="G12" s="17" t="n">
        <x:v>3568.5</x:v>
      </x:c>
      <x:c r="H12" s="17" t="n">
        <x:f>G12*F12</x:f>
        <x:v>335439</x:v>
      </x:c>
      <x:c r="I12" s="22" t="str">
        <x:f>HYPERLINK("https://etp-aktiv.ru/catalog/materialy/zapasnye-chasti-osnovnogo-ehnergeticheskogo-oborudovaniya/2000931080-U117/","Открыть позицию")</x:f>
        <x:v>Открыть позицию</x:v>
      </x:c>
    </x:row>
    <x:row r="13" ht="28" customHeight="1">
      <x:c r="A13" s="16" t="str">
        <x:v>Приморская ГРЭС</x:v>
      </x:c>
      <x:c r="B13" s="16" t="str">
        <x:v>2000531788-U117</x:v>
      </x:c>
      <x:c r="C13" s="16" t="str">
        <x:v>ДОНЫШКО СТП36.5041-009 СТ20 134*109*45</x:v>
      </x:c>
      <x:c r="D13" s="16" t="str">
        <x:v>Запасные части к котлам</x:v>
      </x:c>
      <x:c r="E13" s="16" t="str">
        <x:v>ШТ</x:v>
      </x:c>
      <x:c r="F13" s="21" t="n">
        <x:v>30</x:v>
      </x:c>
      <x:c r="G13" s="17" t="n">
        <x:v>3567.0726</x:v>
      </x:c>
      <x:c r="H13" s="17" t="n">
        <x:f>G13*F13</x:f>
        <x:v>107012.178</x:v>
      </x:c>
      <x:c r="I13" s="22" t="str">
        <x:f>HYPERLINK("https://etp-aktiv.ru/catalog/materialy/zapasnye-chasti-osnovnogo-ehnergeticheskogo-oborudovaniya/2000531788-U117/","Открыть позицию")</x:f>
        <x:v>Открыть позицию</x:v>
      </x:c>
    </x:row>
    <x:row r="14" ht="28" customHeight="1">
      <x:c r="A14" s="16" t="str">
        <x:v>Приморская ГРЭС</x:v>
      </x:c>
      <x:c r="B14" s="16" t="str">
        <x:v>2000716216-U117</x:v>
      </x:c>
      <x:c r="C14" s="16" t="str">
        <x:v>ЗВЕНО С УХОМ ЗГУ7480-1И1-ОСБ</x:v>
      </x:c>
      <x:c r="D14" s="16" t="str">
        <x:v>Запасные части к котельно-вспомогательному оборудованию</x:v>
      </x:c>
      <x:c r="E14" s="16" t="str">
        <x:v>ШТ</x:v>
      </x:c>
      <x:c r="F14" s="21" t="n">
        <x:v>181</x:v>
      </x:c>
      <x:c r="G14" s="17" t="n">
        <x:v>1830</x:v>
      </x:c>
      <x:c r="H14" s="17" t="n">
        <x:f>G14*F14</x:f>
        <x:v>331230</x:v>
      </x:c>
      <x:c r="I14" s="22" t="str">
        <x:f>HYPERLINK("https://etp-aktiv.ru/catalog/materialy/zapasnye-chasti-osnovnogo-ehnergeticheskogo-oborudovaniya/2000716216-U117/","Открыть позицию")</x:f>
        <x:v>Открыть позицию</x:v>
      </x:c>
    </x:row>
    <x:row r="15" ht="28" customHeight="1">
      <x:c r="A15" s="16" t="str">
        <x:v>Приморская ГРЭС</x:v>
      </x:c>
      <x:c r="B15" s="16" t="str">
        <x:v>2000531910-U117</x:v>
      </x:c>
      <x:c r="C15" s="16" t="str">
        <x:v>КЛАПАН ГАЗ КРУГЛ DУ600 13 ПГВУ 292-80</x:v>
      </x:c>
      <x:c r="D15" s="16" t="str">
        <x:v>Запасные части к котельно-вспомогательному оборудованию</x:v>
      </x:c>
      <x:c r="E15" s="16" t="str">
        <x:v>ШТ</x:v>
      </x:c>
      <x:c r="F15" s="21" t="n">
        <x:v>6</x:v>
      </x:c>
      <x:c r="G15" s="17" t="n">
        <x:v>31732.2</x:v>
      </x:c>
      <x:c r="H15" s="17" t="n">
        <x:f>G15*F15</x:f>
        <x:v>190393.2</x:v>
      </x:c>
      <x:c r="I15" s="22" t="str">
        <x:f>HYPERLINK("https://etp-aktiv.ru/catalog/materialy/zapasnye-chasti-osnovnogo-ehnergeticheskogo-oborudovaniya/2000531910-U117/","Открыть позицию")</x:f>
        <x:v>Открыть позицию</x:v>
      </x:c>
    </x:row>
    <x:row r="16" ht="28" customHeight="1">
      <x:c r="A16" s="16" t="str">
        <x:v>Приморская ГРЭС</x:v>
      </x:c>
      <x:c r="B16" s="16" t="str">
        <x:v>2000939386-U117</x:v>
      </x:c>
      <x:c r="C16" s="16" t="str">
        <x:v>ЛАЗ ВОЗДУХОПР 500*600 01 ОСТ34.42.319-77</x:v>
      </x:c>
      <x:c r="D16" s="16" t="str">
        <x:v>Запасные части к котельно-вспомогательному оборудованию</x:v>
      </x:c>
      <x:c r="E16" s="16" t="str">
        <x:v>ШТ</x:v>
      </x:c>
      <x:c r="F16" s="21" t="n">
        <x:v>2</x:v>
      </x:c>
      <x:c r="G16" s="17" t="n">
        <x:v>41480</x:v>
      </x:c>
      <x:c r="H16" s="17" t="n">
        <x:f>G16*F16</x:f>
        <x:v>82960</x:v>
      </x:c>
      <x:c r="I16" s="22" t="str">
        <x:f>HYPERLINK("https://etp-aktiv.ru/catalog/materialy/zapasnye-chasti-osnovnogo-ehnergeticheskogo-oborudovaniya/2000939386-U117/","Открыть позицию")</x:f>
        <x:v>Открыть позицию</x:v>
      </x:c>
    </x:row>
    <x:row r="17" ht="28" customHeight="1">
      <x:c r="A17" s="16" t="str">
        <x:v>Приморская ГРЭС</x:v>
      </x:c>
      <x:c r="B17" s="16" t="str">
        <x:v>2000531827-U117</x:v>
      </x:c>
      <x:c r="C17" s="16" t="str">
        <x:v>ЛАЗ ГАРНИТУРЫ КОТЛА К-1064 D500ММ</x:v>
      </x:c>
      <x:c r="D17" s="16" t="str">
        <x:v>Запасные части к котлам</x:v>
      </x:c>
      <x:c r="E17" s="16" t="str">
        <x:v>ШТ</x:v>
      </x:c>
      <x:c r="F17" s="21" t="n">
        <x:v>80</x:v>
      </x:c>
      <x:c r="G17" s="17" t="n">
        <x:v>42700</x:v>
      </x:c>
      <x:c r="H17" s="17" t="n">
        <x:f>G17*F17</x:f>
        <x:v>3416000</x:v>
      </x:c>
      <x:c r="I17" s="22" t="str">
        <x:f>HYPERLINK("https://etp-aktiv.ru/catalog/materialy/zapasnye-chasti-osnovnogo-ehnergeticheskogo-oborudovaniya/2000531827-U117/","Открыть позицию")</x:f>
        <x:v>Открыть позицию</x:v>
      </x:c>
    </x:row>
    <x:row r="18" ht="28" customHeight="1">
      <x:c r="A18" s="16" t="str">
        <x:v>Приморская ГРЭС</x:v>
      </x:c>
      <x:c r="B18" s="16" t="str">
        <x:v>2000749558-U117</x:v>
      </x:c>
      <x:c r="C18" s="16" t="str">
        <x:v>ЛАЗ ТОПОЧНЫЙ 00.9694.024СБ</x:v>
      </x:c>
      <x:c r="D18" s="16" t="str">
        <x:v>Запасные части к котельно-вспомогательному оборудованию</x:v>
      </x:c>
      <x:c r="E18" s="16" t="str">
        <x:v>ШТ</x:v>
      </x:c>
      <x:c r="F18" s="21" t="n">
        <x:v>32</x:v>
      </x:c>
      <x:c r="G18" s="17" t="n">
        <x:v>12078</x:v>
      </x:c>
      <x:c r="H18" s="17" t="n">
        <x:f>G18*F18</x:f>
        <x:v>386496</x:v>
      </x:c>
      <x:c r="I18" s="22" t="str">
        <x:f>HYPERLINK("https://etp-aktiv.ru/catalog/materialy/zapasnye-chasti-osnovnogo-ehnergeticheskogo-oborudovaniya/2000749558-U117/","Открыть позицию")</x:f>
        <x:v>Открыть позицию</x:v>
      </x:c>
    </x:row>
    <x:row r="19" ht="28" customHeight="1">
      <x:c r="A19" s="16" t="str">
        <x:v>Приморская ГРЭС</x:v>
      </x:c>
      <x:c r="B19" s="16" t="str">
        <x:v>2000815087-U117</x:v>
      </x:c>
      <x:c r="C19" s="16" t="str">
        <x:v>ЛИСТ 338836-01 12ХМ БКЗ-670-140</x:v>
      </x:c>
      <x:c r="D19" s="16" t="str">
        <x:v>Запасные части к котлам</x:v>
      </x:c>
      <x:c r="E19" s="16" t="str">
        <x:v>ШТ</x:v>
      </x:c>
      <x:c r="F19" s="21" t="n">
        <x:v>22</x:v>
      </x:c>
      <x:c r="G19" s="17" t="n">
        <x:v>28537.02</x:v>
      </x:c>
      <x:c r="H19" s="17" t="n">
        <x:f>G19*F19</x:f>
        <x:v>627814.4400000001</x:v>
      </x:c>
      <x:c r="I19" s="22" t="str">
        <x:f>HYPERLINK("https://etp-aktiv.ru/catalog/materialy/zapasnye-chasti-osnovnogo-ehnergeticheskogo-oborudovaniya/2000815087-U117/","Открыть позицию")</x:f>
        <x:v>Открыть позицию</x:v>
      </x:c>
    </x:row>
    <x:row r="20" ht="28" customHeight="1">
      <x:c r="A20" s="16" t="str">
        <x:v>Приморская ГРЭС</x:v>
      </x:c>
      <x:c r="B20" s="16" t="str">
        <x:v>2000917070-U117</x:v>
      </x:c>
      <x:c r="C20" s="16" t="str">
        <x:v>НОЖ ДЗУ 3ГУ 112.80.01И1-0-04</x:v>
      </x:c>
      <x:c r="D20" s="16" t="str">
        <x:v>Запасные части к котельно-вспомогательному оборудованию</x:v>
      </x:c>
      <x:c r="E20" s="16" t="str">
        <x:v>ШТ</x:v>
      </x:c>
      <x:c r="F20" s="21" t="n">
        <x:v>3</x:v>
      </x:c>
      <x:c r="G20" s="17" t="n">
        <x:v>6560.3548</x:v>
      </x:c>
      <x:c r="H20" s="17" t="n">
        <x:f>G20*F20</x:f>
        <x:v>19681.0644</x:v>
      </x:c>
      <x:c r="I20" s="22" t="str">
        <x:f>HYPERLINK("https://etp-aktiv.ru/catalog/materialy/zapasnye-chasti-osnovnogo-ehnergeticheskogo-oborudovaniya/2000917070-U117/","Открыть позицию")</x:f>
        <x:v>Открыть позицию</x:v>
      </x:c>
    </x:row>
    <x:row r="21" ht="28" customHeight="1">
      <x:c r="A21" s="16" t="str">
        <x:v>Приморская ГРЭС</x:v>
      </x:c>
      <x:c r="B21" s="16" t="str">
        <x:v>2000918093-U117</x:v>
      </x:c>
      <x:c r="C21" s="16" t="str">
        <x:v>НОЖ ПСУ 3ГУ 112.80.01И1-0</x:v>
      </x:c>
      <x:c r="D21" s="16" t="str">
        <x:v>Запасные части к котельно-вспомогательному оборудованию</x:v>
      </x:c>
      <x:c r="E21" s="16" t="str">
        <x:v>ШТ</x:v>
      </x:c>
      <x:c r="F21" s="21" t="n">
        <x:v>15</x:v>
      </x:c>
      <x:c r="G21" s="17" t="n">
        <x:v>1914.8265999999999</x:v>
      </x:c>
      <x:c r="H21" s="17" t="n">
        <x:f>G21*F21</x:f>
        <x:v>28722.398999999998</x:v>
      </x:c>
      <x:c r="I21" s="22" t="str">
        <x:f>HYPERLINK("https://etp-aktiv.ru/catalog/materialy/zapasnye-chasti-osnovnogo-ehnergeticheskogo-oborudovaniya/2000918093-U117/","Открыть позицию")</x:f>
        <x:v>Открыть позицию</x:v>
      </x:c>
    </x:row>
    <x:row r="22" ht="28" customHeight="1">
      <x:c r="A22" s="16" t="str">
        <x:v>Приморская ГРЭС</x:v>
      </x:c>
      <x:c r="B22" s="16" t="str">
        <x:v>2000914168-U117</x:v>
      </x:c>
      <x:c r="C22" s="16" t="str">
        <x:v>НОЖ ПСУ 3ГУ 112.80.01И1-0-03</x:v>
      </x:c>
      <x:c r="D22" s="16" t="str">
        <x:v>Запасные части к котельно-вспомогательному оборудованию</x:v>
      </x:c>
      <x:c r="E22" s="16" t="str">
        <x:v>ШТ</x:v>
      </x:c>
      <x:c r="F22" s="21" t="n">
        <x:v>31</x:v>
      </x:c>
      <x:c r="G22" s="17" t="n">
        <x:v>3355</x:v>
      </x:c>
      <x:c r="H22" s="17" t="n">
        <x:f>G22*F22</x:f>
        <x:v>104005</x:v>
      </x:c>
      <x:c r="I22" s="22" t="str">
        <x:f>HYPERLINK("https://etp-aktiv.ru/catalog/materialy/zapasnye-chasti-osnovnogo-ehnergeticheskogo-oborudovaniya/2000914168-U117/","Открыть позицию")</x:f>
        <x:v>Открыть позицию</x:v>
      </x:c>
    </x:row>
    <x:row r="23" ht="28" customHeight="1">
      <x:c r="A23" s="16" t="str">
        <x:v>Приморская ГРЭС</x:v>
      </x:c>
      <x:c r="B23" s="16" t="str">
        <x:v>2000738517-U117</x:v>
      </x:c>
      <x:c r="C23" s="16" t="str">
        <x:v>НОЖ ПСУ ЗГУ112.80.01И1-02</x:v>
      </x:c>
      <x:c r="D23" s="16" t="str">
        <x:v>Запасные части к котельно-вспомогательному оборудованию</x:v>
      </x:c>
      <x:c r="E23" s="16" t="str">
        <x:v>ШТ</x:v>
      </x:c>
      <x:c r="F23" s="21" t="n">
        <x:v>34</x:v>
      </x:c>
      <x:c r="G23" s="17" t="n">
        <x:v>5724.2888</x:v>
      </x:c>
      <x:c r="H23" s="17" t="n">
        <x:f>G23*F23</x:f>
        <x:v>194625.8192</x:v>
      </x:c>
      <x:c r="I23" s="22" t="str">
        <x:f>HYPERLINK("https://etp-aktiv.ru/catalog/materialy/zapasnye-chasti-osnovnogo-ehnergeticheskogo-oborudovaniya/2000738517-U117/","Открыть позицию")</x:f>
        <x:v>Открыть позицию</x:v>
      </x:c>
    </x:row>
    <x:row r="24" ht="28" customHeight="1">
      <x:c r="A24" s="16" t="str">
        <x:v>Приморская ГРЭС</x:v>
      </x:c>
      <x:c r="B24" s="16" t="str">
        <x:v>2000716214-U117</x:v>
      </x:c>
      <x:c r="C24" s="16" t="str">
        <x:v>СКРЕБОК ПСУ 3.179.0801-02</x:v>
      </x:c>
      <x:c r="D24" s="16" t="str">
        <x:v>Запасные части к котельно-вспомогательному оборудованию</x:v>
      </x:c>
      <x:c r="E24" s="16" t="str">
        <x:v>ШТ</x:v>
      </x:c>
      <x:c r="F24" s="21" t="n">
        <x:v>25</x:v>
      </x:c>
      <x:c r="G24" s="17" t="n">
        <x:v>2898.598</x:v>
      </x:c>
      <x:c r="H24" s="17" t="n">
        <x:f>G24*F24</x:f>
        <x:v>72464.95</x:v>
      </x:c>
      <x:c r="I24" s="22" t="str">
        <x:f>HYPERLINK("https://etp-aktiv.ru/catalog/materialy/zapasnye-chasti-osnovnogo-ehnergeticheskogo-oborudovaniya/2000716214-U117/","Открыть позицию")</x:f>
        <x:v>Открыть позицию</x:v>
      </x:c>
    </x:row>
    <x:row r="25" ht="28" customHeight="1">
      <x:c r="A25" s="16" t="str">
        <x:v>Приморская ГРЭС</x:v>
      </x:c>
      <x:c r="B25" s="16" t="str">
        <x:v>2000914874-U117</x:v>
      </x:c>
      <x:c r="C25" s="16" t="str">
        <x:v>СКРЕБОК ПСУ 3.179.80.01-0-03</x:v>
      </x:c>
      <x:c r="D25" s="16" t="str">
        <x:v>Запасные части к котельно-вспомогательному оборудованию</x:v>
      </x:c>
      <x:c r="E25" s="16" t="str">
        <x:v>ШТ</x:v>
      </x:c>
      <x:c r="F25" s="21" t="n">
        <x:v>80</x:v>
      </x:c>
      <x:c r="G25" s="17" t="n">
        <x:v>1734.7302</x:v>
      </x:c>
      <x:c r="H25" s="17" t="n">
        <x:f>G25*F25</x:f>
        <x:v>138778.416</x:v>
      </x:c>
      <x:c r="I25" s="22" t="str">
        <x:f>HYPERLINK("https://etp-aktiv.ru/catalog/materialy/zapasnye-chasti-osnovnogo-ehnergeticheskogo-oborudovaniya/2000914874-U117/","Открыть позицию")</x:f>
        <x:v>Открыть позицию</x:v>
      </x:c>
    </x:row>
    <x:row r="26" ht="28" customHeight="1">
      <x:c r="A26" s="16" t="str">
        <x:v>Приморская ГРЭС</x:v>
      </x:c>
      <x:c r="B26" s="16" t="str">
        <x:v>2000688192-U117</x:v>
      </x:c>
      <x:c r="C26" s="16" t="str">
        <x:v>СКРЕБОК ПСУ 3.179.80.01-0СБ</x:v>
      </x:c>
      <x:c r="D26" s="16" t="str">
        <x:v>Запасные части к котельно-вспомогательному оборудованию</x:v>
      </x:c>
      <x:c r="E26" s="16" t="str">
        <x:v>ШТ</x:v>
      </x:c>
      <x:c r="F26" s="21" t="n">
        <x:v>62</x:v>
      </x:c>
      <x:c r="G26" s="17" t="n">
        <x:v>1145.6654</x:v>
      </x:c>
      <x:c r="H26" s="17" t="n">
        <x:f>G26*F26</x:f>
        <x:v>71031.25480000001</x:v>
      </x:c>
      <x:c r="I26" s="22" t="str">
        <x:f>HYPERLINK("https://etp-aktiv.ru/catalog/materialy/zapasnye-chasti-osnovnogo-ehnergeticheskogo-oborudovaniya/2000688192-U117/","Открыть позицию")</x:f>
        <x:v>Открыть позицию</x:v>
      </x:c>
    </x:row>
    <x:row r="27" ht="28" customHeight="1">
      <x:c r="A27" s="16" t="str">
        <x:v>Приморская ГРЭС</x:v>
      </x:c>
      <x:c r="B27" s="16" t="str">
        <x:v>2000531921-U117</x:v>
      </x:c>
      <x:c r="C27" s="16" t="str">
        <x:v>СТЕКЛО 250*34*17 КЛИНГЕРА 6</x:v>
      </x:c>
      <x:c r="D27" s="16" t="str">
        <x:v>Запасные части к котельно-вспомогательному оборудованию</x:v>
      </x:c>
      <x:c r="E27" s="16" t="str">
        <x:v>ШТ</x:v>
      </x:c>
      <x:c r="F27" s="21" t="n">
        <x:v>9</x:v>
      </x:c>
      <x:c r="G27" s="17" t="n">
        <x:v>597.5194</x:v>
      </x:c>
      <x:c r="H27" s="17" t="n">
        <x:f>G27*F27</x:f>
        <x:v>5377.6746</x:v>
      </x:c>
      <x:c r="I27" s="22" t="str">
        <x:f>HYPERLINK("https://etp-aktiv.ru/catalog/materialy/zapasnye-chasti-osnovnogo-ehnergeticheskogo-oborudovaniya/2000531921-U117/","Открыть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618c307b04ad46ce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Приморье: Турбинное оборудование и ЗИП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Приморская ГРЭС</x:v>
      </x:c>
      <x:c r="B5" s="16" t="str">
        <x:v>2000750661-U117</x:v>
      </x:c>
      <x:c r="C5" s="16" t="str">
        <x:v>БОЛТ Г-1139521 К-210-130-3 1582 1980 ЛМЗ</x:v>
      </x:c>
      <x:c r="D5" s="16" t="str">
        <x:v>Запасные части к турбинам</x:v>
      </x:c>
      <x:c r="E5" s="16" t="str">
        <x:v>ШТ</x:v>
      </x:c>
      <x:c r="F5" s="21" t="n">
        <x:v>12</x:v>
      </x:c>
      <x:c r="G5" s="17" t="n">
        <x:v>6027.5563999999995</x:v>
      </x:c>
      <x:c r="H5" s="17" t="n">
        <x:f>G5*F5</x:f>
        <x:v>72330.67679999999</x:v>
      </x:c>
      <x:c r="I5" s="22" t="str">
        <x:f>HYPERLINK("https://etp-aktiv.ru/catalog/materialy/zapasnye-chasti-osnovnogo-ehnergeticheskogo-oborudovaniya/2000750661-U117/","Открыть позицию")</x:f>
        <x:v>Открыть позицию</x:v>
      </x:c>
    </x:row>
    <x:row r="6" ht="28" customHeight="1">
      <x:c r="A6" s="16" t="str">
        <x:v>Приморская ГРЭС</x:v>
      </x:c>
      <x:c r="B6" s="16" t="str">
        <x:v>2000922683-U117</x:v>
      </x:c>
      <x:c r="C6" s="16" t="str">
        <x:v>БОЛТ Д-1075301 К-210-130-3 1550 1979 ЛМЗ</x:v>
      </x:c>
      <x:c r="D6" s="16" t="str">
        <x:v>Запасные части к турбинам</x:v>
      </x:c>
      <x:c r="E6" s="16" t="str">
        <x:v>ШТ</x:v>
      </x:c>
      <x:c r="F6" s="21" t="n">
        <x:v>24</x:v>
      </x:c>
      <x:c r="G6" s="17" t="n">
        <x:v>8801.1532</x:v>
      </x:c>
      <x:c r="H6" s="17" t="n">
        <x:f>G6*F6</x:f>
        <x:v>211227.67680000002</x:v>
      </x:c>
      <x:c r="I6" s="22" t="str">
        <x:f>HYPERLINK("https://etp-aktiv.ru/catalog/materialy/zapasnye-chasti-osnovnogo-ehnergeticheskogo-oborudovaniya/2000922683-U117/","Открыть позицию")</x:f>
        <x:v>Открыть позицию</x:v>
      </x:c>
    </x:row>
    <x:row r="7" ht="28" customHeight="1">
      <x:c r="A7" s="16" t="str">
        <x:v>Приморская ГРЭС</x:v>
      </x:c>
      <x:c r="B7" s="16" t="str">
        <x:v>2000527122-U117</x:v>
      </x:c>
      <x:c r="C7" s="16" t="str">
        <x:v>БУКСА 1235611 O50 Т180/210 1919 1987 ЛМЗ</x:v>
      </x:c>
      <x:c r="D7" s="16" t="str">
        <x:v>Запасные части к турбинам</x:v>
      </x:c>
      <x:c r="E7" s="16" t="str">
        <x:v>ШТ</x:v>
      </x:c>
      <x:c r="F7" s="21" t="n">
        <x:v>1</x:v>
      </x:c>
      <x:c r="G7" s="17" t="n">
        <x:v>12009.375</x:v>
      </x:c>
      <x:c r="H7" s="17" t="n">
        <x:f>G7*F7</x:f>
        <x:v>12009.375</x:v>
      </x:c>
      <x:c r="I7" s="22" t="str">
        <x:f>HYPERLINK("https://etp-aktiv.ru/catalog/materialy/zapasnye-chasti-osnovnogo-ehnergeticheskogo-oborudovaniya/2000527122-U117/","Открыть позицию")</x:f>
        <x:v>Открыть позицию</x:v>
      </x:c>
    </x:row>
    <x:row r="8" ht="28" customHeight="1">
      <x:c r="A8" s="16" t="str">
        <x:v>Приморская ГРЭС</x:v>
      </x:c>
      <x:c r="B8" s="16" t="str">
        <x:v>2000753272-U117</x:v>
      </x:c>
      <x:c r="C8" s="16" t="str">
        <x:v>ВАЛИК В-1289800 К-210-130-3 1582 1980ЛМЗ</x:v>
      </x:c>
      <x:c r="D8" s="16" t="str">
        <x:v>Запасные части к турбинам</x:v>
      </x:c>
      <x:c r="E8" s="16" t="str">
        <x:v>ШТ</x:v>
      </x:c>
      <x:c r="F8" s="21" t="n">
        <x:v>1</x:v>
      </x:c>
      <x:c r="G8" s="17" t="n">
        <x:v>120389.844</x:v>
      </x:c>
      <x:c r="H8" s="17" t="n">
        <x:f>G8*F8</x:f>
        <x:v>120389.844</x:v>
      </x:c>
      <x:c r="I8" s="22" t="str">
        <x:f>HYPERLINK("https://etp-aktiv.ru/catalog/materialy/zapasnye-chasti-osnovnogo-ehnergeticheskogo-oborudovaniya/2000753272-U117/","Открыть позицию")</x:f>
        <x:v>Открыть позицию</x:v>
      </x:c>
    </x:row>
    <x:row r="9" ht="28" customHeight="1">
      <x:c r="A9" s="16" t="str">
        <x:v>Приморская ГРЭС</x:v>
      </x:c>
      <x:c r="B9" s="16" t="str">
        <x:v>M2001099923-U117</x:v>
      </x:c>
      <x:c r="C9" s="16" t="str">
        <x:v>ВКЛАДЫШ Б-1229157 К-100-90 1255 1974 ЛМЗ</x:v>
      </x:c>
      <x:c r="D9" s="16" t="str">
        <x:v>Запасные части к турбинам</x:v>
      </x:c>
      <x:c r="E9" s="16" t="str">
        <x:v>ШТ</x:v>
      </x:c>
      <x:c r="F9" s="21" t="n">
        <x:v>2</x:v>
      </x:c>
      <x:c r="G9" s="17" t="n">
        <x:v>13976.32</x:v>
      </x:c>
      <x:c r="H9" s="17" t="n">
        <x:f>G9*F9</x:f>
        <x:v>27952.64</x:v>
      </x:c>
      <x:c r="I9" s="22" t="str">
        <x:f>HYPERLINK("https://etp-aktiv.ru/catalog/materialy/zapasnye-chasti-osnovnogo-ehnergeticheskogo-oborudovaniya/M2001099923-U117/","Открыть позицию")</x:f>
        <x:v>Открыть позицию</x:v>
      </x:c>
    </x:row>
    <x:row r="10" ht="28" customHeight="1">
      <x:c r="A10" s="16" t="str">
        <x:v>Приморская ГРЭС</x:v>
      </x:c>
      <x:c r="B10" s="16" t="str">
        <x:v>2000524755-U117</x:v>
      </x:c>
      <x:c r="C10" s="16" t="str">
        <x:v>ВКЛАДЫШ МН 1292082 Т180/210 1919 1987ЛМЗ</x:v>
      </x:c>
      <x:c r="D10" s="16" t="str">
        <x:v>Запасные части к турбинам</x:v>
      </x:c>
      <x:c r="E10" s="16" t="str">
        <x:v>ШТ</x:v>
      </x:c>
      <x:c r="F10" s="21" t="n">
        <x:v>1</x:v>
      </x:c>
      <x:c r="G10" s="17" t="n">
        <x:v>89060</x:v>
      </x:c>
      <x:c r="H10" s="17" t="n">
        <x:f>G10*F10</x:f>
        <x:v>89060</x:v>
      </x:c>
      <x:c r="I10" s="22" t="str">
        <x:f>HYPERLINK("https://etp-aktiv.ru/catalog/materialy/zapasnye-chasti-osnovnogo-ehnergeticheskogo-oborudovaniya/2000524755-U117/","Открыть позицию")</x:f>
        <x:v>Открыть позицию</x:v>
      </x:c>
    </x:row>
    <x:row r="11" ht="28" customHeight="1">
      <x:c r="A11" s="16" t="str">
        <x:v>Приморская ГРЭС</x:v>
      </x:c>
      <x:c r="B11" s="16" t="str">
        <x:v>2000524756-U117</x:v>
      </x:c>
      <x:c r="C11" s="16" t="str">
        <x:v>ВКЛАДЫШ МН 1292084 Т180/210 1919 1987ЛМЗ</x:v>
      </x:c>
      <x:c r="D11" s="16" t="str">
        <x:v>Запасные части к турбинам</x:v>
      </x:c>
      <x:c r="E11" s="16" t="str">
        <x:v>ШТ</x:v>
      </x:c>
      <x:c r="F11" s="21" t="n">
        <x:v>1</x:v>
      </x:c>
      <x:c r="G11" s="17" t="n">
        <x:v>96380</x:v>
      </x:c>
      <x:c r="H11" s="17" t="n">
        <x:f>G11*F11</x:f>
        <x:v>96380</x:v>
      </x:c>
      <x:c r="I11" s="22" t="str">
        <x:f>HYPERLINK("https://etp-aktiv.ru/catalog/materialy/zapasnye-chasti-osnovnogo-ehnergeticheskogo-oborudovaniya/2000524756-U117/","Открыть позицию")</x:f>
        <x:v>Открыть позицию</x:v>
      </x:c>
    </x:row>
    <x:row r="12" ht="28" customHeight="1">
      <x:c r="A12" s="16" t="str">
        <x:v>Приморская ГРЭС</x:v>
      </x:c>
      <x:c r="B12" s="16" t="str">
        <x:v>2000970339-U117</x:v>
      </x:c>
      <x:c r="C12" s="16" t="str">
        <x:v>ВТУЛКА Д-1127187 К-100-90 1255 1971 ЛМЗ</x:v>
      </x:c>
      <x:c r="D12" s="16" t="str">
        <x:v>Запасные части к турбинам</x:v>
      </x:c>
      <x:c r="E12" s="16" t="str">
        <x:v>ШТ</x:v>
      </x:c>
      <x:c r="F12" s="21" t="n">
        <x:v>1</x:v>
      </x:c>
      <x:c r="G12" s="17" t="n">
        <x:v>3088.125</x:v>
      </x:c>
      <x:c r="H12" s="17" t="n">
        <x:f>G12*F12</x:f>
        <x:v>3088.125</x:v>
      </x:c>
      <x:c r="I12" s="22" t="str">
        <x:f>HYPERLINK("https://etp-aktiv.ru/catalog/materialy/zapasnye-chasti-osnovnogo-ehnergeticheskogo-oborudovaniya/2000970339-U117/","Открыть позицию")</x:f>
        <x:v>Открыть позицию</x:v>
      </x:c>
    </x:row>
    <x:row r="13" ht="28" customHeight="1">
      <x:c r="A13" s="16" t="str">
        <x:v>Приморская ГРЭС</x:v>
      </x:c>
      <x:c r="B13" s="16" t="str">
        <x:v>M2001084511-U117</x:v>
      </x:c>
      <x:c r="C13" s="16" t="str">
        <x:v>ДИАФРАГМА 27СТ Б1268716 К210-130 1709ЛМЗ</x:v>
      </x:c>
      <x:c r="D13" s="16" t="str">
        <x:v>Запасные части к турбинам</x:v>
      </x:c>
      <x:c r="E13" s="16" t="str">
        <x:v>ШТ</x:v>
      </x:c>
      <x:c r="F13" s="21" t="n">
        <x:v>2</x:v>
      </x:c>
      <x:c r="G13" s="17" t="n">
        <x:v>244000</x:v>
      </x:c>
      <x:c r="H13" s="17" t="n">
        <x:f>G13*F13</x:f>
        <x:v>488000</x:v>
      </x:c>
      <x:c r="I13" s="22" t="str">
        <x:f>HYPERLINK("https://etp-aktiv.ru/catalog/materialy/zapasnye-chasti-osnovnogo-ehnergeticheskogo-oborudovaniya/M2001084511-U117/","Открыть позицию")</x:f>
        <x:v>Открыть позицию</x:v>
      </x:c>
    </x:row>
    <x:row r="14" ht="28" customHeight="1">
      <x:c r="A14" s="16" t="str">
        <x:v>Приморская ГРЭС</x:v>
      </x:c>
      <x:c r="B14" s="16" t="str">
        <x:v>M2001084510-U117</x:v>
      </x:c>
      <x:c r="C14" s="16" t="str">
        <x:v>ДИАФРАГМА 31СТ Б1268716 К210-130 1709ЛМЗ</x:v>
      </x:c>
      <x:c r="D14" s="16" t="str">
        <x:v>Запасные части к турбинам</x:v>
      </x:c>
      <x:c r="E14" s="16" t="str">
        <x:v>ШТ</x:v>
      </x:c>
      <x:c r="F14" s="21" t="n">
        <x:v>2</x:v>
      </x:c>
      <x:c r="G14" s="17" t="n">
        <x:v>244000</x:v>
      </x:c>
      <x:c r="H14" s="17" t="n">
        <x:f>G14*F14</x:f>
        <x:v>488000</x:v>
      </x:c>
      <x:c r="I14" s="22" t="str">
        <x:f>HYPERLINK("https://etp-aktiv.ru/catalog/materialy/zapasnye-chasti-osnovnogo-ehnergeticheskogo-oborudovaniya/M2001084510-U117/","Открыть позицию")</x:f>
        <x:v>Открыть позицию</x:v>
      </x:c>
    </x:row>
    <x:row r="15" ht="28" customHeight="1">
      <x:c r="A15" s="16" t="str">
        <x:v>Приморская ГРЭС</x:v>
      </x:c>
      <x:c r="B15" s="16" t="str">
        <x:v>2000752071-U117</x:v>
      </x:c>
      <x:c r="C15" s="16" t="str">
        <x:v>ЗОЛОТНИК В-1277478 К210-130 1582 1980ЛМЗ</x:v>
      </x:c>
      <x:c r="D15" s="16" t="str">
        <x:v>Запасные части к турбинам</x:v>
      </x:c>
      <x:c r="E15" s="16" t="str">
        <x:v>ШТ</x:v>
      </x:c>
      <x:c r="F15" s="21" t="n">
        <x:v>2</x:v>
      </x:c>
      <x:c r="G15" s="17" t="n">
        <x:v>24400</x:v>
      </x:c>
      <x:c r="H15" s="17" t="n">
        <x:f>G15*F15</x:f>
        <x:v>48800</x:v>
      </x:c>
      <x:c r="I15" s="22" t="str">
        <x:f>HYPERLINK("https://etp-aktiv.ru/catalog/materialy/zapasnye-chasti-osnovnogo-ehnergeticheskogo-oborudovaniya/2000752071-U117/","Открыть позицию")</x:f>
        <x:v>Открыть позицию</x:v>
      </x:c>
    </x:row>
    <x:row r="16" ht="28" customHeight="1">
      <x:c r="A16" s="16" t="str">
        <x:v>Приморская ГРЭС</x:v>
      </x:c>
      <x:c r="B16" s="16" t="str">
        <x:v>2000527553-U117</x:v>
      </x:c>
      <x:c r="C16" s="16" t="str">
        <x:v>КОЛОДКА 08.02.84.00-031СБ ФРИКЦ ПСМ 1-30</x:v>
      </x:c>
      <x:c r="D16" s="16" t="str">
        <x:v>Запасные части к турбинно-вспомогательному оборудованию</x:v>
      </x:c>
      <x:c r="E16" s="16" t="str">
        <x:v>ШТ</x:v>
      </x:c>
      <x:c r="F16" s="21" t="n">
        <x:v>8</x:v>
      </x:c>
      <x:c r="G16" s="17" t="n">
        <x:v>3705.75</x:v>
      </x:c>
      <x:c r="H16" s="17" t="n">
        <x:f>G16*F16</x:f>
        <x:v>29646</x:v>
      </x:c>
      <x:c r="I16" s="22" t="str">
        <x:f>HYPERLINK("https://etp-aktiv.ru/catalog/materialy/zapasnye-chasti-osnovnogo-ehnergeticheskogo-oborudovaniya/2000527553-U117/","Открыть позицию")</x:f>
        <x:v>Открыть позицию</x:v>
      </x:c>
    </x:row>
    <x:row r="17" ht="28" customHeight="1">
      <x:c r="A17" s="16" t="str">
        <x:v>Приморская ГРЭС</x:v>
      </x:c>
      <x:c r="B17" s="16" t="str">
        <x:v>2000605273-U117</x:v>
      </x:c>
      <x:c r="C17" s="16" t="str">
        <x:v>КОЛЬЦО Г-1175303 К-215-130 2111 1993 ЛМЗ</x:v>
      </x:c>
      <x:c r="D17" s="16" t="str">
        <x:v>Запасные части к турбинам</x:v>
      </x:c>
      <x:c r="E17" s="16" t="str">
        <x:v>ШТ</x:v>
      </x:c>
      <x:c r="F17" s="21" t="n">
        <x:v>14</x:v>
      </x:c>
      <x:c r="G17" s="17" t="n">
        <x:v>17080</x:v>
      </x:c>
      <x:c r="H17" s="17" t="n">
        <x:f>G17*F17</x:f>
        <x:v>239120</x:v>
      </x:c>
      <x:c r="I17" s="22" t="str">
        <x:f>HYPERLINK("https://etp-aktiv.ru/catalog/materialy/zapasnye-chasti-osnovnogo-ehnergeticheskogo-oborudovaniya/2000605273-U117/","Открыть позицию")</x:f>
        <x:v>Открыть позицию</x:v>
      </x:c>
    </x:row>
    <x:row r="18" ht="28" customHeight="1">
      <x:c r="A18" s="16" t="str">
        <x:v>Приморская ГРЭС</x:v>
      </x:c>
      <x:c r="B18" s="16" t="str">
        <x:v>2000751347-U117</x:v>
      </x:c>
      <x:c r="C18" s="16" t="str">
        <x:v>КОЛЬЦО Г-1220206 К210-130-3 1582 1980ЛМЗ</x:v>
      </x:c>
      <x:c r="D18" s="16" t="str">
        <x:v>Запасные части к турбинам</x:v>
      </x:c>
      <x:c r="E18" s="16" t="str">
        <x:v>ШТ</x:v>
      </x:c>
      <x:c r="F18" s="21" t="n">
        <x:v>4</x:v>
      </x:c>
      <x:c r="G18" s="17" t="n">
        <x:v>19520</x:v>
      </x:c>
      <x:c r="H18" s="17" t="n">
        <x:f>G18*F18</x:f>
        <x:v>78080</x:v>
      </x:c>
      <x:c r="I18" s="22" t="str">
        <x:f>HYPERLINK("https://etp-aktiv.ru/catalog/materialy/zapasnye-chasti-osnovnogo-ehnergeticheskogo-oborudovaniya/2000751347-U117/","Открыть позицию")</x:f>
        <x:v>Открыть позицию</x:v>
      </x:c>
    </x:row>
    <x:row r="19" ht="28" customHeight="1">
      <x:c r="A19" s="16" t="str">
        <x:v>Приморская ГРЭС</x:v>
      </x:c>
      <x:c r="B19" s="16" t="str">
        <x:v>2000945785-U117</x:v>
      </x:c>
      <x:c r="C19" s="16" t="str">
        <x:v>ЛОПАТКА БУ-1138422 К210-130 1582 1980ЛМЗ</x:v>
      </x:c>
      <x:c r="D19" s="16" t="str">
        <x:v>Запасные части к турбинам</x:v>
      </x:c>
      <x:c r="E19" s="16" t="str">
        <x:v>ШТ</x:v>
      </x:c>
      <x:c r="F19" s="21" t="n">
        <x:v>91</x:v>
      </x:c>
      <x:c r="G19" s="17" t="n">
        <x:v>99271.705</x:v>
      </x:c>
      <x:c r="H19" s="17" t="n">
        <x:f>G19*F19</x:f>
        <x:v>9033725.155</x:v>
      </x:c>
      <x:c r="I19" s="22" t="str">
        <x:f>HYPERLINK("https://etp-aktiv.ru/catalog/materialy/zapasnye-chasti-osnovnogo-ehnergeticheskogo-oborudovaniya/2000945785-U117/","Открыть позицию")</x:f>
        <x:v>Открыть позицию</x:v>
      </x:c>
    </x:row>
    <x:row r="20" ht="28" customHeight="1">
      <x:c r="A20" s="16" t="str">
        <x:v>Приморская ГРЭС</x:v>
      </x:c>
      <x:c r="B20" s="16" t="str">
        <x:v>2000946250-U117</x:v>
      </x:c>
      <x:c r="C20" s="16" t="str">
        <x:v>ЛОПАТКА БУ-1138427 К210-130 1582 1980ЛМЗ</x:v>
      </x:c>
      <x:c r="D20" s="16" t="str">
        <x:v>Запасные части к турбинам</x:v>
      </x:c>
      <x:c r="E20" s="16" t="str">
        <x:v>ШТ</x:v>
      </x:c>
      <x:c r="F20" s="21" t="n">
        <x:v>94</x:v>
      </x:c>
      <x:c r="G20" s="17" t="n">
        <x:v>132362.2774</x:v>
      </x:c>
      <x:c r="H20" s="17" t="n">
        <x:f>G20*F20</x:f>
        <x:v>12442054.0756</x:v>
      </x:c>
      <x:c r="I20" s="22" t="str">
        <x:f>HYPERLINK("https://etp-aktiv.ru/catalog/materialy/zapasnye-chasti-osnovnogo-ehnergeticheskogo-oborudovaniya/2000946250-U117/","Открыть позицию")</x:f>
        <x:v>Открыть позицию</x:v>
      </x:c>
    </x:row>
    <x:row r="21" ht="28" customHeight="1">
      <x:c r="A21" s="16" t="str">
        <x:v>Приморская ГРЭС</x:v>
      </x:c>
      <x:c r="B21" s="16" t="str">
        <x:v>2001001102-U117</x:v>
      </x:c>
      <x:c r="C21" s="16" t="str">
        <x:v>ПАКЕТ ЗАМК ЛОП Б-1265755 К100 1255 1971</x:v>
      </x:c>
      <x:c r="D21" s="16" t="str">
        <x:v>Запасные части к турбинам</x:v>
      </x:c>
      <x:c r="E21" s="16" t="str">
        <x:v>ШТ</x:v>
      </x:c>
      <x:c r="F21" s="21" t="n">
        <x:v>2</x:v>
      </x:c>
      <x:c r="G21" s="17" t="n">
        <x:v>67100</x:v>
      </x:c>
      <x:c r="H21" s="17" t="n">
        <x:f>G21*F21</x:f>
        <x:v>134200</x:v>
      </x:c>
      <x:c r="I21" s="22" t="str">
        <x:f>HYPERLINK("https://etp-aktiv.ru/catalog/materialy/zapasnye-chasti-osnovnogo-ehnergeticheskogo-oborudovaniya/2001001102-U117/","Открыть позицию")</x:f>
        <x:v>Открыть позицию</x:v>
      </x:c>
    </x:row>
    <x:row r="22" ht="28" customHeight="1">
      <x:c r="A22" s="16" t="str">
        <x:v>Приморская ГРЭС</x:v>
      </x:c>
      <x:c r="B22" s="16" t="str">
        <x:v>2001001100-U117</x:v>
      </x:c>
      <x:c r="C22" s="16" t="str">
        <x:v>ПАКЕТ РАБ ЛОП Б-1265753 К100 1255 1971</x:v>
      </x:c>
      <x:c r="D22" s="16" t="str">
        <x:v>Запасные части к турбинам</x:v>
      </x:c>
      <x:c r="E22" s="16" t="str">
        <x:v>ШТ</x:v>
      </x:c>
      <x:c r="F22" s="21" t="n">
        <x:v>54</x:v>
      </x:c>
      <x:c r="G22" s="17" t="n">
        <x:v>67100</x:v>
      </x:c>
      <x:c r="H22" s="17" t="n">
        <x:f>G22*F22</x:f>
        <x:v>3623400</x:v>
      </x:c>
      <x:c r="I22" s="22" t="str">
        <x:f>HYPERLINK("https://etp-aktiv.ru/catalog/materialy/zapasnye-chasti-osnovnogo-ehnergeticheskogo-oborudovaniya/2001001100-U117/","Открыть позицию")</x:f>
        <x:v>Открыть позицию</x:v>
      </x:c>
    </x:row>
    <x:row r="23" ht="28" customHeight="1">
      <x:c r="A23" s="16" t="str">
        <x:v>Приморская ГРЭС</x:v>
      </x:c>
      <x:c r="B23" s="16" t="str">
        <x:v>2001001101-U117</x:v>
      </x:c>
      <x:c r="C23" s="16" t="str">
        <x:v>ПАКЕТ РАБ ЛОП Б-1265754 К100 1255 1971</x:v>
      </x:c>
      <x:c r="D23" s="16" t="str">
        <x:v>Запасные части к турбинам</x:v>
      </x:c>
      <x:c r="E23" s="16" t="str">
        <x:v>ШТ</x:v>
      </x:c>
      <x:c r="F23" s="21" t="n">
        <x:v>2</x:v>
      </x:c>
      <x:c r="G23" s="17" t="n">
        <x:v>67100</x:v>
      </x:c>
      <x:c r="H23" s="17" t="n">
        <x:f>G23*F23</x:f>
        <x:v>134200</x:v>
      </x:c>
      <x:c r="I23" s="22" t="str">
        <x:f>HYPERLINK("https://etp-aktiv.ru/catalog/materialy/zapasnye-chasti-osnovnogo-ehnergeticheskogo-oborudovaniya/2001001101-U117/","Открыть позицию")</x:f>
        <x:v>Открыть позицию</x:v>
      </x:c>
    </x:row>
    <x:row r="24" ht="28" customHeight="1">
      <x:c r="A24" s="16" t="str">
        <x:v>Приморская ГРЭС</x:v>
      </x:c>
      <x:c r="B24" s="16" t="str">
        <x:v>2000753844-U117</x:v>
      </x:c>
      <x:c r="C24" s="16" t="str">
        <x:v>ПРУЖИНА 10.7606.020 К-210 1582 1980 ЛМЗ</x:v>
      </x:c>
      <x:c r="D24" s="16" t="str">
        <x:v>Запасные части к турбинам</x:v>
      </x:c>
      <x:c r="E24" s="16" t="str">
        <x:v>ШТ</x:v>
      </x:c>
      <x:c r="F24" s="21" t="n">
        <x:v>72</x:v>
      </x:c>
      <x:c r="G24" s="17" t="n">
        <x:v>3461.1888</x:v>
      </x:c>
      <x:c r="H24" s="17" t="n">
        <x:f>G24*F24</x:f>
        <x:v>249205.5936</x:v>
      </x:c>
      <x:c r="I24" s="22" t="str">
        <x:f>HYPERLINK("https://etp-aktiv.ru/catalog/materialy/zapasnye-chasti-osnovnogo-ehnergeticheskogo-oborudovaniya/2000753844-U117/","Открыть позицию")</x:f>
        <x:v>Открыть позицию</x:v>
      </x:c>
    </x:row>
    <x:row r="25" ht="28" customHeight="1">
      <x:c r="A25" s="16" t="str">
        <x:v>Приморская ГРЭС</x:v>
      </x:c>
      <x:c r="B25" s="16" t="str">
        <x:v>2000969089-U117</x:v>
      </x:c>
      <x:c r="C25" s="16" t="str">
        <x:v>ПРУТОК Э-36269 К-100-90 1255 1971 ЛМЗ</x:v>
      </x:c>
      <x:c r="D25" s="16" t="str">
        <x:v>Запасные части к турбинам</x:v>
      </x:c>
      <x:c r="E25" s="16" t="str">
        <x:v>ШТ</x:v>
      </x:c>
      <x:c r="F25" s="21" t="n">
        <x:v>8</x:v>
      </x:c>
      <x:c r="G25" s="17" t="n">
        <x:v>12200</x:v>
      </x:c>
      <x:c r="H25" s="17" t="n">
        <x:f>G25*F25</x:f>
        <x:v>97600</x:v>
      </x:c>
      <x:c r="I25" s="22" t="str">
        <x:f>HYPERLINK("https://etp-aktiv.ru/catalog/materialy/zapasnye-chasti-osnovnogo-ehnergeticheskogo-oborudovaniya/2000969089-U117/","Открыть позицию")</x:f>
        <x:v>Открыть позицию</x:v>
      </x:c>
    </x:row>
    <x:row r="26" ht="28" customHeight="1">
      <x:c r="A26" s="16" t="str">
        <x:v>Приморская ГРЭС</x:v>
      </x:c>
      <x:c r="B26" s="16" t="str">
        <x:v>2000970338-U117</x:v>
      </x:c>
      <x:c r="C26" s="16" t="str">
        <x:v>САТЕЛЛИТ Д-1127188 К-100-90 1255 1971ЛМЗ</x:v>
      </x:c>
      <x:c r="D26" s="16" t="str">
        <x:v>Запасные части к турбинам</x:v>
      </x:c>
      <x:c r="E26" s="16" t="str">
        <x:v>ШТ</x:v>
      </x:c>
      <x:c r="F26" s="21" t="n">
        <x:v>1</x:v>
      </x:c>
      <x:c r="G26" s="17" t="n">
        <x:v>5352.75</x:v>
      </x:c>
      <x:c r="H26" s="17" t="n">
        <x:f>G26*F26</x:f>
        <x:v>5352.75</x:v>
      </x:c>
      <x:c r="I26" s="22" t="str">
        <x:f>HYPERLINK("https://etp-aktiv.ru/catalog/materialy/zapasnye-chasti-osnovnogo-ehnergeticheskogo-oborudovaniya/2000970338-U117/","Открыть позицию")</x:f>
        <x:v>Открыть позицию</x:v>
      </x:c>
    </x:row>
    <x:row r="27" ht="28" customHeight="1">
      <x:c r="A27" s="16" t="str">
        <x:v>Приморская ГРЭС</x:v>
      </x:c>
      <x:c r="B27" s="16" t="str">
        <x:v>2000865067-U117</x:v>
      </x:c>
      <x:c r="C27" s="16" t="str">
        <x:v>СЕДЛО Г-1139099 К-210-130-3 1582 1980ЛМЗ</x:v>
      </x:c>
      <x:c r="D27" s="16" t="str">
        <x:v>Запасные части к турбинам</x:v>
      </x:c>
      <x:c r="E27" s="16" t="str">
        <x:v>ШТ</x:v>
      </x:c>
      <x:c r="F27" s="21" t="n">
        <x:v>2</x:v>
      </x:c>
      <x:c r="G27" s="17" t="n">
        <x:v>181475</x:v>
      </x:c>
      <x:c r="H27" s="17" t="n">
        <x:f>G27*F27</x:f>
        <x:v>362950</x:v>
      </x:c>
      <x:c r="I27" s="22" t="str">
        <x:f>HYPERLINK("https://etp-aktiv.ru/catalog/materialy/zapasnye-chasti-osnovnogo-ehnergeticheskogo-oborudovaniya/2000865067-U117/","Открыть позицию")</x:f>
        <x:v>Открыть позицию</x:v>
      </x:c>
    </x:row>
    <x:row r="28" ht="28" customHeight="1">
      <x:c r="A28" s="16" t="str">
        <x:v>Приморская ГРЭС</x:v>
      </x:c>
      <x:c r="B28" s="16" t="str">
        <x:v>2000611139-U117</x:v>
      </x:c>
      <x:c r="C28" s="16" t="str">
        <x:v>СПИРАЛЬ 08.2955.100 СБ ЛЕВАЯ</x:v>
      </x:c>
      <x:c r="D28" s="16" t="str">
        <x:v>Запасные части к турбинно-вспомогательному оборудованию</x:v>
      </x:c>
      <x:c r="E28" s="16" t="str">
        <x:v>ШТ</x:v>
      </x:c>
      <x:c r="F28" s="21" t="n">
        <x:v>45</x:v>
      </x:c>
      <x:c r="G28" s="17" t="n">
        <x:v>7664.5158</x:v>
      </x:c>
      <x:c r="H28" s="17" t="n">
        <x:f>G28*F28</x:f>
        <x:v>344903.211</x:v>
      </x:c>
      <x:c r="I28" s="22" t="str">
        <x:f>HYPERLINK("https://etp-aktiv.ru/catalog/materialy/zapasnye-chasti-osnovnogo-ehnergeticheskogo-oborudovaniya/2000611139-U117/","Открыть позицию")</x:f>
        <x:v>Открыть позицию</x:v>
      </x:c>
    </x:row>
    <x:row r="29" ht="28" customHeight="1">
      <x:c r="A29" s="16" t="str">
        <x:v>Приморская ГРЭС</x:v>
      </x:c>
      <x:c r="B29" s="16" t="str">
        <x:v>2000611356-U117</x:v>
      </x:c>
      <x:c r="C29" s="16" t="str">
        <x:v>СПИРАЛЬ ЛЕВАЯ 08.2955.098 СБ</x:v>
      </x:c>
      <x:c r="D29" s="16" t="str">
        <x:v>Запасные части к турбинно-вспомогательному оборудованию</x:v>
      </x:c>
      <x:c r="E29" s="16" t="str">
        <x:v>ШТ</x:v>
      </x:c>
      <x:c r="F29" s="21" t="n">
        <x:v>34</x:v>
      </x:c>
      <x:c r="G29" s="17" t="n">
        <x:v>8427.3208</x:v>
      </x:c>
      <x:c r="H29" s="17" t="n">
        <x:f>G29*F29</x:f>
        <x:v>286528.90719999996</x:v>
      </x:c>
      <x:c r="I29" s="22" t="str">
        <x:f>HYPERLINK("https://etp-aktiv.ru/catalog/materialy/zapasnye-chasti-osnovnogo-ehnergeticheskogo-oborudovaniya/2000611356-U117/","Открыть позицию")</x:f>
        <x:v>Открыть позицию</x:v>
      </x:c>
    </x:row>
    <x:row r="30" ht="28" customHeight="1">
      <x:c r="A30" s="16" t="str">
        <x:v>Приморская ГРЭС</x:v>
      </x:c>
      <x:c r="B30" s="16" t="str">
        <x:v>2000611357-U117</x:v>
      </x:c>
      <x:c r="C30" s="16" t="str">
        <x:v>СПИРАЛЬ ПРАВАЯ 08.2955.097 СБ</x:v>
      </x:c>
      <x:c r="D30" s="16" t="str">
        <x:v>Запасные части к турбинно-вспомогательному оборудованию</x:v>
      </x:c>
      <x:c r="E30" s="16" t="str">
        <x:v>ШТ</x:v>
      </x:c>
      <x:c r="F30" s="21" t="n">
        <x:v>17</x:v>
      </x:c>
      <x:c r="G30" s="17" t="n">
        <x:v>7664.5158</x:v>
      </x:c>
      <x:c r="H30" s="17" t="n">
        <x:f>G30*F30</x:f>
        <x:v>130296.7686</x:v>
      </x:c>
      <x:c r="I30" s="22" t="str">
        <x:f>HYPERLINK("https://etp-aktiv.ru/catalog/materialy/zapasnye-chasti-osnovnogo-ehnergeticheskogo-oborudovaniya/2000611357-U117/","Открыть позицию")</x:f>
        <x:v>Открыть позицию</x:v>
      </x:c>
    </x:row>
    <x:row r="31" ht="28" customHeight="1">
      <x:c r="A31" s="16" t="str">
        <x:v>Приморская ГРЭС</x:v>
      </x:c>
      <x:c r="B31" s="16" t="str">
        <x:v>2000611354-U117</x:v>
      </x:c>
      <x:c r="C31" s="16" t="str">
        <x:v>СПИРАЛЬ ПРАВАЯ 08.2955.099 СБ</x:v>
      </x:c>
      <x:c r="D31" s="16" t="str">
        <x:v>Запасные части к турбинно-вспомогательному оборудованию</x:v>
      </x:c>
      <x:c r="E31" s="16" t="str">
        <x:v>ШТ</x:v>
      </x:c>
      <x:c r="F31" s="21" t="n">
        <x:v>70</x:v>
      </x:c>
      <x:c r="G31" s="17" t="n">
        <x:v>8425.8934</x:v>
      </x:c>
      <x:c r="H31" s="17" t="n">
        <x:f>G31*F31</x:f>
        <x:v>589812.5380000001</x:v>
      </x:c>
      <x:c r="I31" s="22" t="str">
        <x:f>HYPERLINK("https://etp-aktiv.ru/catalog/materialy/zapasnye-chasti-osnovnogo-ehnergeticheskogo-oborudovaniya/2000611354-U117/","Открыть позицию")</x:f>
        <x:v>Открыть позицию</x:v>
      </x:c>
    </x:row>
    <x:row r="32" ht="28" customHeight="1">
      <x:c r="A32" s="16" t="str">
        <x:v>Приморская ГРЭС</x:v>
      </x:c>
      <x:c r="B32" s="16" t="str">
        <x:v>2000525224-U117</x:v>
      </x:c>
      <x:c r="C32" s="16" t="str">
        <x:v>ТАРЕЛКА 1345550 Т-180/210 1919 1987 ЛМЗ</x:v>
      </x:c>
      <x:c r="D32" s="16" t="str">
        <x:v>Запасные части к турбинам</x:v>
      </x:c>
      <x:c r="E32" s="16" t="str">
        <x:v>ШТ</x:v>
      </x:c>
      <x:c r="F32" s="21" t="n">
        <x:v>2</x:v>
      </x:c>
      <x:c r="G32" s="17" t="n">
        <x:v>25295.175</x:v>
      </x:c>
      <x:c r="H32" s="17" t="n">
        <x:f>G32*F32</x:f>
        <x:v>50590.35</x:v>
      </x:c>
      <x:c r="I32" s="22" t="str">
        <x:f>HYPERLINK("https://etp-aktiv.ru/catalog/materialy/zapasnye-chasti-osnovnogo-ehnergeticheskogo-oborudovaniya/2000525224-U117/","Открыть позицию")</x:f>
        <x:v>Открыть позицию</x:v>
      </x:c>
    </x:row>
    <x:row r="33" ht="28" customHeight="1">
      <x:c r="A33" s="16" t="str">
        <x:v>Приморская ГРЭС</x:v>
      </x:c>
      <x:c r="B33" s="16" t="str">
        <x:v>2000696061-U117</x:v>
      </x:c>
      <x:c r="C33" s="16" t="str">
        <x:v>ТАРЕЛКА Г-1138253 Т-200/210 1636 1980ЛМЗ</x:v>
      </x:c>
      <x:c r="D33" s="16" t="str">
        <x:v>Запасные части к турбинам</x:v>
      </x:c>
      <x:c r="E33" s="16" t="str">
        <x:v>ШТ</x:v>
      </x:c>
      <x:c r="F33" s="21" t="n">
        <x:v>1</x:v>
      </x:c>
      <x:c r="G33" s="17" t="n">
        <x:v>21960</x:v>
      </x:c>
      <x:c r="H33" s="17" t="n">
        <x:f>G33*F33</x:f>
        <x:v>21960</x:v>
      </x:c>
      <x:c r="I33" s="22" t="str">
        <x:f>HYPERLINK("https://etp-aktiv.ru/catalog/materialy/zapasnye-chasti-osnovnogo-ehnergeticheskogo-oborudovaniya/2000696061-U117/","Открыть позицию")</x:f>
        <x:v>Открыть позицию</x:v>
      </x:c>
    </x:row>
    <x:row r="34" ht="28" customHeight="1">
      <x:c r="A34" s="16" t="str">
        <x:v>Приморская ГРЭС</x:v>
      </x:c>
      <x:c r="B34" s="16" t="str">
        <x:v>2000757758-U117</x:v>
      </x:c>
      <x:c r="C34" s="16" t="str">
        <x:v>ФРИКЦИОН Д-1127149 Р50-130/7 958 1965ЛМЗ</x:v>
      </x:c>
      <x:c r="D34" s="16" t="str">
        <x:v>Запасные части к турбинам</x:v>
      </x:c>
      <x:c r="E34" s="16" t="str">
        <x:v>ШТ</x:v>
      </x:c>
      <x:c r="F34" s="21" t="n">
        <x:v>1</x:v>
      </x:c>
      <x:c r="G34" s="17" t="n">
        <x:v>3774.375</x:v>
      </x:c>
      <x:c r="H34" s="17" t="n">
        <x:f>G34*F34</x:f>
        <x:v>3774.375</x:v>
      </x:c>
      <x:c r="I34" s="22" t="str">
        <x:f>HYPERLINK("https://etp-aktiv.ru/catalog/materialy/zapasnye-chasti-osnovnogo-ehnergeticheskogo-oborudovaniya/2000757758-U117/","Открыть позицию")</x:f>
        <x:v>Открыть позицию</x:v>
      </x:c>
    </x:row>
    <x:row r="35" ht="28" customHeight="1">
      <x:c r="A35" s="16" t="str">
        <x:v>Приморская ГРЭС</x:v>
      </x:c>
      <x:c r="B35" s="16" t="str">
        <x:v>2000970420-U117</x:v>
      </x:c>
      <x:c r="C35" s="16" t="str">
        <x:v>ШЕСТЕРНЯ Д-1132804 К-100-90 1255 1971ЛМЗ</x:v>
      </x:c>
      <x:c r="D35" s="16" t="str">
        <x:v>Запасные части к турбинам</x:v>
      </x:c>
      <x:c r="E35" s="16" t="str">
        <x:v>ШТ</x:v>
      </x:c>
      <x:c r="F35" s="21" t="n">
        <x:v>1</x:v>
      </x:c>
      <x:c r="G35" s="17" t="n">
        <x:v>3545.625</x:v>
      </x:c>
      <x:c r="H35" s="17" t="n">
        <x:f>G35*F35</x:f>
        <x:v>3545.625</x:v>
      </x:c>
      <x:c r="I35" s="22" t="str">
        <x:f>HYPERLINK("https://etp-aktiv.ru/catalog/materialy/zapasnye-chasti-osnovnogo-ehnergeticheskogo-oborudovaniya/2000970420-U117/","Открыть позицию")</x:f>
        <x:v>Открыть позицию</x:v>
      </x:c>
    </x:row>
    <x:row r="36" ht="28" customHeight="1">
      <x:c r="A36" s="16" t="str">
        <x:v>Приморская ГРЭС</x:v>
      </x:c>
      <x:c r="B36" s="16" t="str">
        <x:v>2000693113-U117</x:v>
      </x:c>
      <x:c r="C36" s="16" t="str">
        <x:v>ШПИЛЬКА М-381-03-39 К300 114036 1969ХТГЗ</x:v>
      </x:c>
      <x:c r="D36" s="16" t="str">
        <x:v>Запасные части к турбинам</x:v>
      </x:c>
      <x:c r="E36" s="16" t="str">
        <x:v>ШТ</x:v>
      </x:c>
      <x:c r="F36" s="21" t="n">
        <x:v>12</x:v>
      </x:c>
      <x:c r="G36" s="17" t="n">
        <x:v>9109.374</x:v>
      </x:c>
      <x:c r="H36" s="17" t="n">
        <x:f>G36*F36</x:f>
        <x:v>109312.488</x:v>
      </x:c>
      <x:c r="I36" s="22" t="str">
        <x:f>HYPERLINK("https://etp-aktiv.ru/catalog/materialy/zapasnye-chasti-osnovnogo-ehnergeticheskogo-oborudovaniya/2000693113-U117/","Открыть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ca190c7a227b40e6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Приморье: Железнодорожное оборудование и материалы ВСП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Приморская ГРЭС</x:v>
      </x:c>
      <x:c r="B5" s="16" t="str">
        <x:v>2000013858-U117</x:v>
      </x:c>
      <x:c r="C5" s="16" t="str">
        <x:v>АППАРАТ ПОГЛOЩАЮЩИЙ 106.02.000-2 СБ</x:v>
      </x:c>
      <x:c r="D5" s="16" t="str">
        <x:v>Запасные части к вагонам</x:v>
      </x:c>
      <x:c r="E5" s="16" t="str">
        <x:v>ШТ</x:v>
      </x:c>
      <x:c r="F5" s="21" t="n">
        <x:v>4</x:v>
      </x:c>
      <x:c r="G5" s="17" t="n">
        <x:v>45558.679599999996</x:v>
      </x:c>
      <x:c r="H5" s="17" t="n">
        <x:f>G5*F5</x:f>
        <x:v>182234.71839999998</x:v>
      </x:c>
      <x:c r="I5" s="22" t="str">
        <x:f>HYPERLINK("https://etp-aktiv.ru/catalog/materialy/zapasnye-chasti-k-zhd-oborudovaniyu-i-podvizhnomu-sostavu/2000013858-U117/","Открыть позицию")</x:f>
        <x:v>Открыть позицию</x:v>
      </x:c>
    </x:row>
    <x:row r="6" ht="28" customHeight="1">
      <x:c r="A6" s="16" t="str">
        <x:v>Приморская ГРЭС</x:v>
      </x:c>
      <x:c r="B6" s="16" t="str">
        <x:v>2000007862-U117</x:v>
      </x:c>
      <x:c r="C6" s="16" t="str">
        <x:v>БАЛОЧКА ЦЕНТРИРУЮЩАЯ 106.00.011-2</x:v>
      </x:c>
      <x:c r="D6" s="16" t="str">
        <x:v>Запасные части к вагонам</x:v>
      </x:c>
      <x:c r="E6" s="16" t="str">
        <x:v>ШТ</x:v>
      </x:c>
      <x:c r="F6" s="21" t="n">
        <x:v>6</x:v>
      </x:c>
      <x:c r="G6" s="17" t="n">
        <x:v>1724.3236000000002</x:v>
      </x:c>
      <x:c r="H6" s="17" t="n">
        <x:f>G6*F6</x:f>
        <x:v>10345.941600000002</x:v>
      </x:c>
      <x:c r="I6" s="22" t="str">
        <x:f>HYPERLINK("https://etp-aktiv.ru/catalog/materialy/zapasnye-chasti-k-zhd-oborudovaniyu-i-podvizhnomu-sostavu/2000007862-U117/","Открыть позицию")</x:f>
        <x:v>Открыть позицию</x:v>
      </x:c>
    </x:row>
    <x:row r="7" ht="28" customHeight="1">
      <x:c r="A7" s="16" t="str">
        <x:v>Приморская ГРЭС</x:v>
      </x:c>
      <x:c r="B7" s="16" t="str">
        <x:v>2000175188-U117</x:v>
      </x:c>
      <x:c r="C7" s="16" t="str">
        <x:v>БОЛТ МАЯТНИКОВЫЙ 106.00.012-0</x:v>
      </x:c>
      <x:c r="D7" s="16" t="str">
        <x:v>Запасные части к вагонам</x:v>
      </x:c>
      <x:c r="E7" s="16" t="str">
        <x:v>ШТ</x:v>
      </x:c>
      <x:c r="F7" s="21" t="n">
        <x:v>14</x:v>
      </x:c>
      <x:c r="G7" s="17" t="n">
        <x:v>915</x:v>
      </x:c>
      <x:c r="H7" s="17" t="n">
        <x:f>G7*F7</x:f>
        <x:v>12810</x:v>
      </x:c>
      <x:c r="I7" s="22" t="str">
        <x:f>HYPERLINK("https://etp-aktiv.ru/catalog/materialy/zapasnye-chasti-k-zhd-oborudovaniyu-i-podvizhnomu-sostavu/2000175188-U117/","Открыть позицию")</x:f>
        <x:v>Открыть позицию</x:v>
      </x:c>
    </x:row>
    <x:row r="8" ht="28" customHeight="1">
      <x:c r="A8" s="16" t="str">
        <x:v>Приморская ГРЭС</x:v>
      </x:c>
      <x:c r="B8" s="16" t="str">
        <x:v>2000016127-U117</x:v>
      </x:c>
      <x:c r="C8" s="16" t="str">
        <x:v>БОЛТ ПУТЕВОЙ С ГАЙКОЙ И ШАЙБОЙ М24*150</x:v>
      </x:c>
      <x:c r="D8" s="16" t="str">
        <x:v>Материалы ВСП</x:v>
      </x:c>
      <x:c r="E8" s="16" t="str">
        <x:v>Т</x:v>
      </x:c>
      <x:c r="F8" s="26" t="n">
        <x:v>0.01</x:v>
      </x:c>
      <x:c r="G8" s="17" t="n">
        <x:v>170876.25</x:v>
      </x:c>
      <x:c r="H8" s="17" t="n">
        <x:f>G8*F8</x:f>
        <x:v>1708.7625</x:v>
      </x:c>
      <x:c r="I8" s="22" t="str">
        <x:f>HYPERLINK("https://etp-aktiv.ru/catalog/materialy/metalloprodukciya/2000016127-U117/","Открыть позицию")</x:f>
        <x:v>Открыть позицию</x:v>
      </x:c>
    </x:row>
    <x:row r="9" ht="28" customHeight="1">
      <x:c r="A9" s="16" t="str">
        <x:v>Приморская ГРЭС</x:v>
      </x:c>
      <x:c r="B9" s="16" t="str">
        <x:v>2000755971-U117</x:v>
      </x:c>
      <x:c r="C9" s="16" t="str">
        <x:v>БОЛТ ШАТУНА Д50.24.005</x:v>
      </x:c>
      <x:c r="D9" s="16" t="str">
        <x:v>Запасные части к локомотивам</x:v>
      </x:c>
      <x:c r="E9" s="16" t="str">
        <x:v>ШТ</x:v>
      </x:c>
      <x:c r="F9" s="21" t="n">
        <x:v>4</x:v>
      </x:c>
      <x:c r="G9" s="17" t="n">
        <x:v>3003.0544</x:v>
      </x:c>
      <x:c r="H9" s="17" t="n">
        <x:f>G9*F9</x:f>
        <x:v>12012.2176</x:v>
      </x:c>
      <x:c r="I9" s="22" t="str">
        <x:f>HYPERLINK("https://etp-aktiv.ru/catalog/materialy/zapasnye-chasti-k-zhd-oborudovaniyu-i-podvizhnomu-sostavu/2000755971-U117/","Открыть позицию")</x:f>
        <x:v>Открыть позицию</x:v>
      </x:c>
    </x:row>
    <x:row r="10" ht="28" customHeight="1">
      <x:c r="A10" s="16" t="str">
        <x:v>Приморская ГРЭС</x:v>
      </x:c>
      <x:c r="B10" s="16" t="str">
        <x:v>2000011354-U117</x:v>
      </x:c>
      <x:c r="C10" s="16" t="str">
        <x:v>ВАЛ ГИБКИЙ В-124-2600 СБ</x:v>
      </x:c>
      <x:c r="D10" s="16" t="str">
        <x:v>Запасные части к локомотивам</x:v>
      </x:c>
      <x:c r="E10" s="16" t="str">
        <x:v>ШТ</x:v>
      </x:c>
      <x:c r="F10" s="21" t="n">
        <x:v>2</x:v>
      </x:c>
      <x:c r="G10" s="17" t="n">
        <x:v>6481.25</x:v>
      </x:c>
      <x:c r="H10" s="17" t="n">
        <x:f>G10*F10</x:f>
        <x:v>12962.5</x:v>
      </x:c>
      <x:c r="I10" s="22" t="str">
        <x:f>HYPERLINK("https://etp-aktiv.ru/catalog/materialy/zapasnye-chasti-k-zhd-oborudovaniyu-i-podvizhnomu-sostavu/2000011354-U117/","Открыть позицию")</x:f>
        <x:v>Открыть позицию</x:v>
      </x:c>
    </x:row>
    <x:row r="11" ht="28" customHeight="1">
      <x:c r="A11" s="16" t="str">
        <x:v>Приморская ГРЭС</x:v>
      </x:c>
      <x:c r="B11" s="16" t="str">
        <x:v>2000062262-U117</x:v>
      </x:c>
      <x:c r="C11" s="16" t="str">
        <x:v>ВАЛ Д50.11.005-5</x:v>
      </x:c>
      <x:c r="D11" s="16" t="str">
        <x:v>Запасные части к локомотивам</x:v>
      </x:c>
      <x:c r="E11" s="16" t="str">
        <x:v>ШТ</x:v>
      </x:c>
      <x:c r="F11" s="21" t="n">
        <x:v>1</x:v>
      </x:c>
      <x:c r="G11" s="17" t="n">
        <x:v>3595.8524</x:v>
      </x:c>
      <x:c r="H11" s="17" t="n">
        <x:f>G11*F11</x:f>
        <x:v>3595.8524</x:v>
      </x:c>
      <x:c r="I11" s="22" t="str">
        <x:f>HYPERLINK("https://etp-aktiv.ru/catalog/materialy/zapasnye-chasti-k-zhd-oborudovaniyu-i-podvizhnomu-sostavu/2000062262-U117/","Открыть позицию")</x:f>
        <x:v>Открыть позицию</x:v>
      </x:c>
    </x:row>
    <x:row r="12" ht="28" customHeight="1">
      <x:c r="A12" s="16" t="str">
        <x:v>Приморская ГРЭС</x:v>
      </x:c>
      <x:c r="B12" s="16" t="str">
        <x:v>2000010824-U117</x:v>
      </x:c>
      <x:c r="C12" s="16" t="str">
        <x:v>ВАЛ КАРДАННЫЙ ТЭМ1.85.50.051</x:v>
      </x:c>
      <x:c r="D12" s="16" t="str">
        <x:v>Запасные части к локомотивам</x:v>
      </x:c>
      <x:c r="E12" s="16" t="str">
        <x:v>ШТ</x:v>
      </x:c>
      <x:c r="F12" s="21" t="n">
        <x:v>1</x:v>
      </x:c>
      <x:c r="G12" s="17" t="n">
        <x:v>10903.75</x:v>
      </x:c>
      <x:c r="H12" s="17" t="n">
        <x:f>G12*F12</x:f>
        <x:v>10903.75</x:v>
      </x:c>
      <x:c r="I12" s="22" t="str">
        <x:f>HYPERLINK("https://etp-aktiv.ru/catalog/materialy/zapasnye-chasti-k-zhd-oborudovaniyu-i-podvizhnomu-sostavu/2000010824-U117/","Открыть позицию")</x:f>
        <x:v>Открыть позицию</x:v>
      </x:c>
    </x:row>
    <x:row r="13" ht="28" customHeight="1">
      <x:c r="A13" s="16" t="str">
        <x:v>Приморская ГРЭС</x:v>
      </x:c>
      <x:c r="B13" s="16" t="str">
        <x:v>2000010992-U117</x:v>
      </x:c>
      <x:c r="C13" s="16" t="str">
        <x:v>ВАЛ КАРДАННЫЙ ТЭМ2.85.50.035</x:v>
      </x:c>
      <x:c r="D13" s="16" t="str">
        <x:v>Запасные части к локомотивам</x:v>
      </x:c>
      <x:c r="E13" s="16" t="str">
        <x:v>ШТ</x:v>
      </x:c>
      <x:c r="F13" s="21" t="n">
        <x:v>1</x:v>
      </x:c>
      <x:c r="G13" s="17" t="n">
        <x:v>8336.0648</x:v>
      </x:c>
      <x:c r="H13" s="17" t="n">
        <x:f>G13*F13</x:f>
        <x:v>8336.0648</x:v>
      </x:c>
      <x:c r="I13" s="22" t="str">
        <x:f>HYPERLINK("https://etp-aktiv.ru/catalog/materialy/zapasnye-chasti-k-zhd-oborudovaniyu-i-podvizhnomu-sostavu/2000010992-U117/","Открыть позицию")</x:f>
        <x:v>Открыть позицию</x:v>
      </x:c>
    </x:row>
    <x:row r="14" ht="28" customHeight="1">
      <x:c r="A14" s="16" t="str">
        <x:v>Приморская ГРЭС</x:v>
      </x:c>
      <x:c r="B14" s="16" t="str">
        <x:v>2000011901-U117</x:v>
      </x:c>
      <x:c r="C14" s="16" t="str">
        <x:v>ВАЛ КАРДАННЫЙ ТЭМ2.85.50.042</x:v>
      </x:c>
      <x:c r="D14" s="16" t="str">
        <x:v>Запасные части к локомотивам</x:v>
      </x:c>
      <x:c r="E14" s="16" t="str">
        <x:v>ШТ</x:v>
      </x:c>
      <x:c r="F14" s="21" t="n">
        <x:v>8</x:v>
      </x:c>
      <x:c r="G14" s="17" t="n">
        <x:v>8620.483400000001</x:v>
      </x:c>
      <x:c r="H14" s="17" t="n">
        <x:f>G14*F14</x:f>
        <x:v>68963.86720000001</x:v>
      </x:c>
      <x:c r="I14" s="22" t="str">
        <x:f>HYPERLINK("https://etp-aktiv.ru/catalog/materialy/zapasnye-chasti-k-zhd-oborudovaniyu-i-podvizhnomu-sostavu/2000011901-U117/","Открыть позицию")</x:f>
        <x:v>Открыть позицию</x:v>
      </x:c>
    </x:row>
    <x:row r="15" ht="28" customHeight="1">
      <x:c r="A15" s="16" t="str">
        <x:v>Приморская ГРЭС</x:v>
      </x:c>
      <x:c r="B15" s="16" t="str">
        <x:v>2000618923-U117</x:v>
      </x:c>
      <x:c r="C15" s="16" t="str">
        <x:v>ВАЛИК ТОРМОЗНОГО БАШМАК ТЭМ2.35.30.1002</x:v>
      </x:c>
      <x:c r="D15" s="16" t="str">
        <x:v>Запасные части к локомотивам</x:v>
      </x:c>
      <x:c r="E15" s="16" t="str">
        <x:v>ШТ</x:v>
      </x:c>
      <x:c r="F15" s="21" t="n">
        <x:v>12</x:v>
      </x:c>
      <x:c r="G15" s="17" t="n">
        <x:v>2287.7318</x:v>
      </x:c>
      <x:c r="H15" s="17" t="n">
        <x:f>G15*F15</x:f>
        <x:v>27452.781600000002</x:v>
      </x:c>
      <x:c r="I15" s="22" t="str">
        <x:f>HYPERLINK("https://etp-aktiv.ru/catalog/materialy/zapasnye-chasti-k-zhd-oborudovaniyu-i-podvizhnomu-sostavu/2000618923-U117/","Открыть позицию")</x:f>
        <x:v>Открыть позицию</x:v>
      </x:c>
    </x:row>
    <x:row r="16" ht="28" customHeight="1">
      <x:c r="A16" s="16" t="str">
        <x:v>Приморская ГРЭС</x:v>
      </x:c>
      <x:c r="B16" s="16" t="str">
        <x:v>2000849633-U117</x:v>
      </x:c>
      <x:c r="C16" s="16" t="str">
        <x:v>ВКЛАДЫШ ВЕРХНИЙ Т-3869.00.01</x:v>
      </x:c>
      <x:c r="D16" s="16" t="str">
        <x:v>Запасные части к локомотивам</x:v>
      </x:c>
      <x:c r="E16" s="16" t="str">
        <x:v>ШТ</x:v>
      </x:c>
      <x:c r="F16" s="21" t="n">
        <x:v>4</x:v>
      </x:c>
      <x:c r="G16" s="17" t="n">
        <x:v>9023.9618</x:v>
      </x:c>
      <x:c r="H16" s="17" t="n">
        <x:f>G16*F16</x:f>
        <x:v>36095.8472</x:v>
      </x:c>
      <x:c r="I16" s="22" t="str">
        <x:f>HYPERLINK("https://etp-aktiv.ru/catalog/materialy/zapasnye-chasti-k-zhd-oborudovaniyu-i-podvizhnomu-sostavu/2000849633-U117/","Открыть позицию")</x:f>
        <x:v>Открыть позицию</x:v>
      </x:c>
    </x:row>
    <x:row r="17" ht="28" customHeight="1">
      <x:c r="A17" s="16" t="str">
        <x:v>Приморская ГРЭС</x:v>
      </x:c>
      <x:c r="B17" s="16" t="str">
        <x:v>2000012285-U117</x:v>
      </x:c>
      <x:c r="C17" s="16" t="str">
        <x:v>ВКЛАДЫШ Д50.24.004-1А</x:v>
      </x:c>
      <x:c r="D17" s="16" t="str">
        <x:v>Запасные части к локомотивам</x:v>
      </x:c>
      <x:c r="E17" s="16" t="str">
        <x:v>ШТ</x:v>
      </x:c>
      <x:c r="F17" s="21" t="n">
        <x:v>4</x:v>
      </x:c>
      <x:c r="G17" s="17" t="n">
        <x:v>8198.766</x:v>
      </x:c>
      <x:c r="H17" s="17" t="n">
        <x:f>G17*F17</x:f>
        <x:v>32795.064</x:v>
      </x:c>
      <x:c r="I17" s="22" t="str">
        <x:f>HYPERLINK("https://etp-aktiv.ru/catalog/materialy/zapasnye-chasti-k-zhd-oborudovaniyu-i-podvizhnomu-sostavu/2000012285-U117/","Открыть позицию")</x:f>
        <x:v>Открыть позицию</x:v>
      </x:c>
    </x:row>
    <x:row r="18" ht="28" customHeight="1">
      <x:c r="A18" s="16" t="str">
        <x:v>Приморская ГРЭС</x:v>
      </x:c>
      <x:c r="B18" s="16" t="str">
        <x:v>2000465893-U117</x:v>
      </x:c>
      <x:c r="C18" s="16" t="str">
        <x:v>ВКЛАДЫШ МОП 8ТХ.263.178РН</x:v>
      </x:c>
      <x:c r="D18" s="16" t="str">
        <x:v>Запасные части к локомотивам</x:v>
      </x:c>
      <x:c r="E18" s="16" t="str">
        <x:v>ШТ</x:v>
      </x:c>
      <x:c r="F18" s="21" t="n">
        <x:v>2</x:v>
      </x:c>
      <x:c r="G18" s="17" t="n">
        <x:v>34221</x:v>
      </x:c>
      <x:c r="H18" s="17" t="n">
        <x:f>G18*F18</x:f>
        <x:v>68442</x:v>
      </x:c>
      <x:c r="I18" s="22" t="str">
        <x:f>HYPERLINK("https://etp-aktiv.ru/catalog/materialy/zapasnye-chasti-k-zhd-oborudovaniyu-i-podvizhnomu-sostavu/2000465893-U117/","Открыть позицию")</x:f>
        <x:v>Открыть позицию</x:v>
      </x:c>
    </x:row>
    <x:row r="19" ht="28" customHeight="1">
      <x:c r="A19" s="16" t="str">
        <x:v>Приморская ГРЭС</x:v>
      </x:c>
      <x:c r="B19" s="16" t="str">
        <x:v>2000465894-U117</x:v>
      </x:c>
      <x:c r="C19" s="16" t="str">
        <x:v>ВКЛАДЫШ МОП 8ТХ.263.179РН</x:v>
      </x:c>
      <x:c r="D19" s="16" t="str">
        <x:v>Запасные части к локомотивам</x:v>
      </x:c>
      <x:c r="E19" s="16" t="str">
        <x:v>ШТ</x:v>
      </x:c>
      <x:c r="F19" s="21" t="n">
        <x:v>2</x:v>
      </x:c>
      <x:c r="G19" s="17" t="n">
        <x:v>31110</x:v>
      </x:c>
      <x:c r="H19" s="17" t="n">
        <x:f>G19*F19</x:f>
        <x:v>62220</x:v>
      </x:c>
      <x:c r="I19" s="22" t="str">
        <x:f>HYPERLINK("https://etp-aktiv.ru/catalog/materialy/zapasnye-chasti-k-zhd-oborudovaniyu-i-podvizhnomu-sostavu/2000465894-U117/","Открыть позицию")</x:f>
        <x:v>Открыть позицию</x:v>
      </x:c>
    </x:row>
    <x:row r="20" ht="28" customHeight="1">
      <x:c r="A20" s="16" t="str">
        <x:v>Приморская ГРЭС</x:v>
      </x:c>
      <x:c r="B20" s="16" t="str">
        <x:v>2000849634-U117</x:v>
      </x:c>
      <x:c r="C20" s="16" t="str">
        <x:v>ВКЛАДЫШ НИЖНИЙ Т-3869.00.02</x:v>
      </x:c>
      <x:c r="D20" s="16" t="str">
        <x:v>Запасные части к локомотивам</x:v>
      </x:c>
      <x:c r="E20" s="16" t="str">
        <x:v>ШТ</x:v>
      </x:c>
      <x:c r="F20" s="21" t="n">
        <x:v>4</x:v>
      </x:c>
      <x:c r="G20" s="17" t="n">
        <x:v>7654.3776</x:v>
      </x:c>
      <x:c r="H20" s="17" t="n">
        <x:f>G20*F20</x:f>
        <x:v>30617.5104</x:v>
      </x:c>
      <x:c r="I20" s="22" t="str">
        <x:f>HYPERLINK("https://etp-aktiv.ru/catalog/materialy/zapasnye-chasti-k-zhd-oborudovaniyu-i-podvizhnomu-sostavu/2000849634-U117/","Открыть позицию")</x:f>
        <x:v>Открыть позицию</x:v>
      </x:c>
    </x:row>
    <x:row r="21" ht="28" customHeight="1">
      <x:c r="A21" s="16" t="str">
        <x:v>Приморская ГРЭС</x:v>
      </x:c>
      <x:c r="B21" s="16" t="str">
        <x:v>2000005657-U117</x:v>
      </x:c>
      <x:c r="C21" s="16" t="str">
        <x:v>ВТУЛКА ТЭЗ.14.1291</x:v>
      </x:c>
      <x:c r="D21" s="16" t="str">
        <x:v>Запасные части к локомотивам</x:v>
      </x:c>
      <x:c r="E21" s="16" t="str">
        <x:v>ШТ</x:v>
      </x:c>
      <x:c r="F21" s="21" t="n">
        <x:v>12</x:v>
      </x:c>
      <x:c r="G21" s="17" t="n">
        <x:v>518.805</x:v>
      </x:c>
      <x:c r="H21" s="17" t="n">
        <x:f>G21*F21</x:f>
        <x:v>6225.66</x:v>
      </x:c>
      <x:c r="I21" s="22" t="str">
        <x:f>HYPERLINK("https://etp-aktiv.ru/catalog/materialy/zapasnye-chasti-k-zhd-oborudovaniyu-i-podvizhnomu-sostavu/2000005657-U117/","Открыть позицию")</x:f>
        <x:v>Открыть позицию</x:v>
      </x:c>
    </x:row>
    <x:row r="22" ht="28" customHeight="1">
      <x:c r="A22" s="16" t="str">
        <x:v>Приморская ГРЭС</x:v>
      </x:c>
      <x:c r="B22" s="16" t="str">
        <x:v>2000755979-U117</x:v>
      </x:c>
      <x:c r="C22" s="16" t="str">
        <x:v>ГАЙКА НА ШЕСТЕРНЮ Д50.11.010-1</x:v>
      </x:c>
      <x:c r="D22" s="16" t="str">
        <x:v>Запасные части к локомотивам</x:v>
      </x:c>
      <x:c r="E22" s="16" t="str">
        <x:v>ШТ</x:v>
      </x:c>
      <x:c r="F22" s="21" t="n">
        <x:v>32</x:v>
      </x:c>
      <x:c r="G22" s="17" t="n">
        <x:v>243.0972</x:v>
      </x:c>
      <x:c r="H22" s="17" t="n">
        <x:f>G22*F22</x:f>
        <x:v>7779.1104</x:v>
      </x:c>
      <x:c r="I22" s="22" t="str">
        <x:f>HYPERLINK("https://etp-aktiv.ru/catalog/materialy/zapasnye-chasti-k-zhd-oborudovaniyu-i-podvizhnomu-sostavu/2000755979-U117/","Открыть позицию")</x:f>
        <x:v>Открыть позицию</x:v>
      </x:c>
    </x:row>
    <x:row r="23" ht="28" customHeight="1">
      <x:c r="A23" s="16" t="str">
        <x:v>Приморская ГРЭС</x:v>
      </x:c>
      <x:c r="B23" s="16" t="str">
        <x:v>2000009144-U117</x:v>
      </x:c>
      <x:c r="C23" s="16" t="str">
        <x:v>ДАТЧИК РЕЛЕ ТЕМПЕРАТУРЫ ТАМ 103-03.222</x:v>
      </x:c>
      <x:c r="D23" s="16" t="str">
        <x:v>Запасные части к локомотивам</x:v>
      </x:c>
      <x:c r="E23" s="16" t="str">
        <x:v>ШТ</x:v>
      </x:c>
      <x:c r="F23" s="21" t="n">
        <x:v>2</x:v>
      </x:c>
      <x:c r="G23" s="17" t="n">
        <x:v>2433.9</x:v>
      </x:c>
      <x:c r="H23" s="17" t="n">
        <x:f>G23*F23</x:f>
        <x:v>4867.8</x:v>
      </x:c>
      <x:c r="I23" s="22" t="str">
        <x:f>HYPERLINK("https://etp-aktiv.ru/catalog/materialy/zapasnye-chasti-k-zhd-oborudovaniyu-i-podvizhnomu-sostavu/2000009144-U117/","Открыть позицию")</x:f>
        <x:v>Открыть позицию</x:v>
      </x:c>
    </x:row>
    <x:row r="24" ht="28" customHeight="1">
      <x:c r="A24" s="16" t="str">
        <x:v>Приморская ГРЭС</x:v>
      </x:c>
      <x:c r="B24" s="16" t="str">
        <x:v>2000134876-U117</x:v>
      </x:c>
      <x:c r="C24" s="16" t="str">
        <x:v>ДИАФРАГМА 5ТХ.456.024 СРЗ</x:v>
      </x:c>
      <x:c r="D24" s="16" t="str">
        <x:v>Запасные части к локомотивам</x:v>
      </x:c>
      <x:c r="E24" s="16" t="str">
        <x:v>ШТ</x:v>
      </x:c>
      <x:c r="F24" s="21" t="n">
        <x:v>5</x:v>
      </x:c>
      <x:c r="G24" s="17" t="n">
        <x:v>670.1338</x:v>
      </x:c>
      <x:c r="H24" s="17" t="n">
        <x:f>G24*F24</x:f>
        <x:v>3350.669</x:v>
      </x:c>
      <x:c r="I24" s="22" t="str">
        <x:f>HYPERLINK("https://etp-aktiv.ru/catalog/materialy/zapasnye-chasti-k-zhd-oborudovaniyu-i-podvizhnomu-sostavu/2000134876-U117/","Открыть позицию")</x:f>
        <x:v>Открыть позицию</x:v>
      </x:c>
    </x:row>
    <x:row r="25" ht="28" customHeight="1">
      <x:c r="A25" s="16" t="str">
        <x:v>Приморская ГРЭС</x:v>
      </x:c>
      <x:c r="B25" s="16" t="str">
        <x:v>2000014110-U117</x:v>
      </x:c>
      <x:c r="C25" s="16" t="str">
        <x:v>ДОМКРАТ 25Т</x:v>
      </x:c>
      <x:c r="D25" s="16" t="str">
        <x:v>Запасные части к локомотивам</x:v>
      </x:c>
      <x:c r="E25" s="16" t="str">
        <x:v>ШТ</x:v>
      </x:c>
      <x:c r="F25" s="21" t="n">
        <x:v>2</x:v>
      </x:c>
      <x:c r="G25" s="17" t="n">
        <x:v>64050</x:v>
      </x:c>
      <x:c r="H25" s="17" t="n">
        <x:f>G25*F25</x:f>
        <x:v>128100</x:v>
      </x:c>
      <x:c r="I25" s="22" t="str">
        <x:f>HYPERLINK("https://etp-aktiv.ru/catalog/materialy/zapasnye-chasti-k-zhd-oborudovaniyu-i-podvizhnomu-sostavu/2000014110-U117/","Открыть позицию")</x:f>
        <x:v>Открыть позицию</x:v>
      </x:c>
    </x:row>
    <x:row r="26" ht="28" customHeight="1">
      <x:c r="A26" s="16" t="str">
        <x:v>Приморская ГРЭС</x:v>
      </x:c>
      <x:c r="B26" s="16" t="str">
        <x:v>2000164191-U117</x:v>
      </x:c>
      <x:c r="C26" s="16" t="str">
        <x:v>ЗАМКОДЕРЖАТЕЛЬ 106.01.003-0</x:v>
      </x:c>
      <x:c r="D26" s="16" t="str">
        <x:v>Запасные части к локомотивам</x:v>
      </x:c>
      <x:c r="E26" s="16" t="str">
        <x:v>ШТ</x:v>
      </x:c>
      <x:c r="F26" s="21" t="n">
        <x:v>1</x:v>
      </x:c>
      <x:c r="G26" s="17" t="n">
        <x:v>1399.9987999999998</x:v>
      </x:c>
      <x:c r="H26" s="17" t="n">
        <x:f>G26*F26</x:f>
        <x:v>1399.9987999999998</x:v>
      </x:c>
      <x:c r="I26" s="22" t="str">
        <x:f>HYPERLINK("https://etp-aktiv.ru/catalog/materialy/zapasnye-chasti-k-zhd-oborudovaniyu-i-podvizhnomu-sostavu/2000164191-U117/","Открыть позицию")</x:f>
        <x:v>Открыть позицию</x:v>
      </x:c>
    </x:row>
    <x:row r="27" ht="28" customHeight="1">
      <x:c r="A27" s="16" t="str">
        <x:v>Приморская ГРЭС</x:v>
      </x:c>
      <x:c r="B27" s="16" t="str">
        <x:v>2000013906-U117</x:v>
      </x:c>
      <x:c r="C27" s="16" t="str">
        <x:v>КАТУШКА ПРИЕМНАЯ ЛОК 36828-201-00</x:v>
      </x:c>
      <x:c r="D27" s="16" t="str">
        <x:v>Запасные части к локомотивам</x:v>
      </x:c>
      <x:c r="E27" s="16" t="str">
        <x:v>ШТ</x:v>
      </x:c>
      <x:c r="F27" s="21" t="n">
        <x:v>1</x:v>
      </x:c>
      <x:c r="G27" s="17" t="n">
        <x:v>24280.4156</x:v>
      </x:c>
      <x:c r="H27" s="17" t="n">
        <x:f>G27*F27</x:f>
        <x:v>24280.4156</x:v>
      </x:c>
      <x:c r="I27" s="22" t="str">
        <x:f>HYPERLINK("https://etp-aktiv.ru/catalog/materialy/zapasnye-chasti-k-zhd-oborudovaniyu-i-podvizhnomu-sostavu/2000013906-U117/","Открыть позицию")</x:f>
        <x:v>Открыть позицию</x:v>
      </x:c>
    </x:row>
    <x:row r="28" ht="28" customHeight="1">
      <x:c r="A28" s="16" t="str">
        <x:v>Приморская ГРЭС</x:v>
      </x:c>
      <x:c r="B28" s="16" t="str">
        <x:v>2000010940-U117</x:v>
      </x:c>
      <x:c r="C28" s="16" t="str">
        <x:v>КЛАПАН ВЫПУСКНОЙ Д50.09.010</x:v>
      </x:c>
      <x:c r="D28" s="16" t="str">
        <x:v>Запасные части к локомотивам</x:v>
      </x:c>
      <x:c r="E28" s="16" t="str">
        <x:v>ШТ</x:v>
      </x:c>
      <x:c r="F28" s="21" t="n">
        <x:v>2</x:v>
      </x:c>
      <x:c r="G28" s="17" t="n">
        <x:v>3221.9955999999997</x:v>
      </x:c>
      <x:c r="H28" s="17" t="n">
        <x:f>G28*F28</x:f>
        <x:v>6443.9911999999995</x:v>
      </x:c>
      <x:c r="I28" s="22" t="str">
        <x:f>HYPERLINK("https://etp-aktiv.ru/catalog/materialy/zapasnye-chasti-k-zhd-oborudovaniyu-i-podvizhnomu-sostavu/2000010940-U117/","Открыть позицию")</x:f>
        <x:v>Открыть позицию</x:v>
      </x:c>
    </x:row>
    <x:row r="29" ht="28" customHeight="1">
      <x:c r="A29" s="16" t="str">
        <x:v>Приморская ГРЭС</x:v>
      </x:c>
      <x:c r="B29" s="16" t="str">
        <x:v>2000010277-U117</x:v>
      </x:c>
      <x:c r="C29" s="16" t="str">
        <x:v>КЛАПАН НАГНЕТАТЕЛЬНЫЙ 34.06.01.00-017 СБ</x:v>
      </x:c>
      <x:c r="D29" s="16" t="str">
        <x:v>Запасные части к локомотивам</x:v>
      </x:c>
      <x:c r="E29" s="16" t="str">
        <x:v>ШТ</x:v>
      </x:c>
      <x:c r="F29" s="21" t="n">
        <x:v>29</x:v>
      </x:c>
      <x:c r="G29" s="17" t="n">
        <x:v>1505.3946</x:v>
      </x:c>
      <x:c r="H29" s="17" t="n">
        <x:f>G29*F29</x:f>
        <x:v>43656.443400000004</x:v>
      </x:c>
      <x:c r="I29" s="22" t="str">
        <x:f>HYPERLINK("https://etp-aktiv.ru/catalog/materialy/zapasnye-chasti-k-zhd-oborudovaniyu-i-podvizhnomu-sostavu/2000010277-U117/","Открыть позицию")</x:f>
        <x:v>Открыть позицию</x:v>
      </x:c>
    </x:row>
    <x:row r="30" ht="28" customHeight="1">
      <x:c r="A30" s="16" t="str">
        <x:v>Приморская ГРЭС</x:v>
      </x:c>
      <x:c r="B30" s="16" t="str">
        <x:v>2000008332-U117</x:v>
      </x:c>
      <x:c r="C30" s="16" t="str">
        <x:v>КЛАПАН НАГНЕТАТЕЛЬНЫЙ Д50.27.102СБ-2</x:v>
      </x:c>
      <x:c r="D30" s="16" t="str">
        <x:v>Запасные части к локомотивам</x:v>
      </x:c>
      <x:c r="E30" s="16" t="str">
        <x:v>ШТ</x:v>
      </x:c>
      <x:c r="F30" s="21" t="n">
        <x:v>18</x:v>
      </x:c>
      <x:c r="G30" s="17" t="n">
        <x:v>1075.613</x:v>
      </x:c>
      <x:c r="H30" s="17" t="n">
        <x:f>G30*F30</x:f>
        <x:v>19361.034</x:v>
      </x:c>
      <x:c r="I30" s="22" t="str">
        <x:f>HYPERLINK("https://etp-aktiv.ru/catalog/materialy/zapasnye-chasti-k-zhd-oborudovaniyu-i-podvizhnomu-sostavu/2000008332-U117/","Открыть позицию")</x:f>
        <x:v>Открыть позицию</x:v>
      </x:c>
    </x:row>
    <x:row r="31" ht="28" customHeight="1">
      <x:c r="A31" s="16" t="str">
        <x:v>Приморская ГРЭС</x:v>
      </x:c>
      <x:c r="B31" s="16" t="str">
        <x:v>2000006501-U117</x:v>
      </x:c>
      <x:c r="C31" s="16" t="str">
        <x:v>КЛИН ТЯГОВОГО ХОМУТА 106.00.002-2</x:v>
      </x:c>
      <x:c r="D31" s="16" t="str">
        <x:v>Запасные части к вагонам</x:v>
      </x:c>
      <x:c r="E31" s="16" t="str">
        <x:v>ШТ</x:v>
      </x:c>
      <x:c r="F31" s="21" t="n">
        <x:v>2</x:v>
      </x:c>
      <x:c r="G31" s="17" t="n">
        <x:v>1483.6786000000002</x:v>
      </x:c>
      <x:c r="H31" s="17" t="n">
        <x:f>G31*F31</x:f>
        <x:v>2967.3572000000004</x:v>
      </x:c>
      <x:c r="I31" s="22" t="str">
        <x:f>HYPERLINK("https://etp-aktiv.ru/catalog/materialy/zapasnye-chasti-k-zhd-oborudovaniyu-i-podvizhnomu-sostavu/2000006501-U117/","Открыть позицию")</x:f>
        <x:v>Открыть позицию</x:v>
      </x:c>
    </x:row>
    <x:row r="32" ht="28" customHeight="1">
      <x:c r="A32" s="16" t="str">
        <x:v>Приморская ГРЭС</x:v>
      </x:c>
      <x:c r="B32" s="16" t="str">
        <x:v>2000679999-U117</x:v>
      </x:c>
      <x:c r="C32" s="16" t="str">
        <x:v>КОЛЬЦО 10Д100.36.134</x:v>
      </x:c>
      <x:c r="D32" s="16" t="str">
        <x:v>Запасные части к локомотивам</x:v>
      </x:c>
      <x:c r="E32" s="16" t="str">
        <x:v>ШТ</x:v>
      </x:c>
      <x:c r="F32" s="21" t="n">
        <x:v>12</x:v>
      </x:c>
      <x:c r="G32" s="17" t="n">
        <x:v>230.0066</x:v>
      </x:c>
      <x:c r="H32" s="17" t="n">
        <x:f>G32*F32</x:f>
        <x:v>2760.0792</x:v>
      </x:c>
      <x:c r="I32" s="22" t="str">
        <x:f>HYPERLINK("https://etp-aktiv.ru/catalog/materialy/zapasnye-chasti-k-zhd-oborudovaniyu-i-podvizhnomu-sostavu/2000679999-U117/","Открыть позицию")</x:f>
        <x:v>Открыть позицию</x:v>
      </x:c>
    </x:row>
    <x:row r="33" ht="28" customHeight="1">
      <x:c r="A33" s="16" t="str">
        <x:v>Приморская ГРЭС</x:v>
      </x:c>
      <x:c r="B33" s="16" t="str">
        <x:v>2000026912-U117</x:v>
      </x:c>
      <x:c r="C33" s="16" t="str">
        <x:v>КОЛЬЦО КУ ГОСТ38-72</x:v>
      </x:c>
      <x:c r="D33" s="16" t="str">
        <x:v>Запасные части к локомотивам</x:v>
      </x:c>
      <x:c r="E33" s="16" t="str">
        <x:v>ШТ</x:v>
      </x:c>
      <x:c r="F33" s="21" t="n">
        <x:v>6</x:v>
      </x:c>
      <x:c r="G33" s="17" t="n">
        <x:v>11.4802</x:v>
      </x:c>
      <x:c r="H33" s="17" t="n">
        <x:f>G33*F33</x:f>
        <x:v>68.8812</x:v>
      </x:c>
      <x:c r="I33" s="22" t="str">
        <x:f>HYPERLINK("https://etp-aktiv.ru/catalog/materialy/zapasnye-chasti-k-zhd-oborudovaniyu-i-podvizhnomu-sostavu/2000026912-U117/","Открыть позицию")</x:f>
        <x:v>Открыть позицию</x:v>
      </x:c>
    </x:row>
    <x:row r="34" ht="28" customHeight="1">
      <x:c r="A34" s="16" t="str">
        <x:v>Приморская ГРЭС</x:v>
      </x:c>
      <x:c r="B34" s="16" t="str">
        <x:v>2000027000-U117</x:v>
      </x:c>
      <x:c r="C34" s="16" t="str">
        <x:v>КОЛЬЦО ПОРШНЕВОЕ КТ6 ЦВД 34.08.00.03-006</x:v>
      </x:c>
      <x:c r="D34" s="16" t="str">
        <x:v>Запасные части к локомотивам</x:v>
      </x:c>
      <x:c r="E34" s="16" t="str">
        <x:v>ШТ</x:v>
      </x:c>
      <x:c r="F34" s="21" t="n">
        <x:v>27</x:v>
      </x:c>
      <x:c r="G34" s="17" t="n">
        <x:v>658.983</x:v>
      </x:c>
      <x:c r="H34" s="17" t="n">
        <x:f>G34*F34</x:f>
        <x:v>17792.540999999997</x:v>
      </x:c>
      <x:c r="I34" s="22" t="str">
        <x:f>HYPERLINK("https://etp-aktiv.ru/catalog/materialy/zapasnye-chasti-k-zhd-oborudovaniyu-i-podvizhnomu-sostavu/2000027000-U117/","Открыть позицию")</x:f>
        <x:v>Открыть позицию</x:v>
      </x:c>
    </x:row>
    <x:row r="35" ht="28" customHeight="1">
      <x:c r="A35" s="16" t="str">
        <x:v>Приморская ГРЭС</x:v>
      </x:c>
      <x:c r="B35" s="16" t="str">
        <x:v>2000027579-U117</x:v>
      </x:c>
      <x:c r="C35" s="16" t="str">
        <x:v>КОНТАКТОР МК6-10</x:v>
      </x:c>
      <x:c r="D35" s="16" t="str">
        <x:v>Запасные части к локомотивам</x:v>
      </x:c>
      <x:c r="E35" s="16" t="str">
        <x:v>ШТ</x:v>
      </x:c>
      <x:c r="F35" s="21" t="n">
        <x:v>2</x:v>
      </x:c>
      <x:c r="G35" s="17" t="n">
        <x:v>11370.7294</x:v>
      </x:c>
      <x:c r="H35" s="17" t="n">
        <x:f>G35*F35</x:f>
        <x:v>22741.4588</x:v>
      </x:c>
      <x:c r="I35" s="22" t="str">
        <x:f>HYPERLINK("https://etp-aktiv.ru/catalog/materialy/zapasnye-chasti-k-zhd-oborudovaniyu-i-podvizhnomu-sostavu/2000027579-U117/","Открыть позицию")</x:f>
        <x:v>Открыть позицию</x:v>
      </x:c>
    </x:row>
    <x:row r="36" ht="28" customHeight="1">
      <x:c r="A36" s="16" t="str">
        <x:v>Приморская ГРЭС</x:v>
      </x:c>
      <x:c r="B36" s="16" t="str">
        <x:v>2000440142-U117</x:v>
      </x:c>
      <x:c r="C36" s="16" t="str">
        <x:v>КОНТРОЛЛЕР МАШИНИСТА КВП-0853М</x:v>
      </x:c>
      <x:c r="D36" s="16" t="str">
        <x:v>Запасные части к локомотивам</x:v>
      </x:c>
      <x:c r="E36" s="16" t="str">
        <x:v>ШТ</x:v>
      </x:c>
      <x:c r="F36" s="21" t="n">
        <x:v>2</x:v>
      </x:c>
      <x:c r="G36" s="17" t="n">
        <x:v>53688.1862</x:v>
      </x:c>
      <x:c r="H36" s="17" t="n">
        <x:f>G36*F36</x:f>
        <x:v>107376.3724</x:v>
      </x:c>
      <x:c r="I36" s="22" t="str">
        <x:f>HYPERLINK("https://etp-aktiv.ru/catalog/materialy/zapasnye-chasti-k-zhd-oborudovaniyu-i-podvizhnomu-sostavu/2000440142-U117/","Открыть позицию")</x:f>
        <x:v>Открыть позицию</x:v>
      </x:c>
    </x:row>
    <x:row r="37" ht="28" customHeight="1">
      <x:c r="A37" s="16" t="str">
        <x:v>Приморская ГРЭС</x:v>
      </x:c>
      <x:c r="B37" s="16" t="str">
        <x:v>2000707415-U117</x:v>
      </x:c>
      <x:c r="C37" s="16" t="str">
        <x:v>КРАН КОНЦЕВОЙ 190.00А</x:v>
      </x:c>
      <x:c r="D37" s="16" t="str">
        <x:v>Запасные части к локомотивам</x:v>
      </x:c>
      <x:c r="E37" s="16" t="str">
        <x:v>ШТ</x:v>
      </x:c>
      <x:c r="F37" s="21" t="n">
        <x:v>8</x:v>
      </x:c>
      <x:c r="G37" s="17" t="n">
        <x:v>2562</x:v>
      </x:c>
      <x:c r="H37" s="17" t="n">
        <x:f>G37*F37</x:f>
        <x:v>20496</x:v>
      </x:c>
      <x:c r="I37" s="22" t="str">
        <x:f>HYPERLINK("https://etp-aktiv.ru/catalog/materialy/zapasnye-chasti-k-zhd-oborudovaniyu-i-podvizhnomu-sostavu/2000707415-U117/","Открыть позицию")</x:f>
        <x:v>Открыть позицию</x:v>
      </x:c>
    </x:row>
    <x:row r="38" ht="28" customHeight="1">
      <x:c r="A38" s="16" t="str">
        <x:v>Приморская ГРЭС</x:v>
      </x:c>
      <x:c r="B38" s="16" t="str">
        <x:v>2000008154-U117</x:v>
      </x:c>
      <x:c r="C38" s="16" t="str">
        <x:v>НАПРАВЛЯЮЩАЯ ВПУСКН.КЛАПАНА Д50.06.026</x:v>
      </x:c>
      <x:c r="D38" s="16" t="str">
        <x:v>Запасные части к локомотивам</x:v>
      </x:c>
      <x:c r="E38" s="16" t="str">
        <x:v>ШТ</x:v>
      </x:c>
      <x:c r="F38" s="21" t="n">
        <x:v>3</x:v>
      </x:c>
      <x:c r="G38" s="17" t="n">
        <x:v>1144.2258</x:v>
      </x:c>
      <x:c r="H38" s="17" t="n">
        <x:f>G38*F38</x:f>
        <x:v>3432.6773999999996</x:v>
      </x:c>
      <x:c r="I38" s="22" t="str">
        <x:f>HYPERLINK("https://etp-aktiv.ru/catalog/materialy/zapasnye-chasti-k-zhd-oborudovaniyu-i-podvizhnomu-sostavu/2000008154-U117/","Открыть позицию")</x:f>
        <x:v>Открыть позицию</x:v>
      </x:c>
    </x:row>
    <x:row r="39" ht="28" customHeight="1">
      <x:c r="A39" s="16" t="str">
        <x:v>Приморская ГРЭС</x:v>
      </x:c>
      <x:c r="B39" s="16" t="str">
        <x:v>2000008578-U117</x:v>
      </x:c>
      <x:c r="C39" s="16" t="str">
        <x:v>НАПРАВЛЯЮЩАЯ ВЫПУСКН.КЛАПАНА Д50.06.025</x:v>
      </x:c>
      <x:c r="D39" s="16" t="str">
        <x:v>Запасные части к локомотивам</x:v>
      </x:c>
      <x:c r="E39" s="16" t="str">
        <x:v>ШТ</x:v>
      </x:c>
      <x:c r="F39" s="21" t="n">
        <x:v>2</x:v>
      </x:c>
      <x:c r="G39" s="17" t="n">
        <x:v>1334.924</x:v>
      </x:c>
      <x:c r="H39" s="17" t="n">
        <x:f>G39*F39</x:f>
        <x:v>2669.848</x:v>
      </x:c>
      <x:c r="I39" s="22" t="str">
        <x:f>HYPERLINK("https://etp-aktiv.ru/catalog/materialy/zapasnye-chasti-k-zhd-oborudovaniyu-i-podvizhnomu-sostavu/2000008578-U117/","Открыть позицию")</x:f>
        <x:v>Открыть позицию</x:v>
      </x:c>
    </x:row>
    <x:row r="40" ht="28" customHeight="1">
      <x:c r="A40" s="16" t="str">
        <x:v>Приморская ГРЭС</x:v>
      </x:c>
      <x:c r="B40" s="16" t="str">
        <x:v>2000086476-U117</x:v>
      </x:c>
      <x:c r="C40" s="16" t="str">
        <x:v>ПОДВЕСКА МАЯТНИКОВАЯ 106.00.012-0</x:v>
      </x:c>
      <x:c r="D40" s="16" t="str">
        <x:v>Запасные части к вагонам</x:v>
      </x:c>
      <x:c r="E40" s="16" t="str">
        <x:v>ШТ</x:v>
      </x:c>
      <x:c r="F40" s="21" t="n">
        <x:v>3</x:v>
      </x:c>
      <x:c r="G40" s="17" t="n">
        <x:v>634.644</x:v>
      </x:c>
      <x:c r="H40" s="17" t="n">
        <x:f>G40*F40</x:f>
        <x:v>1903.932</x:v>
      </x:c>
      <x:c r="I40" s="22" t="str">
        <x:f>HYPERLINK("https://etp-aktiv.ru/catalog/materialy/zapasnye-chasti-k-zhd-oborudovaniyu-i-podvizhnomu-sostavu/2000086476-U117/","Открыть позицию")</x:f>
        <x:v>Открыть позицию</x:v>
      </x:c>
    </x:row>
    <x:row r="41" ht="28" customHeight="1">
      <x:c r="A41" s="16" t="str">
        <x:v>Приморская ГРЭС</x:v>
      </x:c>
      <x:c r="B41" s="16" t="str">
        <x:v>2000707420-U117</x:v>
      </x:c>
      <x:c r="C41" s="16" t="str">
        <x:v>ПОДВЕСКА МАЯТНИКОВАЯ 106.00.013</x:v>
      </x:c>
      <x:c r="D41" s="16" t="str">
        <x:v>Запасные части к вагонам</x:v>
      </x:c>
      <x:c r="E41" s="16" t="str">
        <x:v>ШТ</x:v>
      </x:c>
      <x:c r="F41" s="21" t="n">
        <x:v>7</x:v>
      </x:c>
      <x:c r="G41" s="17" t="n">
        <x:v>918.843</x:v>
      </x:c>
      <x:c r="H41" s="17" t="n">
        <x:f>G41*F41</x:f>
        <x:v>6431.901</x:v>
      </x:c>
      <x:c r="I41" s="22" t="str">
        <x:f>HYPERLINK("https://etp-aktiv.ru/catalog/materialy/zapasnye-chasti-k-zhd-oborudovaniyu-i-podvizhnomu-sostavu/2000707420-U117/","Открыть позицию")</x:f>
        <x:v>Открыть позицию</x:v>
      </x:c>
    </x:row>
    <x:row r="42" ht="28" customHeight="1">
      <x:c r="A42" s="16" t="str">
        <x:v>Приморская ГРЭС</x:v>
      </x:c>
      <x:c r="B42" s="16" t="str">
        <x:v>2000062480-U117</x:v>
      </x:c>
      <x:c r="C42" s="16" t="str">
        <x:v>ПОДВЕСКА РЕССОРЫ ТЭ3.14.012</x:v>
      </x:c>
      <x:c r="D42" s="16" t="str">
        <x:v>Запасные части к локомотивам</x:v>
      </x:c>
      <x:c r="E42" s="16" t="str">
        <x:v>ШТ</x:v>
      </x:c>
      <x:c r="F42" s="21" t="n">
        <x:v>9</x:v>
      </x:c>
      <x:c r="G42" s="17" t="n">
        <x:v>4978.9298</x:v>
      </x:c>
      <x:c r="H42" s="17" t="n">
        <x:f>G42*F42</x:f>
        <x:v>44810.3682</x:v>
      </x:c>
      <x:c r="I42" s="22" t="str">
        <x:f>HYPERLINK("https://etp-aktiv.ru/catalog/materialy/zapasnye-chasti-k-zhd-oborudovaniyu-i-podvizhnomu-sostavu/2000062480-U117/","Открыть позицию")</x:f>
        <x:v>Открыть позицию</x:v>
      </x:c>
    </x:row>
    <x:row r="43" ht="28" customHeight="1">
      <x:c r="A43" s="16" t="str">
        <x:v>Приморская ГРЭС</x:v>
      </x:c>
      <x:c r="B43" s="16" t="str">
        <x:v>2000086485-U117</x:v>
      </x:c>
      <x:c r="C43" s="16" t="str">
        <x:v>ПОДЪЕМНИК ЗАМКА 106.01.004-0</x:v>
      </x:c>
      <x:c r="D43" s="16" t="str">
        <x:v>Запасные части к локомотивам</x:v>
      </x:c>
      <x:c r="E43" s="16" t="str">
        <x:v>ШТ</x:v>
      </x:c>
      <x:c r="F43" s="21" t="n">
        <x:v>3</x:v>
      </x:c>
      <x:c r="G43" s="17" t="n">
        <x:v>1282.9519999999998</x:v>
      </x:c>
      <x:c r="H43" s="17" t="n">
        <x:f>G43*F43</x:f>
        <x:v>3848.8559999999993</x:v>
      </x:c>
      <x:c r="I43" s="22" t="str">
        <x:f>HYPERLINK("https://etp-aktiv.ru/catalog/materialy/zapasnye-chasti-k-zhd-oborudovaniyu-i-podvizhnomu-sostavu/2000086485-U117/","Открыть позицию")</x:f>
        <x:v>Открыть позицию</x:v>
      </x:c>
    </x:row>
    <x:row r="44" ht="28" customHeight="1">
      <x:c r="A44" s="16" t="str">
        <x:v>Приморская ГРЭС</x:v>
      </x:c>
      <x:c r="B44" s="16" t="str">
        <x:v>2000012956-U117</x:v>
      </x:c>
      <x:c r="C44" s="16" t="str">
        <x:v>ПОМПА ТОПЛИВОПОДКАЧИВАЮЩ 2Д100.32.010 СБ</x:v>
      </x:c>
      <x:c r="D44" s="16" t="str">
        <x:v>Запасные части к локомотивам</x:v>
      </x:c>
      <x:c r="E44" s="16" t="str">
        <x:v>ШТ</x:v>
      </x:c>
      <x:c r="F44" s="21" t="n">
        <x:v>5</x:v>
      </x:c>
      <x:c r="G44" s="17" t="n">
        <x:v>12542.149000000001</x:v>
      </x:c>
      <x:c r="H44" s="17" t="n">
        <x:f>G44*F44</x:f>
        <x:v>62710.74500000001</x:v>
      </x:c>
      <x:c r="I44" s="22" t="str">
        <x:f>HYPERLINK("https://etp-aktiv.ru/catalog/materialy/zapasnye-chasti-k-zhd-oborudovaniyu-i-podvizhnomu-sostavu/2000012956-U117/","Открыть позицию")</x:f>
        <x:v>Открыть позицию</x:v>
      </x:c>
    </x:row>
    <x:row r="45" ht="28" customHeight="1">
      <x:c r="A45" s="16" t="str">
        <x:v>Приморская ГРЭС</x:v>
      </x:c>
      <x:c r="B45" s="16" t="str">
        <x:v>2000015395-U117</x:v>
      </x:c>
      <x:c r="C45" s="16" t="str">
        <x:v>ПОРШЕНЬ Д50.04.001А</x:v>
      </x:c>
      <x:c r="D45" s="16" t="str">
        <x:v>Запасные части к локомотивам</x:v>
      </x:c>
      <x:c r="E45" s="16" t="str">
        <x:v>ШТ</x:v>
      </x:c>
      <x:c r="F45" s="21" t="n">
        <x:v>3</x:v>
      </x:c>
      <x:c r="G45" s="17" t="n">
        <x:v>44167.049999999996</x:v>
      </x:c>
      <x:c r="H45" s="17" t="n">
        <x:f>G45*F45</x:f>
        <x:v>132501.15</x:v>
      </x:c>
      <x:c r="I45" s="22" t="str">
        <x:f>HYPERLINK("https://etp-aktiv.ru/catalog/materialy/zapasnye-chasti-k-zhd-oborudovaniyu-i-podvizhnomu-sostavu/2000015395-U117/","Открыть позицию")</x:f>
        <x:v>Открыть позицию</x:v>
      </x:c>
    </x:row>
    <x:row r="46" ht="28" customHeight="1">
      <x:c r="A46" s="16" t="str">
        <x:v>Приморская ГРЭС</x:v>
      </x:c>
      <x:c r="B46" s="16" t="str">
        <x:v>2000709181-U117</x:v>
      </x:c>
      <x:c r="C46" s="16" t="str">
        <x:v>ПРЕДОХРАНИТЕЛЬ 106.01.006-3</x:v>
      </x:c>
      <x:c r="D46" s="16" t="str">
        <x:v>Запасные части к локомотивам</x:v>
      </x:c>
      <x:c r="E46" s="16" t="str">
        <x:v>ШТ</x:v>
      </x:c>
      <x:c r="F46" s="21" t="n">
        <x:v>11</x:v>
      </x:c>
      <x:c r="G46" s="17" t="n">
        <x:v>607.5722</x:v>
      </x:c>
      <x:c r="H46" s="17" t="n">
        <x:f>G46*F46</x:f>
        <x:v>6683.294199999999</x:v>
      </x:c>
      <x:c r="I46" s="22" t="str">
        <x:f>HYPERLINK("https://etp-aktiv.ru/catalog/materialy/zapasnye-chasti-k-zhd-oborudovaniyu-i-podvizhnomu-sostavu/2000709181-U117/","Открыть позицию")</x:f>
        <x:v>Открыть позицию</x:v>
      </x:c>
    </x:row>
    <x:row r="47" ht="28" customHeight="1">
      <x:c r="A47" s="16" t="str">
        <x:v>Приморская ГРЭС</x:v>
      </x:c>
      <x:c r="B47" s="16" t="str">
        <x:v>2000293189-U117</x:v>
      </x:c>
      <x:c r="C47" s="16" t="str">
        <x:v>ПРЕДОХРАНИТЕЛЬ ЗАМКА 106.01.006-5</x:v>
      </x:c>
      <x:c r="D47" s="16" t="str">
        <x:v>Запасные части к вагонам</x:v>
      </x:c>
      <x:c r="E47" s="16" t="str">
        <x:v>ШТ</x:v>
      </x:c>
      <x:c r="F47" s="21" t="n">
        <x:v>3</x:v>
      </x:c>
      <x:c r="G47" s="17" t="n">
        <x:v>1244.3999999999999</x:v>
      </x:c>
      <x:c r="H47" s="17" t="n">
        <x:f>G47*F47</x:f>
        <x:v>3733.2</x:v>
      </x:c>
      <x:c r="I47" s="22" t="str">
        <x:f>HYPERLINK("https://etp-aktiv.ru/catalog/materialy/zapasnye-chasti-k-zhd-oborudovaniyu-i-podvizhnomu-sostavu/2000293189-U117/","Открыть позицию")</x:f>
        <x:v>Открыть позицию</x:v>
      </x:c>
    </x:row>
    <x:row r="48" ht="28" customHeight="1">
      <x:c r="A48" s="16" t="str">
        <x:v>Приморская ГРЭС</x:v>
      </x:c>
      <x:c r="B48" s="16" t="str">
        <x:v>2000035564-U117</x:v>
      </x:c>
      <x:c r="C48" s="16" t="str">
        <x:v>ПРИВОД СКОРОСТЕМЕРА ТЭМ1.00.20.003</x:v>
      </x:c>
      <x:c r="D48" s="16" t="str">
        <x:v>Запасные части к локомотивам</x:v>
      </x:c>
      <x:c r="E48" s="16" t="str">
        <x:v>ШТ</x:v>
      </x:c>
      <x:c r="F48" s="21" t="n">
        <x:v>2</x:v>
      </x:c>
      <x:c r="G48" s="17" t="n">
        <x:v>19520</x:v>
      </x:c>
      <x:c r="H48" s="17" t="n">
        <x:f>G48*F48</x:f>
        <x:v>39040</x:v>
      </x:c>
      <x:c r="I48" s="22" t="str">
        <x:f>HYPERLINK("https://etp-aktiv.ru/catalog/materialy/zapasnye-chasti-k-zhd-oborudovaniyu-i-podvizhnomu-sostavu/2000035564-U117/","Открыть позицию")</x:f>
        <x:v>Открыть позицию</x:v>
      </x:c>
    </x:row>
    <x:row r="49" ht="28" customHeight="1">
      <x:c r="A49" s="16" t="str">
        <x:v>Приморская ГРЭС</x:v>
      </x:c>
      <x:c r="B49" s="16" t="str">
        <x:v>2000062386-U117</x:v>
      </x:c>
      <x:c r="C49" s="16" t="str">
        <x:v>ПРОКЛАДКА 2Д100.69.042</x:v>
      </x:c>
      <x:c r="D49" s="16" t="str">
        <x:v>Запасные части к локомотивам</x:v>
      </x:c>
      <x:c r="E49" s="16" t="str">
        <x:v>ШТ</x:v>
      </x:c>
      <x:c r="F49" s="21" t="n">
        <x:v>7</x:v>
      </x:c>
      <x:c r="G49" s="17" t="n">
        <x:v>137.7014</x:v>
      </x:c>
      <x:c r="H49" s="17" t="n">
        <x:f>G49*F49</x:f>
        <x:v>963.9098</x:v>
      </x:c>
      <x:c r="I49" s="22" t="str">
        <x:f>HYPERLINK("https://etp-aktiv.ru/catalog/materialy/zapasnye-chasti-k-zhd-oborudovaniyu-i-podvizhnomu-sostavu/2000062386-U117/","Открыть позицию")</x:f>
        <x:v>Открыть позицию</x:v>
      </x:c>
    </x:row>
    <x:row r="50" ht="28" customHeight="1">
      <x:c r="A50" s="16" t="str">
        <x:v>Приморская ГРЭС</x:v>
      </x:c>
      <x:c r="B50" s="16" t="str">
        <x:v>2000003916-U117</x:v>
      </x:c>
      <x:c r="C50" s="16" t="str">
        <x:v>ПРОКЛАДКА КОРПУСА Д50.10.046</x:v>
      </x:c>
      <x:c r="D50" s="16" t="str">
        <x:v>Запасные части к локомотивам</x:v>
      </x:c>
      <x:c r="E50" s="16" t="str">
        <x:v>ШТ</x:v>
      </x:c>
      <x:c r="F50" s="21" t="n">
        <x:v>14</x:v>
      </x:c>
      <x:c r="G50" s="17" t="n">
        <x:v>230.0066</x:v>
      </x:c>
      <x:c r="H50" s="17" t="n">
        <x:f>G50*F50</x:f>
        <x:v>3220.0924</x:v>
      </x:c>
      <x:c r="I50" s="22" t="str">
        <x:f>HYPERLINK("https://etp-aktiv.ru/catalog/materialy/zapasnye-chasti-k-zhd-oborudovaniyu-i-podvizhnomu-sostavu/2000003916-U117/","Открыть позицию")</x:f>
        <x:v>Открыть позицию</x:v>
      </x:c>
    </x:row>
    <x:row r="51" ht="28" customHeight="1">
      <x:c r="A51" s="16" t="str">
        <x:v>Приморская ГРЭС</x:v>
      </x:c>
      <x:c r="B51" s="16" t="str">
        <x:v>2000711074-U117</x:v>
      </x:c>
      <x:c r="C51" s="16" t="str">
        <x:v>РАСПЫЛИТЕЛЬ ФОРСУНКИ DO155U938-4619</x:v>
      </x:c>
      <x:c r="D51" s="16" t="str">
        <x:v>Запасные части к локомотивам</x:v>
      </x:c>
      <x:c r="E51" s="16" t="str">
        <x:v>ШТ</x:v>
      </x:c>
      <x:c r="F51" s="21" t="n">
        <x:v>6</x:v>
      </x:c>
      <x:c r="G51" s="17" t="n">
        <x:v>12611.908599999999</x:v>
      </x:c>
      <x:c r="H51" s="17" t="n">
        <x:f>G51*F51</x:f>
        <x:v>75671.4516</x:v>
      </x:c>
      <x:c r="I51" s="22" t="str">
        <x:f>HYPERLINK("https://etp-aktiv.ru/catalog/materialy/zapasnye-chasti-k-zhd-oborudovaniyu-i-podvizhnomu-sostavu/2000711074-U117/","Открыть позицию")</x:f>
        <x:v>Открыть позицию</x:v>
      </x:c>
    </x:row>
    <x:row r="52" ht="28" customHeight="1">
      <x:c r="A52" s="16" t="str">
        <x:v>Приморская ГРЭС</x:v>
      </x:c>
      <x:c r="B52" s="16" t="str">
        <x:v>2000012718-U117</x:v>
      </x:c>
      <x:c r="C52" s="16" t="str">
        <x:v>РЕГУЛЯТОР НАПРЯЖЕНИЯ БРН-3В</x:v>
      </x:c>
      <x:c r="D52" s="16" t="str">
        <x:v>Запасные части к локомотивам</x:v>
      </x:c>
      <x:c r="E52" s="16" t="str">
        <x:v>ШТ</x:v>
      </x:c>
      <x:c r="F52" s="21" t="n">
        <x:v>9</x:v>
      </x:c>
      <x:c r="G52" s="17" t="n">
        <x:v>7929.4632</x:v>
      </x:c>
      <x:c r="H52" s="17" t="n">
        <x:f>G52*F52</x:f>
        <x:v>71365.1688</x:v>
      </x:c>
      <x:c r="I52" s="22" t="str">
        <x:f>HYPERLINK("https://etp-aktiv.ru/catalog/materialy/zapasnye-chasti-k-zhd-oborudovaniyu-i-podvizhnomu-sostavu/2000012718-U117/","Открыть позицию")</x:f>
        <x:v>Открыть позицию</x:v>
      </x:c>
    </x:row>
    <x:row r="53" ht="28" customHeight="1">
      <x:c r="A53" s="16" t="str">
        <x:v>Приморская ГРЭС</x:v>
      </x:c>
      <x:c r="B53" s="16" t="str">
        <x:v>2000680177-U117</x:v>
      </x:c>
      <x:c r="C53" s="16" t="str">
        <x:v>РЕЛЕ ЗАЗЕМЛЕНИЯ Р-45Г2-11 2ТХ.310-000-3</x:v>
      </x:c>
      <x:c r="D53" s="16" t="str">
        <x:v>Запасные части к локомотивам</x:v>
      </x:c>
      <x:c r="E53" s="16" t="str">
        <x:v>ШТ</x:v>
      </x:c>
      <x:c r="F53" s="21" t="n">
        <x:v>2</x:v>
      </x:c>
      <x:c r="G53" s="17" t="n">
        <x:v>6178.7998</x:v>
      </x:c>
      <x:c r="H53" s="17" t="n">
        <x:f>G53*F53</x:f>
        <x:v>12357.5996</x:v>
      </x:c>
      <x:c r="I53" s="22" t="str">
        <x:f>HYPERLINK("https://etp-aktiv.ru/catalog/materialy/zapasnye-chasti-k-zhd-oborudovaniyu-i-podvizhnomu-sostavu/2000680177-U117/","Открыть позицию")</x:f>
        <x:v>Открыть позицию</x:v>
      </x:c>
    </x:row>
    <x:row r="54" ht="28" customHeight="1">
      <x:c r="A54" s="16" t="str">
        <x:v>Приморская ГРЭС</x:v>
      </x:c>
      <x:c r="B54" s="16" t="str">
        <x:v>2000007433-U117</x:v>
      </x:c>
      <x:c r="C54" s="16" t="str">
        <x:v>СКРЕПЛЕНИЕ КД-65 ГОСТ16277-93</x:v>
      </x:c>
      <x:c r="D54" s="16" t="str">
        <x:v>Материалы ВСП</x:v>
      </x:c>
      <x:c r="E54" s="16" t="str">
        <x:v>КМП</x:v>
      </x:c>
      <x:c r="F54" s="21" t="n">
        <x:v>10</x:v>
      </x:c>
      <x:c r="G54" s="17" t="n">
        <x:v>2127.375</x:v>
      </x:c>
      <x:c r="H54" s="17" t="n">
        <x:f>G54*F54</x:f>
        <x:v>21273.75</x:v>
      </x:c>
      <x:c r="I54" s="22" t="str">
        <x:f>HYPERLINK("https://etp-aktiv.ru/catalog/materialy/metalloprodukciya/2000007433-U117/","Открыть позицию")</x:f>
        <x:v>Открыть позицию</x:v>
      </x:c>
    </x:row>
    <x:row r="55" ht="28" customHeight="1">
      <x:c r="A55" s="16" t="str">
        <x:v>Приморская ГРЭС</x:v>
      </x:c>
      <x:c r="B55" s="16" t="str">
        <x:v>2000679204-U117</x:v>
      </x:c>
      <x:c r="C55" s="16" t="str">
        <x:v>СТЯЖКА ВИНТОВАЯ ТЭМ1.40-60-020</x:v>
      </x:c>
      <x:c r="D55" s="16" t="str">
        <x:v>Запасные части к локомотивам</x:v>
      </x:c>
      <x:c r="E55" s="16" t="str">
        <x:v>ШТ</x:v>
      </x:c>
      <x:c r="F55" s="21" t="n">
        <x:v>1</x:v>
      </x:c>
      <x:c r="G55" s="17" t="n">
        <x:v>4631.6446</x:v>
      </x:c>
      <x:c r="H55" s="17" t="n">
        <x:f>G55*F55</x:f>
        <x:v>4631.6446</x:v>
      </x:c>
      <x:c r="I55" s="22" t="str">
        <x:f>HYPERLINK("https://etp-aktiv.ru/catalog/materialy/zapasnye-chasti-k-zhd-oborudovaniyu-i-podvizhnomu-sostavu/2000679204-U117/","Открыть позицию")</x:f>
        <x:v>Открыть позицию</x:v>
      </x:c>
    </x:row>
    <x:row r="56" ht="28" customHeight="1">
      <x:c r="A56" s="16" t="str">
        <x:v>Приморская ГРЭС</x:v>
      </x:c>
      <x:c r="B56" s="16" t="str">
        <x:v>2000620284-U117</x:v>
      </x:c>
      <x:c r="C56" s="16" t="str">
        <x:v>ТАРЕЛКА ПРУЖИНЫ Д50.09.008</x:v>
      </x:c>
      <x:c r="D56" s="16" t="str">
        <x:v>Запасные части к локомотивам</x:v>
      </x:c>
      <x:c r="E56" s="16" t="str">
        <x:v>ШТ</x:v>
      </x:c>
      <x:c r="F56" s="21" t="n">
        <x:v>17</x:v>
      </x:c>
      <x:c r="G56" s="17" t="n">
        <x:v>603.7292</x:v>
      </x:c>
      <x:c r="H56" s="17" t="n">
        <x:f>G56*F56</x:f>
        <x:v>10263.3964</x:v>
      </x:c>
      <x:c r="I56" s="22" t="str">
        <x:f>HYPERLINK("https://etp-aktiv.ru/catalog/materialy/zapasnye-chasti-k-zhd-oborudovaniyu-i-podvizhnomu-sostavu/2000620284-U117/","Открыть позицию")</x:f>
        <x:v>Открыть позицию</x:v>
      </x:c>
    </x:row>
    <x:row r="57" ht="28" customHeight="1">
      <x:c r="A57" s="16" t="str">
        <x:v>Приморская ГРЭС</x:v>
      </x:c>
      <x:c r="B57" s="16" t="str">
        <x:v>2000011746-U117</x:v>
      </x:c>
      <x:c r="C57" s="16" t="str">
        <x:v>ФОРСУНКА Д50.17.1 СБ</x:v>
      </x:c>
      <x:c r="D57" s="16" t="str">
        <x:v>Запасные части к локомотивам</x:v>
      </x:c>
      <x:c r="E57" s="16" t="str">
        <x:v>ШТ</x:v>
      </x:c>
      <x:c r="F57" s="21" t="n">
        <x:v>16</x:v>
      </x:c>
      <x:c r="G57" s="17" t="n">
        <x:v>6511.2864</x:v>
      </x:c>
      <x:c r="H57" s="17" t="n">
        <x:f>G57*F57</x:f>
        <x:v>104180.5824</x:v>
      </x:c>
      <x:c r="I57" s="22" t="str">
        <x:f>HYPERLINK("https://etp-aktiv.ru/catalog/materialy/zapasnye-chasti-k-zhd-oborudovaniyu-i-podvizhnomu-sostavu/2000011746-U117/","Открыть позицию")</x:f>
        <x:v>Открыть позицию</x:v>
      </x:c>
    </x:row>
    <x:row r="58" ht="28" customHeight="1">
      <x:c r="A58" s="16" t="str">
        <x:v>Приморская ГРЭС</x:v>
      </x:c>
      <x:c r="B58" s="16" t="str">
        <x:v>2000526234-U117</x:v>
      </x:c>
      <x:c r="C58" s="16" t="str">
        <x:v>ХОМУТ ТЯГОВЫЙ 106.00.001-2</x:v>
      </x:c>
      <x:c r="D58" s="16" t="str">
        <x:v>Запасные части к вагонам</x:v>
      </x:c>
      <x:c r="E58" s="16" t="str">
        <x:v>ШТ</x:v>
      </x:c>
      <x:c r="F58" s="21" t="n">
        <x:v>2</x:v>
      </x:c>
      <x:c r="G58" s="17" t="n">
        <x:v>67626.186</x:v>
      </x:c>
      <x:c r="H58" s="17" t="n">
        <x:f>G58*F58</x:f>
        <x:v>135252.372</x:v>
      </x:c>
      <x:c r="I58" s="22" t="str">
        <x:f>HYPERLINK("https://etp-aktiv.ru/catalog/materialy/zapasnye-chasti-k-zhd-oborudovaniyu-i-podvizhnomu-sostavu/2000526234-U117/","Открыть позицию")</x:f>
        <x:v>Открыть позицию</x:v>
      </x:c>
    </x:row>
    <x:row r="59" ht="28" customHeight="1">
      <x:c r="A59" s="16" t="str">
        <x:v>Приморская ГРЭС</x:v>
      </x:c>
      <x:c r="B59" s="16" t="str">
        <x:v>2000045109-U117</x:v>
      </x:c>
      <x:c r="C59" s="16" t="str">
        <x:v>ЧАСТЬ ГЛАВНАЯ ВОЗД РАСПРЕДЕЛИТ 270,023</x:v>
      </x:c>
      <x:c r="D59" s="16" t="str">
        <x:v>Запасные части к вагонам</x:v>
      </x:c>
      <x:c r="E59" s="16" t="str">
        <x:v>ШТ</x:v>
      </x:c>
      <x:c r="F59" s="21" t="n">
        <x:v>2</x:v>
      </x:c>
      <x:c r="G59" s="17" t="n">
        <x:v>5347.9676</x:v>
      </x:c>
      <x:c r="H59" s="17" t="n">
        <x:f>G59*F59</x:f>
        <x:v>10695.9352</x:v>
      </x:c>
      <x:c r="I59" s="22" t="str">
        <x:f>HYPERLINK("https://etp-aktiv.ru/catalog/materialy/zapasnye-chasti-k-zhd-oborudovaniyu-i-podvizhnomu-sostavu/2000045109-U117/","Открыть позицию")</x:f>
        <x:v>Открыть позицию</x:v>
      </x:c>
    </x:row>
    <x:row r="60" ht="28" customHeight="1">
      <x:c r="A60" s="16" t="str">
        <x:v>Приморская ГРЭС</x:v>
      </x:c>
      <x:c r="B60" s="16" t="str">
        <x:v>2000062505-U117</x:v>
      </x:c>
      <x:c r="C60" s="16" t="str">
        <x:v>ШАЙБА ТЭМ2.35.30.020</x:v>
      </x:c>
      <x:c r="D60" s="16" t="str">
        <x:v>Запасные части к локомотивам</x:v>
      </x:c>
      <x:c r="E60" s="16" t="str">
        <x:v>ШТ</x:v>
      </x:c>
      <x:c r="F60" s="21" t="n">
        <x:v>4</x:v>
      </x:c>
      <x:c r="G60" s="17" t="n">
        <x:v>3965.0122</x:v>
      </x:c>
      <x:c r="H60" s="17" t="n">
        <x:f>G60*F60</x:f>
        <x:v>15860.0488</x:v>
      </x:c>
      <x:c r="I60" s="22" t="str">
        <x:f>HYPERLINK("https://etp-aktiv.ru/catalog/materialy/zapasnye-chasti-k-zhd-oborudovaniyu-i-podvizhnomu-sostavu/2000062505-U117/","Открыть позицию")</x:f>
        <x:v>Открыть позицию</x:v>
      </x:c>
    </x:row>
    <x:row r="61" ht="28" customHeight="1">
      <x:c r="A61" s="16" t="str">
        <x:v>Приморская ГРЭС</x:v>
      </x:c>
      <x:c r="B61" s="16" t="str">
        <x:v>2000014265-U117</x:v>
      </x:c>
      <x:c r="C61" s="16" t="str">
        <x:v>ШЕСТЕРНЯ ТЭМ2.35.10.114 Z-17</x:v>
      </x:c>
      <x:c r="D61" s="16" t="str">
        <x:v>Запасные части к локомотивам</x:v>
      </x:c>
      <x:c r="E61" s="16" t="str">
        <x:v>ШТ</x:v>
      </x:c>
      <x:c r="F61" s="21" t="n">
        <x:v>2</x:v>
      </x:c>
      <x:c r="G61" s="17" t="n">
        <x:v>14108.8974</x:v>
      </x:c>
      <x:c r="H61" s="17" t="n">
        <x:f>G61*F61</x:f>
        <x:v>28217.7948</x:v>
      </x:c>
      <x:c r="I61" s="22" t="str">
        <x:f>HYPERLINK("https://etp-aktiv.ru/catalog/materialy/zapasnye-chasti-k-zhd-oborudovaniyu-i-podvizhnomu-sostavu/2000014265-U117/","Открыть позицию")</x:f>
        <x:v>Открыть позицию</x:v>
      </x:c>
    </x:row>
    <x:row r="62" ht="28" customHeight="1">
      <x:c r="A62" s="16" t="str">
        <x:v>Приморская ГРЭС</x:v>
      </x:c>
      <x:c r="B62" s="16" t="str">
        <x:v>2000336959-U117</x:v>
      </x:c>
      <x:c r="C62" s="16" t="str">
        <x:v>ШКИВ ВЕДУЩИЙ ТЭМ2.40.20.130</x:v>
      </x:c>
      <x:c r="D62" s="16" t="str">
        <x:v>Запасные части к локомотивам</x:v>
      </x:c>
      <x:c r="E62" s="16" t="str">
        <x:v>ШТ</x:v>
      </x:c>
      <x:c r="F62" s="21" t="n">
        <x:v>1</x:v>
      </x:c>
      <x:c r="G62" s="17" t="n">
        <x:v>24607.6928</x:v>
      </x:c>
      <x:c r="H62" s="17" t="n">
        <x:f>G62*F62</x:f>
        <x:v>24607.6928</x:v>
      </x:c>
      <x:c r="I62" s="22" t="str">
        <x:f>HYPERLINK("https://etp-aktiv.ru/catalog/materialy/zapasnye-chasti-k-zhd-oborudovaniyu-i-podvizhnomu-sostavu/2000336959-U117/","Открыть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bd86a23e24c441d0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Приморье: Промышленная безопасность, пожарное оборудование и медицина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Приморская ГРЭС</x:v>
      </x:c>
      <x:c r="B5" s="16" t="str">
        <x:v>2000653065-U117</x:v>
      </x:c>
      <x:c r="C5" s="16" t="str">
        <x:v>АНТИСЕПТИК ИЗАСЕПТИК 5Л</x:v>
      </x:c>
      <x:c r="D5" s="16" t="str">
        <x:v>Медикаменты и продукция медицинского назначения</x:v>
      </x:c>
      <x:c r="E5" s="16" t="str">
        <x:v>ШТ</x:v>
      </x:c>
      <x:c r="F5" s="21" t="n">
        <x:v>21</x:v>
      </x:c>
      <x:c r="G5" s="17" t="n">
        <x:v>3553.0792</x:v>
      </x:c>
      <x:c r="H5" s="17" t="n">
        <x:f>G5*F5</x:f>
        <x:v>74614.66320000001</x:v>
      </x:c>
      <x:c r="I5" s="22" t="str">
        <x:f>HYPERLINK("https://etp-aktiv.ru/catalog/materialy/medikamenty-i-produkciya-medicinskogo-naznacheniya/2000653065-U117/","Открыть позицию")</x:f>
        <x:v>Открыть позицию</x:v>
      </x:c>
    </x:row>
    <x:row r="6" ht="28" customHeight="1">
      <x:c r="A6" s="16" t="str">
        <x:v>Приморская ГРЭС</x:v>
      </x:c>
      <x:c r="B6" s="16" t="str">
        <x:v>2000290046-U117</x:v>
      </x:c>
      <x:c r="C6" s="16" t="str">
        <x:v>АНТИСЕПТИК КОЖНЫЙ АСТРАДЕЗ-ГЕЛЬ 1Л</x:v>
      </x:c>
      <x:c r="D6" s="16" t="str">
        <x:v>Медикаменты и продукция медицинского назначения</x:v>
      </x:c>
      <x:c r="E6" s="16" t="str">
        <x:v>ШТ</x:v>
      </x:c>
      <x:c r="F6" s="21" t="n">
        <x:v>191</x:v>
      </x:c>
      <x:c r="G6" s="17" t="n">
        <x:v>587.0029999999999</x:v>
      </x:c>
      <x:c r="H6" s="17" t="n">
        <x:f>G6*F6</x:f>
        <x:v>112117.57299999999</x:v>
      </x:c>
      <x:c r="I6" s="22" t="str">
        <x:f>HYPERLINK("https://etp-aktiv.ru/catalog/materialy/medikamenty-i-produkciya-medicinskogo-naznacheniya/2000290046-U117/","Открыть позицию")</x:f>
        <x:v>Открыть позицию</x:v>
      </x:c>
    </x:row>
    <x:row r="7" ht="28" customHeight="1">
      <x:c r="A7" s="16" t="str">
        <x:v>Приморская ГРЭС</x:v>
      </x:c>
      <x:c r="B7" s="16" t="str">
        <x:v>2000218195-U117</x:v>
      </x:c>
      <x:c r="C7" s="16" t="str">
        <x:v>ГОЛОВКА РУКАВНАЯ ГР-70</x:v>
      </x:c>
      <x:c r="D7" s="16" t="str">
        <x:v>Запасные части к противопожарному оборудованию</x:v>
      </x:c>
      <x:c r="E7" s="16" t="str">
        <x:v>ШТ</x:v>
      </x:c>
      <x:c r="F7" s="21" t="n">
        <x:v>7</x:v>
      </x:c>
      <x:c r="G7" s="17" t="n">
        <x:v>378.2</x:v>
      </x:c>
      <x:c r="H7" s="17" t="n">
        <x:f>G7*F7</x:f>
        <x:v>2647.4</x:v>
      </x:c>
      <x:c r="I7" s="22" t="str">
        <x:f>HYPERLINK("https://etp-aktiv.ru/catalog/materialy/protivopozharnye-materialy/2000218195-U117/","Открыть позицию")</x:f>
        <x:v>Открыть позицию</x:v>
      </x:c>
    </x:row>
    <x:row r="8" ht="28" customHeight="1">
      <x:c r="A8" s="16" t="str">
        <x:v>Приморская ГРЭС</x:v>
      </x:c>
      <x:c r="B8" s="16" t="str">
        <x:v>2000649648-U117</x:v>
      </x:c>
      <x:c r="C8" s="16" t="str">
        <x:v>МАСКА 3-Х СЛ ОДНОРАЗОВАЯ НА РЕЗИНКАХ</x:v>
      </x:c>
      <x:c r="D8" s="16" t="str">
        <x:v>Медицинские товары COVID</x:v>
      </x:c>
      <x:c r="E8" s="16" t="str">
        <x:v>ШТ</x:v>
      </x:c>
      <x:c r="F8" s="30" t="n">
        <x:v>13342.5</x:v>
      </x:c>
      <x:c r="G8" s="17" t="n">
        <x:v>3.6721999999999997</x:v>
      </x:c>
      <x:c r="H8" s="17" t="n">
        <x:f>G8*F8</x:f>
        <x:v>48996.328499999996</x:v>
      </x:c>
      <x:c r="I8" s="22" t="str">
        <x:f>HYPERLINK("https://etp-aktiv.ru/catalog/materialy/medikamenty-i-produkciya-medicinskogo-naznacheniya/2000649648-U117/","Открыть позицию")</x:f>
        <x:v>Открыть позицию</x:v>
      </x:c>
    </x:row>
    <x:row r="9" ht="28" customHeight="1">
      <x:c r="A9" s="16" t="str">
        <x:v>Приморская ГРЭС</x:v>
      </x:c>
      <x:c r="B9" s="16" t="str">
        <x:v>2000327207-U117</x:v>
      </x:c>
      <x:c r="C9" s="16" t="str">
        <x:v>МАСКА МЕДИЦ ТРЕХСЛОЙНАЯ НА РЕЗИНКАХ N50</x:v>
      </x:c>
      <x:c r="D9" s="16" t="str">
        <x:v>Медикаменты и продукция медицинского назначения</x:v>
      </x:c>
      <x:c r="E9" s="16" t="str">
        <x:v>УПК</x:v>
      </x:c>
      <x:c r="F9" s="21" t="n">
        <x:v>321</x:v>
      </x:c>
      <x:c r="G9" s="17" t="n">
        <x:v>274.5</x:v>
      </x:c>
      <x:c r="H9" s="17" t="n">
        <x:f>G9*F9</x:f>
        <x:v>88114.5</x:v>
      </x:c>
      <x:c r="I9" s="22" t="str">
        <x:f>HYPERLINK("https://etp-aktiv.ru/catalog/materialy/medikamenty-i-produkciya-medicinskogo-naznacheniya/2000327207-U117/","Открыть позицию")</x:f>
        <x:v>Открыть позицию</x:v>
      </x:c>
    </x:row>
    <x:row r="10" ht="28" customHeight="1">
      <x:c r="A10" s="16" t="str">
        <x:v>Приморская ГРЭС</x:v>
      </x:c>
      <x:c r="B10" s="16" t="str">
        <x:v>2000235971-U117</x:v>
      </x:c>
      <x:c r="C10" s="16" t="str">
        <x:v>МАСКА МЕДИЦИНСКАЯ 3-Х СЛОЙНАЯ ZORRO</x:v>
      </x:c>
      <x:c r="D10" s="16" t="str">
        <x:v>Медикаменты и продукция медицинского назначения</x:v>
      </x:c>
      <x:c r="E10" s="16" t="str">
        <x:v>ШТ</x:v>
      </x:c>
      <x:c r="F10" s="21" t="n">
        <x:v>90</x:v>
      </x:c>
      <x:c r="G10" s="17" t="n">
        <x:v>5.49</x:v>
      </x:c>
      <x:c r="H10" s="17" t="n">
        <x:f>G10*F10</x:f>
        <x:v>494.1</x:v>
      </x:c>
      <x:c r="I10" s="22" t="str">
        <x:f>HYPERLINK("https://etp-aktiv.ru/catalog/materialy/medikamenty-i-produkciya-medicinskogo-naznacheniya/2000235971-U117/","Открыть позицию")</x:f>
        <x:v>Открыть позицию</x:v>
      </x:c>
    </x:row>
    <x:row r="11" ht="28" customHeight="1">
      <x:c r="A11" s="16" t="str">
        <x:v>Приморская ГРЭС</x:v>
      </x:c>
      <x:c r="B11" s="16" t="str">
        <x:v>2000030231-U117</x:v>
      </x:c>
      <x:c r="C11" s="16" t="str">
        <x:v>МАСКА МЕДИЦИНСКАЯ ОДНОРАЗОВАЯ</x:v>
      </x:c>
      <x:c r="D11" s="16" t="str">
        <x:v>Медикаменты и продукция медицинского назначения</x:v>
      </x:c>
      <x:c r="E11" s="16" t="str">
        <x:v>ШТ</x:v>
      </x:c>
      <x:c r="F11" s="21" t="n">
        <x:v>43900</x:v>
      </x:c>
      <x:c r="G11" s="17" t="n">
        <x:v>5.49</x:v>
      </x:c>
      <x:c r="H11" s="17" t="n">
        <x:f>G11*F11</x:f>
        <x:v>241011</x:v>
      </x:c>
      <x:c r="I11" s="22" t="str">
        <x:f>HYPERLINK("https://etp-aktiv.ru/catalog/materialy/medikamenty-i-produkciya-medicinskogo-naznacheniya/2000030231-U117/","Открыть позицию")</x:f>
        <x:v>Открыть позицию</x:v>
      </x:c>
    </x:row>
    <x:row r="12" ht="28" customHeight="1">
      <x:c r="A12" s="16" t="str">
        <x:v>Приморская ГРЭС</x:v>
      </x:c>
      <x:c r="B12" s="16" t="str">
        <x:v>2000331008-U117</x:v>
      </x:c>
      <x:c r="C12" s="16" t="str">
        <x:v>ЩИТ ПРОТИВОПОЖАРНЫЙ ЩП-А</x:v>
      </x:c>
      <x:c r="D12" s="16" t="str">
        <x:v>Противопожарные материалы</x:v>
      </x:c>
      <x:c r="E12" s="16" t="str">
        <x:v>ШТ</x:v>
      </x:c>
      <x:c r="F12" s="21" t="n">
        <x:v>1</x:v>
      </x:c>
      <x:c r="G12" s="17" t="n">
        <x:v>3789.9544</x:v>
      </x:c>
      <x:c r="H12" s="17" t="n">
        <x:f>G12*F12</x:f>
        <x:v>3789.9544</x:v>
      </x:c>
      <x:c r="I12" s="22" t="str">
        <x:f>HYPERLINK("https://etp-aktiv.ru/catalog/materialy/protivopozharnye-materialy/2000331008-U117/","Открыть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02265d29ecdd44f6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Приморье: Строительные материалы и ЖБИ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Приморская ГРЭС</x:v>
      </x:c>
      <x:c r="B5" s="16" t="str">
        <x:v>2000961019-U117</x:v>
      </x:c>
      <x:c r="C5" s="16" t="str">
        <x:v>АККУМУЛЯТОР 12В 105А/Ч JCB 729/10663</x:v>
      </x:c>
      <x:c r="D5" s="16" t="str">
        <x:v>Запасные части к дорожно-строительной технике менее 20тн</x:v>
      </x:c>
      <x:c r="E5" s="16" t="str">
        <x:v>ШТ</x:v>
      </x:c>
      <x:c r="F5" s="21" t="n">
        <x:v>2</x:v>
      </x:c>
      <x:c r="G5" s="17" t="n">
        <x:v>7205.625</x:v>
      </x:c>
      <x:c r="H5" s="17" t="n">
        <x:f>G5*F5</x:f>
        <x:v>14411.25</x:v>
      </x:c>
      <x:c r="I5" s="22" t="str">
        <x:f>HYPERLINK("https://etp-aktiv.ru/catalog/materialy/zapasnye-chasti-k-dorozhno-stroitelnoj-tekhnike/2000961019-U117/","Открыть позицию")</x:f>
        <x:v>Открыть позицию</x:v>
      </x:c>
    </x:row>
    <x:row r="6" ht="28" customHeight="1">
      <x:c r="A6" s="16" t="str">
        <x:v>Приморская ГРЭС</x:v>
      </x:c>
      <x:c r="B6" s="16" t="str">
        <x:v>2000523906-U117</x:v>
      </x:c>
      <x:c r="C6" s="16" t="str">
        <x:v>БАЧОК С НАСОСОМ АДЮИ062840.001</x:v>
      </x:c>
      <x:c r="D6" s="16" t="str">
        <x:v>Запасные части к дорожно-строительной технике менее 20тн</x:v>
      </x:c>
      <x:c r="E6" s="16" t="str">
        <x:v>ШТ</x:v>
      </x:c>
      <x:c r="F6" s="21" t="n">
        <x:v>6</x:v>
      </x:c>
      <x:c r="G6" s="17" t="n">
        <x:v>2249.07</x:v>
      </x:c>
      <x:c r="H6" s="17" t="n">
        <x:f>G6*F6</x:f>
        <x:v>13494.420000000002</x:v>
      </x:c>
      <x:c r="I6" s="22" t="str">
        <x:f>HYPERLINK("https://etp-aktiv.ru/catalog/materialy/zapasnye-chasti-k-dorozhno-stroitelnoj-tekhnike/2000523906-U117/","Открыть позицию")</x:f>
        <x:v>Открыть позицию</x:v>
      </x:c>
    </x:row>
    <x:row r="7" ht="28" customHeight="1">
      <x:c r="A7" s="16" t="str">
        <x:v>Приморская ГРЭС</x:v>
      </x:c>
      <x:c r="B7" s="16" t="str">
        <x:v>2000150218-U117</x:v>
      </x:c>
      <x:c r="C7" s="16" t="str">
        <x:v>БЕЛЬТИНГ-ФИЛЬТР БФ-БД 80-140СМ 2030</x:v>
      </x:c>
      <x:c r="D7" s="16" t="str">
        <x:v>Строительные материалы прочие</x:v>
      </x:c>
      <x:c r="E7" s="16" t="str">
        <x:v>М</x:v>
      </x:c>
      <x:c r="F7" s="21" t="n">
        <x:v>103</x:v>
      </x:c>
      <x:c r="G7" s="17" t="n">
        <x:v>451.86359999999996</x:v>
      </x:c>
      <x:c r="H7" s="17" t="n">
        <x:f>G7*F7</x:f>
        <x:v>46541.9508</x:v>
      </x:c>
      <x:c r="I7" s="22" t="str">
        <x:f>HYPERLINK("https://etp-aktiv.ru/catalog/materialy/stroitelnye-materialy/2000150218-U117/","Открыть позицию")</x:f>
        <x:v>Открыть позицию</x:v>
      </x:c>
    </x:row>
    <x:row r="8" ht="28" customHeight="1">
      <x:c r="A8" s="16" t="str">
        <x:v>Приморская ГРЭС</x:v>
      </x:c>
      <x:c r="B8" s="16" t="str">
        <x:v>2000189638-U117</x:v>
      </x:c>
      <x:c r="C8" s="16" t="str">
        <x:v>БИТУМ БН 90/10</x:v>
      </x:c>
      <x:c r="D8" s="16" t="str">
        <x:v>Строительные материалы прочие</x:v>
      </x:c>
      <x:c r="E8" s="16" t="str">
        <x:v>Т</x:v>
      </x:c>
      <x:c r="F8" s="26" t="n">
        <x:v>0.028</x:v>
      </x:c>
      <x:c r="G8" s="17" t="n">
        <x:v>60673.65</x:v>
      </x:c>
      <x:c r="H8" s="17" t="n">
        <x:f>G8*F8</x:f>
        <x:v>1698.8622</x:v>
      </x:c>
      <x:c r="I8" s="22" t="str">
        <x:f>HYPERLINK("https://etp-aktiv.ru/catalog/materialy/stroitelnye-materialy/2000189638-U117/","Открыть позицию")</x:f>
        <x:v>Открыть позицию</x:v>
      </x:c>
    </x:row>
    <x:row r="9" ht="28" customHeight="1">
      <x:c r="A9" s="16" t="str">
        <x:v>Приморская ГРЭС</x:v>
      </x:c>
      <x:c r="B9" s="16" t="str">
        <x:v>2000295129-U117</x:v>
      </x:c>
      <x:c r="C9" s="16" t="str">
        <x:v>БРУС СОСНА 1СОРТ 150*150*6000</x:v>
      </x:c>
      <x:c r="D9" s="16" t="str">
        <x:v>Пиломатериал</x:v>
      </x:c>
      <x:c r="E9" s="16" t="str">
        <x:v>М3</x:v>
      </x:c>
      <x:c r="F9" s="21" t="n">
        <x:v>4</x:v>
      </x:c>
      <x:c r="G9" s="17" t="n">
        <x:v>21649.912600000003</x:v>
      </x:c>
      <x:c r="H9" s="17" t="n">
        <x:f>G9*F9</x:f>
        <x:v>86599.65040000001</x:v>
      </x:c>
      <x:c r="I9" s="22" t="str">
        <x:f>HYPERLINK("https://etp-aktiv.ru/catalog/materialy/stroitelnye-materialy/2000295129-U117/","Открыть позицию")</x:f>
        <x:v>Открыть позицию</x:v>
      </x:c>
    </x:row>
    <x:row r="10" ht="28" customHeight="1">
      <x:c r="A10" s="16" t="str">
        <x:v>Приморская ГРЭС</x:v>
      </x:c>
      <x:c r="B10" s="16" t="str">
        <x:v>2000551544-U117</x:v>
      </x:c>
      <x:c r="C10" s="16" t="str">
        <x:v>ВИНТ СВЕРЛО П/ШАЙБА DIN7504 K 6,3*19</x:v>
      </x:c>
      <x:c r="D10" s="16" t="str">
        <x:v>Строительные материалы прочие</x:v>
      </x:c>
      <x:c r="E10" s="16" t="str">
        <x:v>ШТ</x:v>
      </x:c>
      <x:c r="F10" s="21" t="n">
        <x:v>14785</x:v>
      </x:c>
      <x:c r="G10" s="17" t="n">
        <x:v>3.0012</x:v>
      </x:c>
      <x:c r="H10" s="17" t="n">
        <x:f>G10*F10</x:f>
        <x:v>44372.742</x:v>
      </x:c>
      <x:c r="I10" s="22" t="str">
        <x:f>HYPERLINK("https://etp-aktiv.ru/catalog/materialy/stroitelnye-materialy/2000551544-U117/","Открыть позицию")</x:f>
        <x:v>Открыть позицию</x:v>
      </x:c>
    </x:row>
    <x:row r="11" ht="28" customHeight="1">
      <x:c r="A11" s="16" t="str">
        <x:v>Приморская ГРЭС</x:v>
      </x:c>
      <x:c r="B11" s="16" t="str">
        <x:v>2000475914-U117</x:v>
      </x:c>
      <x:c r="C11" s="16" t="str">
        <x:v>ВТУЛКА КЛАПАНА 236-1007032-Б</x:v>
      </x:c>
      <x:c r="D11" s="16" t="str">
        <x:v>Запасные части к дорожно-строительной технике менее 20тн</x:v>
      </x:c>
      <x:c r="E11" s="16" t="str">
        <x:v>ШТ</x:v>
      </x:c>
      <x:c r="F11" s="21" t="n">
        <x:v>16</x:v>
      </x:c>
      <x:c r="G11" s="17" t="n">
        <x:v>205.875</x:v>
      </x:c>
      <x:c r="H11" s="17" t="n">
        <x:f>G11*F11</x:f>
        <x:v>3294</x:v>
      </x:c>
      <x:c r="I11" s="22" t="str">
        <x:f>HYPERLINK("https://etp-aktiv.ru/catalog/materialy/zapasnye-chasti-k-dorozhno-stroitelnoj-tekhnike/2000475914-U117/","Открыть позицию")</x:f>
        <x:v>Открыть позицию</x:v>
      </x:c>
    </x:row>
    <x:row r="12" ht="28" customHeight="1">
      <x:c r="A12" s="16" t="str">
        <x:v>Приморская ГРЭС</x:v>
      </x:c>
      <x:c r="B12" s="16" t="str">
        <x:v>2000022568-U117</x:v>
      </x:c>
      <x:c r="C12" s="16" t="str">
        <x:v>ГЕРМЕТИК УНИВЕРСАЛЬНЫЙ СИЛИКОН. МОМЕНТ</x:v>
      </x:c>
      <x:c r="D12" s="16" t="str">
        <x:v>Строительные материалы прочие</x:v>
      </x:c>
      <x:c r="E12" s="16" t="str">
        <x:v>ШТ</x:v>
      </x:c>
      <x:c r="F12" s="21" t="n">
        <x:v>18</x:v>
      </x:c>
      <x:c r="G12" s="17" t="n">
        <x:v>378.30979999999994</x:v>
      </x:c>
      <x:c r="H12" s="17" t="n">
        <x:f>G12*F12</x:f>
        <x:v>6809.576399999999</x:v>
      </x:c>
      <x:c r="I12" s="22" t="str">
        <x:f>HYPERLINK("https://etp-aktiv.ru/catalog/materialy/stroitelnye-materialy/2000022568-U117/","Открыть позицию")</x:f>
        <x:v>Открыть позицию</x:v>
      </x:c>
    </x:row>
    <x:row r="13" ht="28" customHeight="1">
      <x:c r="A13" s="16" t="str">
        <x:v>Приморская ГРЭС</x:v>
      </x:c>
      <x:c r="B13" s="16" t="str">
        <x:v>2000022570-U117</x:v>
      </x:c>
      <x:c r="C13" s="16" t="str">
        <x:v>ГЕРМЕТИК-ПРОКЛАДКА 65Г</x:v>
      </x:c>
      <x:c r="D13" s="16" t="str">
        <x:v>Строительные материалы прочие</x:v>
      </x:c>
      <x:c r="E13" s="16" t="str">
        <x:v>ШТ</x:v>
      </x:c>
      <x:c r="F13" s="21" t="n">
        <x:v>6</x:v>
      </x:c>
      <x:c r="G13" s="17" t="n">
        <x:v>98.21</x:v>
      </x:c>
      <x:c r="H13" s="17" t="n">
        <x:f>G13*F13</x:f>
        <x:v>589.26</x:v>
      </x:c>
      <x:c r="I13" s="22" t="str">
        <x:f>HYPERLINK("https://etp-aktiv.ru/catalog/materialy/stroitelnye-materialy/2000022570-U117/","Открыть позицию")</x:f>
        <x:v>Открыть позицию</x:v>
      </x:c>
    </x:row>
    <x:row r="14" ht="28" customHeight="1">
      <x:c r="A14" s="16" t="str">
        <x:v>Приморская ГРЭС</x:v>
      </x:c>
      <x:c r="B14" s="16" t="str">
        <x:v>2000316914-U117</x:v>
      </x:c>
      <x:c r="C14" s="16" t="str">
        <x:v>ГЕРМЕТИК-ПРОКЛАДКА ABRO 85ГР КРАСНЫЙ</x:v>
      </x:c>
      <x:c r="D14" s="16" t="str">
        <x:v>Строительные материалы прочие</x:v>
      </x:c>
      <x:c r="E14" s="16" t="str">
        <x:v>ШТ</x:v>
      </x:c>
      <x:c r="F14" s="21" t="n">
        <x:v>11</x:v>
      </x:c>
      <x:c r="G14" s="17" t="n">
        <x:v>190.0028</x:v>
      </x:c>
      <x:c r="H14" s="17" t="n">
        <x:f>G14*F14</x:f>
        <x:v>2090.0308</x:v>
      </x:c>
      <x:c r="I14" s="22" t="str">
        <x:f>HYPERLINK("https://etp-aktiv.ru/catalog/materialy/stroitelnye-materialy/2000316914-U117/","Открыть позицию")</x:f>
        <x:v>Открыть позицию</x:v>
      </x:c>
    </x:row>
    <x:row r="15" ht="28" customHeight="1">
      <x:c r="A15" s="16" t="str">
        <x:v>Приморская ГРЭС</x:v>
      </x:c>
      <x:c r="B15" s="16" t="str">
        <x:v>2000272075-U117</x:v>
      </x:c>
      <x:c r="C15" s="16" t="str">
        <x:v>ГЕРМЕТИК-ПРОКЛАДКА ГП-180 152-012 180Г</x:v>
      </x:c>
      <x:c r="D15" s="16" t="str">
        <x:v>Строительные материалы прочие</x:v>
      </x:c>
      <x:c r="E15" s="16" t="str">
        <x:v>ШТ</x:v>
      </x:c>
      <x:c r="F15" s="21" t="n">
        <x:v>8</x:v>
      </x:c>
      <x:c r="G15" s="17" t="n">
        <x:v>175.375</x:v>
      </x:c>
      <x:c r="H15" s="17" t="n">
        <x:f>G15*F15</x:f>
        <x:v>1403</x:v>
      </x:c>
      <x:c r="I15" s="22" t="str">
        <x:f>HYPERLINK("https://etp-aktiv.ru/catalog/materialy/stroitelnye-materialy/2000272075-U117/","Открыть позицию")</x:f>
        <x:v>Открыть позицию</x:v>
      </x:c>
    </x:row>
    <x:row r="16" ht="28" customHeight="1">
      <x:c r="A16" s="16" t="str">
        <x:v>Приморская ГРЭС</x:v>
      </x:c>
      <x:c r="B16" s="16" t="str">
        <x:v>2000023607-U117</x:v>
      </x:c>
      <x:c r="C16" s="16" t="str">
        <x:v>ДИСК СЦЕПЛЕНИЯ 85-1601130</x:v>
      </x:c>
      <x:c r="D16" s="16" t="str">
        <x:v>Запасные части к дорожно-строительной технике менее 20тн</x:v>
      </x:c>
      <x:c r="E16" s="16" t="str">
        <x:v>ШТ</x:v>
      </x:c>
      <x:c r="F16" s="21" t="n">
        <x:v>2</x:v>
      </x:c>
      <x:c r="G16" s="17" t="n">
        <x:v>3047.0598</x:v>
      </x:c>
      <x:c r="H16" s="17" t="n">
        <x:f>G16*F16</x:f>
        <x:v>6094.1196</x:v>
      </x:c>
      <x:c r="I16" s="22" t="str">
        <x:f>HYPERLINK("https://etp-aktiv.ru/catalog/materialy/zapasnye-chasti-k-dorozhno-stroitelnoj-tekhnike/2000023607-U117/","Открыть позицию")</x:f>
        <x:v>Открыть позицию</x:v>
      </x:c>
    </x:row>
    <x:row r="17" ht="28" customHeight="1">
      <x:c r="A17" s="16" t="str">
        <x:v>Приморская ГРЭС</x:v>
      </x:c>
      <x:c r="B17" s="16" t="str">
        <x:v>2000248731-U117</x:v>
      </x:c>
      <x:c r="C17" s="16" t="str">
        <x:v>ДИСК ТОРМОЗНОЙ 85-3502040</x:v>
      </x:c>
      <x:c r="D17" s="16" t="str">
        <x:v>Запасные части к дорожно-строительной технике менее 20тн</x:v>
      </x:c>
      <x:c r="E17" s="16" t="str">
        <x:v>ШТ</x:v>
      </x:c>
      <x:c r="F17" s="21" t="n">
        <x:v>4</x:v>
      </x:c>
      <x:c r="G17" s="17" t="n">
        <x:v>499.4314</x:v>
      </x:c>
      <x:c r="H17" s="17" t="n">
        <x:f>G17*F17</x:f>
        <x:v>1997.7256</x:v>
      </x:c>
      <x:c r="I17" s="22" t="str">
        <x:f>HYPERLINK("https://etp-aktiv.ru/catalog/materialy/zapasnye-chasti-k-dorozhno-stroitelnoj-tekhnike/2000248731-U117/","Открыть позицию")</x:f>
        <x:v>Открыть позицию</x:v>
      </x:c>
    </x:row>
    <x:row r="18" ht="28" customHeight="1">
      <x:c r="A18" s="16" t="str">
        <x:v>Приморская ГРЭС</x:v>
      </x:c>
      <x:c r="B18" s="16" t="str">
        <x:v>2000523846-U117</x:v>
      </x:c>
      <x:c r="C18" s="16" t="str">
        <x:v>ДИСК ТОРМОЗНОЙ 85-3502040-02</x:v>
      </x:c>
      <x:c r="D18" s="16" t="str">
        <x:v>Запасные части к дорожно-строительной технике менее 20тн</x:v>
      </x:c>
      <x:c r="E18" s="16" t="str">
        <x:v>ШТ</x:v>
      </x:c>
      <x:c r="F18" s="21" t="n">
        <x:v>4</x:v>
      </x:c>
      <x:c r="G18" s="17" t="n">
        <x:v>589.504</x:v>
      </x:c>
      <x:c r="H18" s="17" t="n">
        <x:f>G18*F18</x:f>
        <x:v>2358.016</x:v>
      </x:c>
      <x:c r="I18" s="22" t="str">
        <x:f>HYPERLINK("https://etp-aktiv.ru/catalog/materialy/zapasnye-chasti-k-dorozhno-stroitelnoj-tekhnike/2000523846-U117/","Открыть позицию")</x:f>
        <x:v>Открыть позицию</x:v>
      </x:c>
    </x:row>
    <x:row r="19" ht="28" customHeight="1">
      <x:c r="A19" s="16" t="str">
        <x:v>Приморская ГРЭС</x:v>
      </x:c>
      <x:c r="B19" s="16" t="str">
        <x:v>2000551416-U117</x:v>
      </x:c>
      <x:c r="C19" s="16" t="str">
        <x:v>ДЮБЕЛЬ-ГВОЗДЬ SMT-L 8*60</x:v>
      </x:c>
      <x:c r="D19" s="16" t="str">
        <x:v>Строительные материалы прочие</x:v>
      </x:c>
      <x:c r="E19" s="16" t="str">
        <x:v>УПК</x:v>
      </x:c>
      <x:c r="F19" s="21" t="n">
        <x:v>3</x:v>
      </x:c>
      <x:c r="G19" s="17" t="n">
        <x:v>42.455999999999996</x:v>
      </x:c>
      <x:c r="H19" s="17" t="n">
        <x:f>G19*F19</x:f>
        <x:v>127.368</x:v>
      </x:c>
      <x:c r="I19" s="22" t="str">
        <x:f>HYPERLINK("https://etp-aktiv.ru/catalog/materialy/stroitelnye-materialy/2000551416-U117/","Открыть позицию")</x:f>
        <x:v>Открыть позицию</x:v>
      </x:c>
    </x:row>
    <x:row r="20" ht="28" customHeight="1">
      <x:c r="A20" s="16" t="str">
        <x:v>Приморская ГРЭС</x:v>
      </x:c>
      <x:c r="B20" s="16" t="str">
        <x:v>2000589608-U117</x:v>
      </x:c>
      <x:c r="C20" s="16" t="str">
        <x:v>ЗАМКОДЕРЖАТЕЛЬ 106.01.003-1</x:v>
      </x:c>
      <x:c r="D20" s="16" t="str">
        <x:v>Запасные части к дорожно-строительной технике менее 20тн</x:v>
      </x:c>
      <x:c r="E20" s="16" t="str">
        <x:v>ШТ</x:v>
      </x:c>
      <x:c r="F20" s="21" t="n">
        <x:v>1</x:v>
      </x:c>
      <x:c r="G20" s="17" t="n">
        <x:v>14030</x:v>
      </x:c>
      <x:c r="H20" s="17" t="n">
        <x:f>G20*F20</x:f>
        <x:v>14030</x:v>
      </x:c>
      <x:c r="I20" s="22" t="str">
        <x:f>HYPERLINK("https://etp-aktiv.ru/catalog/materialy/zapasnye-chasti-k-dorozhno-stroitelnoj-tekhnike/2000589608-U117/","Открыть позицию")</x:f>
        <x:v>Открыть позицию</x:v>
      </x:c>
    </x:row>
    <x:row r="21" ht="28" customHeight="1">
      <x:c r="A21" s="16" t="str">
        <x:v>Приморская ГРЭС</x:v>
      </x:c>
      <x:c r="B21" s="16" t="str">
        <x:v>2000998402-U117</x:v>
      </x:c>
      <x:c r="C21" s="16" t="str">
        <x:v>ЗАМОК ВРЕЗНОЙ ПРОТИВОПОЖАРНЫЙ 3000-ZN</x:v>
      </x:c>
      <x:c r="D21" s="16" t="str">
        <x:v>Строительные материалы прочие</x:v>
      </x:c>
      <x:c r="E21" s="16" t="str">
        <x:v>ШТ</x:v>
      </x:c>
      <x:c r="F21" s="21" t="n">
        <x:v>8</x:v>
      </x:c>
      <x:c r="G21" s="17" t="n">
        <x:v>808.6281999999999</x:v>
      </x:c>
      <x:c r="H21" s="17" t="n">
        <x:f>G21*F21</x:f>
        <x:v>6469.025599999999</x:v>
      </x:c>
      <x:c r="I21" s="22" t="str">
        <x:f>HYPERLINK("https://etp-aktiv.ru/catalog/materialy/stroitelnye-materialy/2000998402-U117/","Открыть позицию")</x:f>
        <x:v>Открыть позицию</x:v>
      </x:c>
    </x:row>
    <x:row r="22" ht="28" customHeight="1">
      <x:c r="A22" s="16" t="str">
        <x:v>Приморская ГРЭС</x:v>
      </x:c>
      <x:c r="B22" s="16" t="str">
        <x:v>2000990266-U117</x:v>
      </x:c>
      <x:c r="C22" s="16" t="str">
        <x:v>ЗАМОК НАВЕСНОЙ ВИНТОВОЙ ЗНВ-1Д</x:v>
      </x:c>
      <x:c r="D22" s="16" t="str">
        <x:v>Строительные материалы прочие</x:v>
      </x:c>
      <x:c r="E22" s="16" t="str">
        <x:v>ШТ</x:v>
      </x:c>
      <x:c r="F22" s="21" t="n">
        <x:v>31</x:v>
      </x:c>
      <x:c r="G22" s="17" t="n">
        <x:v>290.0062</x:v>
      </x:c>
      <x:c r="H22" s="17" t="n">
        <x:f>G22*F22</x:f>
        <x:v>8990.1922</x:v>
      </x:c>
      <x:c r="I22" s="22" t="str">
        <x:f>HYPERLINK("https://etp-aktiv.ru/catalog/materialy/stroitelnye-materialy/2000990266-U117/","Открыть позицию")</x:f>
        <x:v>Открыть позицию</x:v>
      </x:c>
    </x:row>
    <x:row r="23" ht="28" customHeight="1">
      <x:c r="A23" s="16" t="str">
        <x:v>Приморская ГРЭС</x:v>
      </x:c>
      <x:c r="B23" s="16" t="str">
        <x:v>2000024466-U117</x:v>
      </x:c>
      <x:c r="C23" s="16" t="str">
        <x:v>ИЗВЕСТЬ СТРОИТ ФАСОВ НЕГАШЕНАЯ 1СОРТ</x:v>
      </x:c>
      <x:c r="D23" s="16" t="str">
        <x:v>Строительные материалы прочие</x:v>
      </x:c>
      <x:c r="E23" s="16" t="str">
        <x:v>КГ</x:v>
      </x:c>
      <x:c r="F23" s="26" t="n">
        <x:v>0.3</x:v>
      </x:c>
      <x:c r="G23" s="17" t="n">
        <x:v>841.8</x:v>
      </x:c>
      <x:c r="H23" s="17" t="n">
        <x:f>G23*F23</x:f>
        <x:v>252.53999999999996</x:v>
      </x:c>
      <x:c r="I23" s="22" t="str">
        <x:f>HYPERLINK("https://etp-aktiv.ru/catalog/materialy/stroitelnye-materialy/2000024466-U117/","Открыть позицию")</x:f>
        <x:v>Открыть позицию</x:v>
      </x:c>
    </x:row>
    <x:row r="24" ht="28" customHeight="1">
      <x:c r="A24" s="16" t="str">
        <x:v>Приморская ГРЭС</x:v>
      </x:c>
      <x:c r="B24" s="16" t="str">
        <x:v>2000292829-U117</x:v>
      </x:c>
      <x:c r="C24" s="16" t="str">
        <x:v>КАРТОН Б 1,0 1000*1500ММ</x:v>
      </x:c>
      <x:c r="D24" s="16" t="str">
        <x:v>Строительные материалы прочие</x:v>
      </x:c>
      <x:c r="E24" s="16" t="str">
        <x:v>КГ</x:v>
      </x:c>
      <x:c r="F24" s="30" t="n">
        <x:v>1.5</x:v>
      </x:c>
      <x:c r="G24" s="17" t="n">
        <x:v>140.29999999999998</x:v>
      </x:c>
      <x:c r="H24" s="17" t="n">
        <x:f>G24*F24</x:f>
        <x:v>210.45</x:v>
      </x:c>
      <x:c r="I24" s="22" t="str">
        <x:f>HYPERLINK("https://etp-aktiv.ru/catalog/materialy/stroitelnye-materialy/2000292829-U117/","Открыть позицию")</x:f>
        <x:v>Открыть позицию</x:v>
      </x:c>
    </x:row>
    <x:row r="25" ht="28" customHeight="1">
      <x:c r="A25" s="16" t="str">
        <x:v>Приморская ГРЭС</x:v>
      </x:c>
      <x:c r="B25" s="16" t="str">
        <x:v>2000025561-U117</x:v>
      </x:c>
      <x:c r="C25" s="16" t="str">
        <x:v>КИРПИЧ ОГНЕУПОРНЫЙ ШБ-5 ГОСТ390-2018</x:v>
      </x:c>
      <x:c r="D25" s="16" t="str">
        <x:v>Огнеупорные материалы</x:v>
      </x:c>
      <x:c r="E25" s="16" t="str">
        <x:v>Т</x:v>
      </x:c>
      <x:c r="F25" s="30" t="n">
        <x:v>4.93</x:v>
      </x:c>
      <x:c r="G25" s="17" t="n">
        <x:v>12275.5546</x:v>
      </x:c>
      <x:c r="H25" s="17" t="n">
        <x:f>G25*F25</x:f>
        <x:v>60518.48417799999</x:v>
      </x:c>
      <x:c r="I25" s="22" t="str">
        <x:f>HYPERLINK("https://etp-aktiv.ru/catalog/materialy/ogneupornye-materialy/2000025561-U117/","Открыть позицию")</x:f>
        <x:v>Открыть позицию</x:v>
      </x:c>
    </x:row>
    <x:row r="26" ht="28" customHeight="1">
      <x:c r="A26" s="16" t="str">
        <x:v>Приморская ГРЭС</x:v>
      </x:c>
      <x:c r="B26" s="16" t="str">
        <x:v>2000551722-U117</x:v>
      </x:c>
      <x:c r="C26" s="16" t="str">
        <x:v>КИРПИЧ ША-II ГОСТ390 ПРЯМ N5 230*114*65</x:v>
      </x:c>
      <x:c r="D26" s="16" t="str">
        <x:v>Кирпич строительный</x:v>
      </x:c>
      <x:c r="E26" s="16" t="str">
        <x:v>Т</x:v>
      </x:c>
      <x:c r="F26" s="30" t="n">
        <x:v>45.523</x:v>
      </x:c>
      <x:c r="G26" s="17" t="n">
        <x:v>23123.6482</x:v>
      </x:c>
      <x:c r="H26" s="17" t="n">
        <x:f>G26*F26</x:f>
        <x:v>1052657.8370086001</x:v>
      </x:c>
      <x:c r="I26" s="22" t="str">
        <x:f>HYPERLINK("https://etp-aktiv.ru/catalog/materialy/ogneupornye-materialy/2000551722-U117/","Открыть позицию")</x:f>
        <x:v>Открыть позицию</x:v>
      </x:c>
    </x:row>
    <x:row r="27" ht="28" customHeight="1">
      <x:c r="A27" s="16" t="str">
        <x:v>Приморская ГРЭС</x:v>
      </x:c>
      <x:c r="B27" s="16" t="str">
        <x:v>2000159553-U117</x:v>
      </x:c>
      <x:c r="C27" s="16" t="str">
        <x:v>КЛЕЙ TANGIT Д/ПВХ 1042720 1000МЛ</x:v>
      </x:c>
      <x:c r="D27" s="16" t="str">
        <x:v>Строительные материалы прочие</x:v>
      </x:c>
      <x:c r="E27" s="16" t="str">
        <x:v>ШТ</x:v>
      </x:c>
      <x:c r="F27" s="21" t="n">
        <x:v>65</x:v>
      </x:c>
      <x:c r="G27" s="17" t="n">
        <x:v>1741.0131999999999</x:v>
      </x:c>
      <x:c r="H27" s="17" t="n">
        <x:f>G27*F27</x:f>
        <x:v>113165.858</x:v>
      </x:c>
      <x:c r="I27" s="22" t="str">
        <x:f>HYPERLINK("https://etp-aktiv.ru/catalog/materialy/stroitelnye-materialy/2000159553-U117/","Открыть позицию")</x:f>
        <x:v>Открыть позицию</x:v>
      </x:c>
    </x:row>
    <x:row r="28" ht="28" customHeight="1">
      <x:c r="A28" s="16" t="str">
        <x:v>Приморская ГРЭС</x:v>
      </x:c>
      <x:c r="B28" s="16" t="str">
        <x:v>2000324025-U117</x:v>
      </x:c>
      <x:c r="C28" s="16" t="str">
        <x:v>КЛЕЙ TIP-TOP SC4000 700Г</x:v>
      </x:c>
      <x:c r="D28" s="16" t="str">
        <x:v>Строительные материалы прочие</x:v>
      </x:c>
      <x:c r="E28" s="16" t="str">
        <x:v>ШТ</x:v>
      </x:c>
      <x:c r="F28" s="21" t="n">
        <x:v>6</x:v>
      </x:c>
      <x:c r="G28" s="17" t="n">
        <x:v>2440</x:v>
      </x:c>
      <x:c r="H28" s="17" t="n">
        <x:f>G28*F28</x:f>
        <x:v>14640</x:v>
      </x:c>
      <x:c r="I28" s="22" t="str">
        <x:f>HYPERLINK("https://etp-aktiv.ru/catalog/materialy/stroitelnye-materialy/2000324025-U117/","Открыть позицию")</x:f>
        <x:v>Открыть позицию</x:v>
      </x:c>
    </x:row>
    <x:row r="29" ht="28" customHeight="1">
      <x:c r="A29" s="16" t="str">
        <x:v>Приморская ГРЭС</x:v>
      </x:c>
      <x:c r="B29" s="16" t="str">
        <x:v>2000550665-U117</x:v>
      </x:c>
      <x:c r="C29" s="16" t="str">
        <x:v>КЛЕЙ Д/КЛЕЕВОГО ПИСТОЛЕТА DREMEL GG11</x:v>
      </x:c>
      <x:c r="D29" s="16" t="str">
        <x:v>Строительные материалы прочие</x:v>
      </x:c>
      <x:c r="E29" s="16" t="str">
        <x:v>УПК</x:v>
      </x:c>
      <x:c r="F29" s="21" t="n">
        <x:v>7</x:v>
      </x:c>
      <x:c r="G29" s="17" t="n">
        <x:v>323.90999999999997</x:v>
      </x:c>
      <x:c r="H29" s="17" t="n">
        <x:f>G29*F29</x:f>
        <x:v>2267.37</x:v>
      </x:c>
      <x:c r="I29" s="22" t="str">
        <x:f>HYPERLINK("https://etp-aktiv.ru/catalog/materialy/stroitelnye-materialy/2000550665-U117/","Открыть позицию")</x:f>
        <x:v>Открыть позицию</x:v>
      </x:c>
    </x:row>
    <x:row r="30" ht="28" customHeight="1">
      <x:c r="A30" s="16" t="str">
        <x:v>Приморская ГРЭС</x:v>
      </x:c>
      <x:c r="B30" s="16" t="str">
        <x:v>2000078817-U117</x:v>
      </x:c>
      <x:c r="C30" s="16" t="str">
        <x:v>КЛЕЙ ПВА ТУ2310-00126652527 (КГ)</x:v>
      </x:c>
      <x:c r="D30" s="16" t="str">
        <x:v>Строительные материалы прочие</x:v>
      </x:c>
      <x:c r="E30" s="16" t="str">
        <x:v>КГ</x:v>
      </x:c>
      <x:c r="F30" s="21" t="n">
        <x:v>9</x:v>
      </x:c>
      <x:c r="G30" s="17" t="n">
        <x:v>133.285</x:v>
      </x:c>
      <x:c r="H30" s="17" t="n">
        <x:f>G30*F30</x:f>
        <x:v>1199.565</x:v>
      </x:c>
      <x:c r="I30" s="22" t="str">
        <x:f>HYPERLINK("https://etp-aktiv.ru/catalog/materialy/stroitelnye-materialy/2000078817-U117/","Открыть позицию")</x:f>
        <x:v>Открыть позицию</x:v>
      </x:c>
    </x:row>
    <x:row r="31" ht="28" customHeight="1">
      <x:c r="A31" s="16" t="str">
        <x:v>Приморская ГРЭС</x:v>
      </x:c>
      <x:c r="B31" s="16" t="str">
        <x:v>2000150219-U117</x:v>
      </x:c>
      <x:c r="C31" s="16" t="str">
        <x:v>КЛЕЙ РЕЗИНОВЫЙ 88 ГОСТ12172-74</x:v>
      </x:c>
      <x:c r="D31" s="16" t="str">
        <x:v>Строительные материалы прочие</x:v>
      </x:c>
      <x:c r="E31" s="16" t="str">
        <x:v>КГ</x:v>
      </x:c>
      <x:c r="F31" s="21" t="n">
        <x:v>5</x:v>
      </x:c>
      <x:c r="G31" s="17" t="n">
        <x:v>878.2536</x:v>
      </x:c>
      <x:c r="H31" s="17" t="n">
        <x:f>G31*F31</x:f>
        <x:v>4391.268</x:v>
      </x:c>
      <x:c r="I31" s="22" t="str">
        <x:f>HYPERLINK("https://etp-aktiv.ru/catalog/materialy/stroitelnye-materialy/2000150219-U117/","Открыть позицию")</x:f>
        <x:v>Открыть позицию</x:v>
      </x:c>
    </x:row>
    <x:row r="32" ht="28" customHeight="1">
      <x:c r="A32" s="16" t="str">
        <x:v>Приморская ГРЭС</x:v>
      </x:c>
      <x:c r="B32" s="16" t="str">
        <x:v>2000550710-U117</x:v>
      </x:c>
      <x:c r="C32" s="16" t="str">
        <x:v>КЛЕЙ ХОЛОДНАЯ СВАРКА АС-9321 55Г</x:v>
      </x:c>
      <x:c r="D32" s="16" t="str">
        <x:v>Строительные материалы прочие</x:v>
      </x:c>
      <x:c r="E32" s="16" t="str">
        <x:v>ШТ</x:v>
      </x:c>
      <x:c r="F32" s="21" t="n">
        <x:v>16</x:v>
      </x:c>
      <x:c r="G32" s="17" t="n">
        <x:v>178.8642</x:v>
      </x:c>
      <x:c r="H32" s="17" t="n">
        <x:f>G32*F32</x:f>
        <x:v>2861.8272</x:v>
      </x:c>
      <x:c r="I32" s="22" t="str">
        <x:f>HYPERLINK("https://etp-aktiv.ru/catalog/materialy/stroitelnye-materialy/2000550710-U117/","Открыть позицию")</x:f>
        <x:v>Открыть позицию</x:v>
      </x:c>
    </x:row>
    <x:row r="33" ht="28" customHeight="1">
      <x:c r="A33" s="16" t="str">
        <x:v>Приморская ГРЭС</x:v>
      </x:c>
      <x:c r="B33" s="16" t="str">
        <x:v>2000025871-U117</x:v>
      </x:c>
      <x:c r="C33" s="16" t="str">
        <x:v>КЛЕЙ ЭПОКСИДНЫЙ 2-КОМПОНЕНТНЫЙ</x:v>
      </x:c>
      <x:c r="D33" s="16" t="str">
        <x:v>Строительные материалы прочие</x:v>
      </x:c>
      <x:c r="E33" s="16" t="str">
        <x:v>КГ</x:v>
      </x:c>
      <x:c r="F33" s="26" t="n">
        <x:v>0.125</x:v>
      </x:c>
      <x:c r="G33" s="17" t="n">
        <x:v>785.5702</x:v>
      </x:c>
      <x:c r="H33" s="17" t="n">
        <x:f>G33*F33</x:f>
        <x:v>98.196275</x:v>
      </x:c>
      <x:c r="I33" s="22" t="str">
        <x:f>HYPERLINK("https://etp-aktiv.ru/catalog/materialy/stroitelnye-materialy/2000025871-U117/","Открыть позицию")</x:f>
        <x:v>Открыть позицию</x:v>
      </x:c>
    </x:row>
    <x:row r="34" ht="28" customHeight="1">
      <x:c r="A34" s="16" t="str">
        <x:v>Приморская ГРЭС</x:v>
      </x:c>
      <x:c r="B34" s="16" t="str">
        <x:v>2000583976-U117</x:v>
      </x:c>
      <x:c r="C34" s="16" t="str">
        <x:v>КОЛЕНО ТРУБЫ D150ММ ПЭ-01-9003-0,5</x:v>
      </x:c>
      <x:c r="D34" s="16" t="str">
        <x:v>Строительные материалы прочие</x:v>
      </x:c>
      <x:c r="E34" s="16" t="str">
        <x:v>ШТ</x:v>
      </x:c>
      <x:c r="F34" s="21" t="n">
        <x:v>15</x:v>
      </x:c>
      <x:c r="G34" s="17" t="n">
        <x:v>183.60999999999999</x:v>
      </x:c>
      <x:c r="H34" s="17" t="n">
        <x:f>G34*F34</x:f>
        <x:v>2754.1499999999996</x:v>
      </x:c>
      <x:c r="I34" s="22" t="str">
        <x:f>HYPERLINK("https://etp-aktiv.ru/catalog/materialy/stroitelnye-materialy/2000583976-U117/","Открыть позицию")</x:f>
        <x:v>Открыть позицию</x:v>
      </x:c>
    </x:row>
    <x:row r="35" ht="28" customHeight="1">
      <x:c r="A35" s="16" t="str">
        <x:v>Приморская ГРЭС</x:v>
      </x:c>
      <x:c r="B35" s="16" t="str">
        <x:v>2000214767-U117</x:v>
      </x:c>
      <x:c r="C35" s="16" t="str">
        <x:v>ЛАК БТ-577 КУЗБАССЛАК</x:v>
      </x:c>
      <x:c r="D35" s="16" t="str">
        <x:v>Строительные материалы прочие</x:v>
      </x:c>
      <x:c r="E35" s="16" t="str">
        <x:v>Л</x:v>
      </x:c>
      <x:c r="F35" s="30" t="n">
        <x:v>42.6</x:v>
      </x:c>
      <x:c r="G35" s="17" t="n">
        <x:v>175.92399999999998</x:v>
      </x:c>
      <x:c r="H35" s="17" t="n">
        <x:f>G35*F35</x:f>
        <x:v>7494.362399999999</x:v>
      </x:c>
      <x:c r="I35" s="22" t="str">
        <x:f>HYPERLINK("https://etp-aktiv.ru/catalog/materialy/stroitelnye-materialy/2000214767-U117/","Открыть позицию")</x:f>
        <x:v>Открыть позицию</x:v>
      </x:c>
    </x:row>
    <x:row r="36" ht="28" customHeight="1">
      <x:c r="A36" s="16" t="str">
        <x:v>Приморская ГРЭС</x:v>
      </x:c>
      <x:c r="B36" s="16" t="str">
        <x:v>2000551526-U117</x:v>
      </x:c>
      <x:c r="C36" s="16" t="str">
        <x:v>ЛЕНТА ФУМ-1 0,1*20ММ</x:v>
      </x:c>
      <x:c r="D36" s="16" t="str">
        <x:v>Строительные материалы прочие</x:v>
      </x:c>
      <x:c r="E36" s="16" t="str">
        <x:v>КГ</x:v>
      </x:c>
      <x:c r="F36" s="30" t="n">
        <x:v>1.01</x:v>
      </x:c>
      <x:c r="G36" s="17" t="n">
        <x:v>3926.326</x:v>
      </x:c>
      <x:c r="H36" s="17" t="n">
        <x:f>G36*F36</x:f>
        <x:v>3965.58926</x:v>
      </x:c>
      <x:c r="I36" s="22" t="str">
        <x:f>HYPERLINK("https://etp-aktiv.ru/catalog/materialy/stroitelnye-materialy/2000551526-U117/","Открыть позицию")</x:f>
        <x:v>Открыть позицию</x:v>
      </x:c>
    </x:row>
    <x:row r="37" ht="28" customHeight="1">
      <x:c r="A37" s="16" t="str">
        <x:v>Приморская ГРЭС</x:v>
      </x:c>
      <x:c r="B37" s="16" t="str">
        <x:v>2000551527-U117</x:v>
      </x:c>
      <x:c r="C37" s="16" t="str">
        <x:v>ЛЕНТА ФУМ-1 0,1*25ММ</x:v>
      </x:c>
      <x:c r="D37" s="16" t="str">
        <x:v>Строительные материалы прочие</x:v>
      </x:c>
      <x:c r="E37" s="16" t="str">
        <x:v>КГ</x:v>
      </x:c>
      <x:c r="F37" s="21" t="n">
        <x:v>1</x:v>
      </x:c>
      <x:c r="G37" s="17" t="n">
        <x:v>84.9242</x:v>
      </x:c>
      <x:c r="H37" s="17" t="n">
        <x:f>G37*F37</x:f>
        <x:v>84.9242</x:v>
      </x:c>
      <x:c r="I37" s="22" t="str">
        <x:f>HYPERLINK("https://etp-aktiv.ru/catalog/materialy/stroitelnye-materialy/2000551527-U117/","Открыть позицию")</x:f>
        <x:v>Открыть позицию</x:v>
      </x:c>
    </x:row>
    <x:row r="38" ht="28" customHeight="1">
      <x:c r="A38" s="16" t="str">
        <x:v>Приморская ГРЭС</x:v>
      </x:c>
      <x:c r="B38" s="16" t="str">
        <x:v>2000551530-U117</x:v>
      </x:c>
      <x:c r="C38" s="16" t="str">
        <x:v>ЛЕНТА ФУМ-1 0,2*25ММ</x:v>
      </x:c>
      <x:c r="D38" s="16" t="str">
        <x:v>Строительные материалы прочие</x:v>
      </x:c>
      <x:c r="E38" s="16" t="str">
        <x:v>КГ</x:v>
      </x:c>
      <x:c r="F38" s="26" t="n">
        <x:v>0.954</x:v>
      </x:c>
      <x:c r="G38" s="17" t="n">
        <x:v>1180.9356</x:v>
      </x:c>
      <x:c r="H38" s="17" t="n">
        <x:f>G38*F38</x:f>
        <x:v>1126.6125624</x:v>
      </x:c>
      <x:c r="I38" s="22" t="str">
        <x:f>HYPERLINK("https://etp-aktiv.ru/catalog/materialy/stroitelnye-materialy/2000551530-U117/","Открыть позицию")</x:f>
        <x:v>Открыть позицию</x:v>
      </x:c>
    </x:row>
    <x:row r="39" ht="28" customHeight="1">
      <x:c r="A39" s="16" t="str">
        <x:v>Приморская ГРЭС</x:v>
      </x:c>
      <x:c r="B39" s="16" t="str">
        <x:v>5000063880-U117</x:v>
      </x:c>
      <x:c r="C39" s="16" t="str">
        <x:v>ЛЕСА СТРОИТЕЛЬНЫЕ ТУЛ-1</x:v>
      </x:c>
      <x:c r="D39" s="16" t="str">
        <x:v>Строительно-отделочное оборудование</x:v>
      </x:c>
      <x:c r="E39" s="16" t="str">
        <x:v>КМП</x:v>
      </x:c>
      <x:c r="F39" s="21" t="n">
        <x:v>1</x:v>
      </x:c>
      <x:c r="G39" s="17" t="n">
        <x:v>283078.125</x:v>
      </x:c>
      <x:c r="H39" s="17" t="n">
        <x:f>G39*F39</x:f>
        <x:v>283078.125</x:v>
      </x:c>
      <x:c r="I39" s="22" t="str">
        <x:f>HYPERLINK("https://etp-aktiv.ru/catalog/materialy/hozyajstvennye-tovary-i-inventar/5000063880-U117/","Открыть позицию")</x:f>
        <x:v>Открыть позицию</x:v>
      </x:c>
    </x:row>
    <x:row r="40" ht="28" customHeight="1">
      <x:c r="A40" s="16" t="str">
        <x:v>Приморская ГРЭС</x:v>
      </x:c>
      <x:c r="B40" s="16" t="str">
        <x:v>2000000230-U117</x:v>
      </x:c>
      <x:c r="C40" s="16" t="str">
        <x:v>МАНЖЕТА 236-1007262</x:v>
      </x:c>
      <x:c r="D40" s="16" t="str">
        <x:v>Запасные части к дорожно-строительной технике менее 20тн</x:v>
      </x:c>
      <x:c r="E40" s="16" t="str">
        <x:v>ШТ</x:v>
      </x:c>
      <x:c r="F40" s="21" t="n">
        <x:v>32</x:v>
      </x:c>
      <x:c r="G40" s="17" t="n">
        <x:v>17.153200000000002</x:v>
      </x:c>
      <x:c r="H40" s="17" t="n">
        <x:f>G40*F40</x:f>
        <x:v>548.9024000000001</x:v>
      </x:c>
      <x:c r="I40" s="22" t="str">
        <x:f>HYPERLINK("https://etp-aktiv.ru/catalog/materialy/zapasnye-chasti-k-dorozhno-stroitelnoj-tekhnike/2000000230-U117/","Открыть позицию")</x:f>
        <x:v>Открыть позицию</x:v>
      </x:c>
    </x:row>
    <x:row r="41" ht="28" customHeight="1">
      <x:c r="A41" s="16" t="str">
        <x:v>Приморская ГРЭС</x:v>
      </x:c>
      <x:c r="B41" s="16" t="str">
        <x:v>2000240705-U117</x:v>
      </x:c>
      <x:c r="C41" s="16" t="str">
        <x:v>МАНЖЕТА ТНВД 30*30 840.1029438-01</x:v>
      </x:c>
      <x:c r="D41" s="16" t="str">
        <x:v>Запасные части к дорожно-строительной технике менее 20тн</x:v>
      </x:c>
      <x:c r="E41" s="16" t="str">
        <x:v>ШТ</x:v>
      </x:c>
      <x:c r="F41" s="21" t="n">
        <x:v>5</x:v>
      </x:c>
      <x:c r="G41" s="17" t="n">
        <x:v>215.18359999999998</x:v>
      </x:c>
      <x:c r="H41" s="17" t="n">
        <x:f>G41*F41</x:f>
        <x:v>1075.918</x:v>
      </x:c>
      <x:c r="I41" s="22" t="str">
        <x:f>HYPERLINK("https://etp-aktiv.ru/catalog/materialy/zapasnye-chasti-k-dorozhno-stroitelnoj-tekhnike/2000240705-U117/","Открыть позицию")</x:f>
        <x:v>Открыть позицию</x:v>
      </x:c>
    </x:row>
    <x:row r="42" ht="28" customHeight="1">
      <x:c r="A42" s="16" t="str">
        <x:v>Приморская ГРЭС</x:v>
      </x:c>
      <x:c r="B42" s="16" t="str">
        <x:v>2000030511-U117</x:v>
      </x:c>
      <x:c r="C42" s="16" t="str">
        <x:v>МАСТИКА БИТУМНАЯ</x:v>
      </x:c>
      <x:c r="D42" s="16" t="str">
        <x:v>Строительные материалы прочие</x:v>
      </x:c>
      <x:c r="E42" s="16" t="str">
        <x:v>КГ</x:v>
      </x:c>
      <x:c r="F42" s="21" t="n">
        <x:v>3</x:v>
      </x:c>
      <x:c r="G42" s="17" t="n">
        <x:v>321.5188</x:v>
      </x:c>
      <x:c r="H42" s="17" t="n">
        <x:f>G42*F42</x:f>
        <x:v>964.5563999999999</x:v>
      </x:c>
      <x:c r="I42" s="22" t="str">
        <x:f>HYPERLINK("https://etp-aktiv.ru/catalog/materialy/stroitelnye-materialy/2000030511-U117/","Открыть позицию")</x:f>
        <x:v>Открыть позицию</x:v>
      </x:c>
    </x:row>
    <x:row r="43" ht="28" customHeight="1">
      <x:c r="A43" s="16" t="str">
        <x:v>Приморская ГРЭС</x:v>
      </x:c>
      <x:c r="B43" s="16" t="str">
        <x:v>2000228483-U117</x:v>
      </x:c>
      <x:c r="C43" s="16" t="str">
        <x:v>МАСТИКА ТЕХНОНИКОЛЬ N24 20КГ</x:v>
      </x:c>
      <x:c r="D43" s="16" t="str">
        <x:v>Строительные материалы прочие</x:v>
      </x:c>
      <x:c r="E43" s="16" t="str">
        <x:v>ШТ</x:v>
      </x:c>
      <x:c r="F43" s="21" t="n">
        <x:v>1</x:v>
      </x:c>
      <x:c r="G43" s="17" t="n">
        <x:v>3934.2682</x:v>
      </x:c>
      <x:c r="H43" s="17" t="n">
        <x:f>G43*F43</x:f>
        <x:v>3934.2682</x:v>
      </x:c>
      <x:c r="I43" s="22" t="str">
        <x:f>HYPERLINK("https://etp-aktiv.ru/catalog/materialy/stroitelnye-materialy/2000228483-U117/","Открыть позицию")</x:f>
        <x:v>Открыть позицию</x:v>
      </x:c>
    </x:row>
    <x:row r="44" ht="28" customHeight="1">
      <x:c r="A44" s="16" t="str">
        <x:v>Приморская ГРЭС</x:v>
      </x:c>
      <x:c r="B44" s="16" t="str">
        <x:v>2000228901-U117</x:v>
      </x:c>
      <x:c r="C44" s="16" t="str">
        <x:v>МЕЛ ПРИРОДНЫЙ ММС1 ГОСТ12085-88</x:v>
      </x:c>
      <x:c r="D44" s="16" t="str">
        <x:v>Строительные материалы прочие</x:v>
      </x:c>
      <x:c r="E44" s="16" t="str">
        <x:v>КГ</x:v>
      </x:c>
      <x:c r="F44" s="21" t="n">
        <x:v>69</x:v>
      </x:c>
      <x:c r="G44" s="17" t="n">
        <x:v>131.30859999999998</x:v>
      </x:c>
      <x:c r="H44" s="17" t="n">
        <x:f>G44*F44</x:f>
        <x:v>9060.293399999999</x:v>
      </x:c>
      <x:c r="I44" s="22" t="str">
        <x:f>HYPERLINK("https://etp-aktiv.ru/catalog/materialy/stroitelnye-materialy/2000228901-U117/","Открыть позицию")</x:f>
        <x:v>Открыть позицию</x:v>
      </x:c>
    </x:row>
    <x:row r="45" ht="28" customHeight="1">
      <x:c r="A45" s="16" t="str">
        <x:v>Приморская ГРЭС</x:v>
      </x:c>
      <x:c r="B45" s="16" t="str">
        <x:v>2000137519-U117</x:v>
      </x:c>
      <x:c r="C45" s="16" t="str">
        <x:v>МУФТА КОМБ ПОЛИПРОП SPK D25*3/4 НР 20БАР</x:v>
      </x:c>
      <x:c r="D45" s="16" t="str">
        <x:v>Строительные материалы прочие</x:v>
      </x:c>
      <x:c r="E45" s="16" t="str">
        <x:v>ШТ</x:v>
      </x:c>
      <x:c r="F45" s="21" t="n">
        <x:v>24</x:v>
      </x:c>
      <x:c r="G45" s="17" t="n">
        <x:v>72.4314</x:v>
      </x:c>
      <x:c r="H45" s="17" t="n">
        <x:f>G45*F45</x:f>
        <x:v>1738.3536</x:v>
      </x:c>
      <x:c r="I45" s="22" t="str">
        <x:f>HYPERLINK("https://etp-aktiv.ru/catalog/materialy/stroitelnye-materialy/2000137519-U117/","Открыть позицию")</x:f>
        <x:v>Открыть позицию</x:v>
      </x:c>
    </x:row>
    <x:row r="46" ht="28" customHeight="1">
      <x:c r="A46" s="16" t="str">
        <x:v>Приморская ГРЭС</x:v>
      </x:c>
      <x:c r="B46" s="16" t="str">
        <x:v>2000137524-U117</x:v>
      </x:c>
      <x:c r="C46" s="16" t="str">
        <x:v>МУФТА КОМБ ПОЛИПРОП SPK D32*1 ВР 20БАР</x:v>
      </x:c>
      <x:c r="D46" s="16" t="str">
        <x:v>Строительные материалы прочие</x:v>
      </x:c>
      <x:c r="E46" s="16" t="str">
        <x:v>ШТ</x:v>
      </x:c>
      <x:c r="F46" s="21" t="n">
        <x:v>46</x:v>
      </x:c>
      <x:c r="G46" s="17" t="n">
        <x:v>83.3138</x:v>
      </x:c>
      <x:c r="H46" s="17" t="n">
        <x:f>G46*F46</x:f>
        <x:v>3832.4348</x:v>
      </x:c>
      <x:c r="I46" s="22" t="str">
        <x:f>HYPERLINK("https://etp-aktiv.ru/catalog/materialy/stroitelnye-materialy/2000137524-U117/","Открыть позицию")</x:f>
        <x:v>Открыть позицию</x:v>
      </x:c>
    </x:row>
    <x:row r="47" ht="28" customHeight="1">
      <x:c r="A47" s="16" t="str">
        <x:v>Приморская ГРЭС</x:v>
      </x:c>
      <x:c r="B47" s="16" t="str">
        <x:v>2000137529-U117</x:v>
      </x:c>
      <x:c r="C47" s="16" t="str">
        <x:v>МУФТА КОМБ ПОЛИПРОП SPK D32*1 НР 20БАР</x:v>
      </x:c>
      <x:c r="D47" s="16" t="str">
        <x:v>Строительные материалы прочие</x:v>
      </x:c>
      <x:c r="E47" s="16" t="str">
        <x:v>ШТ</x:v>
      </x:c>
      <x:c r="F47" s="21" t="n">
        <x:v>46</x:v>
      </x:c>
      <x:c r="G47" s="17" t="n">
        <x:v>118.9988</x:v>
      </x:c>
      <x:c r="H47" s="17" t="n">
        <x:f>G47*F47</x:f>
        <x:v>5473.9448</x:v>
      </x:c>
      <x:c r="I47" s="22" t="str">
        <x:f>HYPERLINK("https://etp-aktiv.ru/catalog/materialy/stroitelnye-materialy/2000137529-U117/","Открыть позицию")</x:f>
        <x:v>Открыть позицию</x:v>
      </x:c>
    </x:row>
    <x:row r="48" ht="28" customHeight="1">
      <x:c r="A48" s="16" t="str">
        <x:v>Приморская ГРЭС</x:v>
      </x:c>
      <x:c r="B48" s="16" t="str">
        <x:v>2000137535-U117</x:v>
      </x:c>
      <x:c r="C48" s="16" t="str">
        <x:v>МУФТА КОМБ ПОЛИПРОП SPK D40*1 1/4НР20БАР</x:v>
      </x:c>
      <x:c r="D48" s="16" t="str">
        <x:v>Строительные материалы прочие</x:v>
      </x:c>
      <x:c r="E48" s="16" t="str">
        <x:v>ШТ</x:v>
      </x:c>
      <x:c r="F48" s="21" t="n">
        <x:v>48</x:v>
      </x:c>
      <x:c r="G48" s="17" t="n">
        <x:v>274.8538</x:v>
      </x:c>
      <x:c r="H48" s="17" t="n">
        <x:f>G48*F48</x:f>
        <x:v>13192.982399999999</x:v>
      </x:c>
      <x:c r="I48" s="22" t="str">
        <x:f>HYPERLINK("https://etp-aktiv.ru/catalog/materialy/stroitelnye-materialy/2000137535-U117/","Открыть позицию")</x:f>
        <x:v>Открыть позицию</x:v>
      </x:c>
    </x:row>
    <x:row r="49" ht="28" customHeight="1">
      <x:c r="A49" s="16" t="str">
        <x:v>Приморская ГРЭС</x:v>
      </x:c>
      <x:c r="B49" s="16" t="str">
        <x:v>2000137545-U117</x:v>
      </x:c>
      <x:c r="C49" s="16" t="str">
        <x:v>МУФТА КОМБ ПОЛИПРОП SPK D63*2 НР 20БАР</x:v>
      </x:c>
      <x:c r="D49" s="16" t="str">
        <x:v>Строительные материалы прочие</x:v>
      </x:c>
      <x:c r="E49" s="16" t="str">
        <x:v>ШТ</x:v>
      </x:c>
      <x:c r="F49" s="21" t="n">
        <x:v>47</x:v>
      </x:c>
      <x:c r="G49" s="17" t="n">
        <x:v>599.2396</x:v>
      </x:c>
      <x:c r="H49" s="17" t="n">
        <x:f>G49*F49</x:f>
        <x:v>28164.2612</x:v>
      </x:c>
      <x:c r="I49" s="22" t="str">
        <x:f>HYPERLINK("https://etp-aktiv.ru/catalog/materialy/stroitelnye-materialy/2000137545-U117/","Открыть позицию")</x:f>
        <x:v>Открыть позицию</x:v>
      </x:c>
    </x:row>
    <x:row r="50" ht="28" customHeight="1">
      <x:c r="A50" s="16" t="str">
        <x:v>Приморская ГРЭС</x:v>
      </x:c>
      <x:c r="B50" s="16" t="str">
        <x:v>2000137504-U117</x:v>
      </x:c>
      <x:c r="C50" s="16" t="str">
        <x:v>МУФТА РАЗЪЕМ ПОЛИПРОП SPK 20*1/2ВР 20БАР</x:v>
      </x:c>
      <x:c r="D50" s="16" t="str">
        <x:v>Строительные материалы прочие</x:v>
      </x:c>
      <x:c r="E50" s="16" t="str">
        <x:v>ШТ</x:v>
      </x:c>
      <x:c r="F50" s="21" t="n">
        <x:v>22</x:v>
      </x:c>
      <x:c r="G50" s="17" t="n">
        <x:v>114.9972</x:v>
      </x:c>
      <x:c r="H50" s="17" t="n">
        <x:f>G50*F50</x:f>
        <x:v>2529.9384</x:v>
      </x:c>
      <x:c r="I50" s="22" t="str">
        <x:f>HYPERLINK("https://etp-aktiv.ru/catalog/materialy/stroitelnye-materialy/2000137504-U117/","Открыть позицию")</x:f>
        <x:v>Открыть позицию</x:v>
      </x:c>
    </x:row>
    <x:row r="51" ht="28" customHeight="1">
      <x:c r="A51" s="16" t="str">
        <x:v>Приморская ГРЭС</x:v>
      </x:c>
      <x:c r="B51" s="16" t="str">
        <x:v>2000137520-U117</x:v>
      </x:c>
      <x:c r="C51" s="16" t="str">
        <x:v>МУФТА РАЗЪЕМ ПОЛИПРОП SPK 20*1/2НР 20БАР</x:v>
      </x:c>
      <x:c r="D51" s="16" t="str">
        <x:v>Строительные материалы прочие</x:v>
      </x:c>
      <x:c r="E51" s="16" t="str">
        <x:v>ШТ</x:v>
      </x:c>
      <x:c r="F51" s="21" t="n">
        <x:v>40</x:v>
      </x:c>
      <x:c r="G51" s="17" t="n">
        <x:v>236.72879999999998</x:v>
      </x:c>
      <x:c r="H51" s="17" t="n">
        <x:f>G51*F51</x:f>
        <x:v>9469.151999999998</x:v>
      </x:c>
      <x:c r="I51" s="22" t="str">
        <x:f>HYPERLINK("https://etp-aktiv.ru/catalog/materialy/stroitelnye-materialy/2000137520-U117/","Открыть позицию")</x:f>
        <x:v>Открыть позицию</x:v>
      </x:c>
    </x:row>
    <x:row r="52" ht="28" customHeight="1">
      <x:c r="A52" s="16" t="str">
        <x:v>Приморская ГРЭС</x:v>
      </x:c>
      <x:c r="B52" s="16" t="str">
        <x:v>2000137508-U117</x:v>
      </x:c>
      <x:c r="C52" s="16" t="str">
        <x:v>МУФТА РАЗЪЕМ ПОЛИПРОП SPK 25*3/4ВР 20БАР</x:v>
      </x:c>
      <x:c r="D52" s="16" t="str">
        <x:v>Строительные материалы прочие</x:v>
      </x:c>
      <x:c r="E52" s="16" t="str">
        <x:v>ШТ</x:v>
      </x:c>
      <x:c r="F52" s="21" t="n">
        <x:v>42</x:v>
      </x:c>
      <x:c r="G52" s="17" t="n">
        <x:v>138.64079999999998</x:v>
      </x:c>
      <x:c r="H52" s="17" t="n">
        <x:f>G52*F52</x:f>
        <x:v>5822.913599999999</x:v>
      </x:c>
      <x:c r="I52" s="22" t="str">
        <x:f>HYPERLINK("https://etp-aktiv.ru/catalog/materialy/stroitelnye-materialy/2000137508-U117/","Открыть позицию")</x:f>
        <x:v>Открыть позицию</x:v>
      </x:c>
    </x:row>
    <x:row r="53" ht="28" customHeight="1">
      <x:c r="A53" s="16" t="str">
        <x:v>Приморская ГРЭС</x:v>
      </x:c>
      <x:c r="B53" s="16" t="str">
        <x:v>2000137512-U117</x:v>
      </x:c>
      <x:c r="C53" s="16" t="str">
        <x:v>МУФТА РАЗЪЕМ ПОЛИПРОП SPK 32*1ВР 20БАР</x:v>
      </x:c>
      <x:c r="D53" s="16" t="str">
        <x:v>Строительные материалы прочие</x:v>
      </x:c>
      <x:c r="E53" s="16" t="str">
        <x:v>ШТ</x:v>
      </x:c>
      <x:c r="F53" s="21" t="n">
        <x:v>44</x:v>
      </x:c>
      <x:c r="G53" s="17" t="n">
        <x:v>190.0028</x:v>
      </x:c>
      <x:c r="H53" s="17" t="n">
        <x:f>G53*F53</x:f>
        <x:v>8360.1232</x:v>
      </x:c>
      <x:c r="I53" s="22" t="str">
        <x:f>HYPERLINK("https://etp-aktiv.ru/catalog/materialy/stroitelnye-materialy/2000137512-U117/","Открыть позицию")</x:f>
        <x:v>Открыть позицию</x:v>
      </x:c>
    </x:row>
    <x:row r="54" ht="28" customHeight="1">
      <x:c r="A54" s="16" t="str">
        <x:v>Приморская ГРЭС</x:v>
      </x:c>
      <x:c r="B54" s="16" t="str">
        <x:v>2000137531-U117</x:v>
      </x:c>
      <x:c r="C54" s="16" t="str">
        <x:v>МУФТА РАЗЪЕМ ПОЛИПРОП SPK 32*1НР 20БАР</x:v>
      </x:c>
      <x:c r="D54" s="16" t="str">
        <x:v>Строительные материалы прочие</x:v>
      </x:c>
      <x:c r="E54" s="16" t="str">
        <x:v>ШТ</x:v>
      </x:c>
      <x:c r="F54" s="21" t="n">
        <x:v>44</x:v>
      </x:c>
      <x:c r="G54" s="17" t="n">
        <x:v>190.0028</x:v>
      </x:c>
      <x:c r="H54" s="17" t="n">
        <x:f>G54*F54</x:f>
        <x:v>8360.1232</x:v>
      </x:c>
      <x:c r="I54" s="22" t="str">
        <x:f>HYPERLINK("https://etp-aktiv.ru/catalog/materialy/stroitelnye-materialy/2000137531-U117/","Открыть позицию")</x:f>
        <x:v>Открыть позицию</x:v>
      </x:c>
    </x:row>
    <x:row r="55" ht="28" customHeight="1">
      <x:c r="A55" s="16" t="str">
        <x:v>Приморская ГРЭС</x:v>
      </x:c>
      <x:c r="B55" s="16" t="str">
        <x:v>2000716434-U117</x:v>
      </x:c>
      <x:c r="C55" s="16" t="str">
        <x:v>НАБОР LOCTITE 5070 50ММ*1,8М</x:v>
      </x:c>
      <x:c r="D55" s="16" t="str">
        <x:v>Строительные материалы прочие</x:v>
      </x:c>
      <x:c r="E55" s="16" t="str">
        <x:v>ШТ</x:v>
      </x:c>
      <x:c r="F55" s="21" t="n">
        <x:v>2</x:v>
      </x:c>
      <x:c r="G55" s="17" t="n">
        <x:v>3177.978</x:v>
      </x:c>
      <x:c r="H55" s="17" t="n">
        <x:f>G55*F55</x:f>
        <x:v>6355.956</x:v>
      </x:c>
      <x:c r="I55" s="22" t="str">
        <x:f>HYPERLINK("https://etp-aktiv.ru/catalog/materialy/stroitelnye-materialy/2000716434-U117/","Открыть позицию")</x:f>
        <x:v>Открыть позицию</x:v>
      </x:c>
    </x:row>
    <x:row r="56" ht="28" customHeight="1">
      <x:c r="A56" s="16" t="str">
        <x:v>Приморская ГРЭС</x:v>
      </x:c>
      <x:c r="B56" s="16" t="str">
        <x:v>2000002371-U117</x:v>
      </x:c>
      <x:c r="C56" s="16" t="str">
        <x:v>НАКЛАДКА СЦЕПЛЕНИЯ А59.01.201</x:v>
      </x:c>
      <x:c r="D56" s="16" t="str">
        <x:v>Запасные части к дорожно-строительной технике менее 20тн</x:v>
      </x:c>
      <x:c r="E56" s="16" t="str">
        <x:v>ШТ</x:v>
      </x:c>
      <x:c r="F56" s="21" t="n">
        <x:v>21</x:v>
      </x:c>
      <x:c r="G56" s="17" t="n">
        <x:v>142.3496</x:v>
      </x:c>
      <x:c r="H56" s="17" t="n">
        <x:f>G56*F56</x:f>
        <x:v>2989.3416</x:v>
      </x:c>
      <x:c r="I56" s="22" t="str">
        <x:f>HYPERLINK("https://etp-aktiv.ru/catalog/materialy/zapasnye-chasti-k-dorozhno-stroitelnoj-tekhnike/2000002371-U117/","Открыть позицию")</x:f>
        <x:v>Открыть позицию</x:v>
      </x:c>
    </x:row>
    <x:row r="57" ht="28" customHeight="1">
      <x:c r="A57" s="16" t="str">
        <x:v>Приморская ГРЭС</x:v>
      </x:c>
      <x:c r="B57" s="16" t="str">
        <x:v>2000336078-U117</x:v>
      </x:c>
      <x:c r="C57" s="16" t="str">
        <x:v>ОРГСТЕКЛО ТОСП 40*600*600ММ</x:v>
      </x:c>
      <x:c r="D57" s="16" t="str">
        <x:v>Строительные материалы прочие</x:v>
      </x:c>
      <x:c r="E57" s="16" t="str">
        <x:v>ШТ</x:v>
      </x:c>
      <x:c r="F57" s="21" t="n">
        <x:v>6</x:v>
      </x:c>
      <x:c r="G57" s="17" t="n">
        <x:v>25295.0286</x:v>
      </x:c>
      <x:c r="H57" s="17" t="n">
        <x:f>G57*F57</x:f>
        <x:v>151770.1716</x:v>
      </x:c>
      <x:c r="I57" s="22" t="str">
        <x:f>HYPERLINK("https://etp-aktiv.ru/catalog/materialy/stroitelnye-materialy/2000336078-U117/","Открыть позицию")</x:f>
        <x:v>Открыть позицию</x:v>
      </x:c>
    </x:row>
    <x:row r="58" ht="28" customHeight="1">
      <x:c r="A58" s="16" t="str">
        <x:v>Приморская ГРЭС</x:v>
      </x:c>
      <x:c r="B58" s="16" t="str">
        <x:v>2000610273-U117</x:v>
      </x:c>
      <x:c r="C58" s="16" t="str">
        <x:v>ОТВОДКА С ПОДШИПНИКОМ 50-1601185-А</x:v>
      </x:c>
      <x:c r="D58" s="16" t="str">
        <x:v>Запасные части к дорожно-строительной технике менее 20тн</x:v>
      </x:c>
      <x:c r="E58" s="16" t="str">
        <x:v>ШТ</x:v>
      </x:c>
      <x:c r="F58" s="21" t="n">
        <x:v>2</x:v>
      </x:c>
      <x:c r="G58" s="17" t="n">
        <x:v>1773.4042</x:v>
      </x:c>
      <x:c r="H58" s="17" t="n">
        <x:f>G58*F58</x:f>
        <x:v>3546.8084</x:v>
      </x:c>
      <x:c r="I58" s="22" t="str">
        <x:f>HYPERLINK("https://etp-aktiv.ru/catalog/materialy/zapasnye-chasti-k-dorozhno-stroitelnoj-tekhnike/2000610273-U117/","Открыть позицию")</x:f>
        <x:v>Открыть позицию</x:v>
      </x:c>
    </x:row>
    <x:row r="59" ht="28" customHeight="1">
      <x:c r="A59" s="16" t="str">
        <x:v>Приморская ГРЭС</x:v>
      </x:c>
      <x:c r="B59" s="16" t="str">
        <x:v>2000123411-U117</x:v>
      </x:c>
      <x:c r="C59" s="16" t="str">
        <x:v>ПАРА ПЛУНЖЕРНАЯ 4УТНМ-1111410-02</x:v>
      </x:c>
      <x:c r="D59" s="16" t="str">
        <x:v>Запасные части к дорожно-строительной технике менее 20тн</x:v>
      </x:c>
      <x:c r="E59" s="16" t="str">
        <x:v>ШТ</x:v>
      </x:c>
      <x:c r="F59" s="21" t="n">
        <x:v>78</x:v>
      </x:c>
      <x:c r="G59" s="17" t="n">
        <x:v>910.2664</x:v>
      </x:c>
      <x:c r="H59" s="17" t="n">
        <x:f>G59*F59</x:f>
        <x:v>71000.7792</x:v>
      </x:c>
      <x:c r="I59" s="22" t="str">
        <x:f>HYPERLINK("https://etp-aktiv.ru/catalog/materialy/zapasnye-chasti-k-dorozhno-stroitelnoj-tekhnike/2000123411-U117/","Открыть позицию")</x:f>
        <x:v>Открыть позицию</x:v>
      </x:c>
    </x:row>
    <x:row r="60" ht="28" customHeight="1">
      <x:c r="A60" s="16" t="str">
        <x:v>Приморская ГРЭС</x:v>
      </x:c>
      <x:c r="B60" s="16" t="str">
        <x:v>2000468382-U117</x:v>
      </x:c>
      <x:c r="C60" s="16" t="str">
        <x:v>ПЕСОК ИЗ ОТСЕВА ДРОБЛЕНИЯ 0-10ММ</x:v>
      </x:c>
      <x:c r="D60" s="16" t="str">
        <x:v>Щебень, гравий</x:v>
      </x:c>
      <x:c r="E60" s="16" t="str">
        <x:v>М3</x:v>
      </x:c>
      <x:c r="F60" s="30" t="n">
        <x:v>33.346</x:v>
      </x:c>
      <x:c r="G60" s="17" t="n">
        <x:v>1181.875</x:v>
      </x:c>
      <x:c r="H60" s="17" t="n">
        <x:f>G60*F60</x:f>
        <x:v>39410.80375</x:v>
      </x:c>
      <x:c r="I60" s="22" t="str">
        <x:f>HYPERLINK("https://etp-aktiv.ru/catalog/materialy/stroitelnye-materialy/2000468382-U117/","Открыть позицию")</x:f>
        <x:v>Открыть позицию</x:v>
      </x:c>
    </x:row>
    <x:row r="61" ht="28" customHeight="1">
      <x:c r="A61" s="16" t="str">
        <x:v>Приморская ГРЭС</x:v>
      </x:c>
      <x:c r="B61" s="16" t="str">
        <x:v>2000185601-U117</x:v>
      </x:c>
      <x:c r="C61" s="16" t="str">
        <x:v>ПЕСОК КВАРЦЕВЫЙ 0,5-1ММ</x:v>
      </x:c>
      <x:c r="D61" s="16" t="str">
        <x:v>Щебень, гравий</x:v>
      </x:c>
      <x:c r="E61" s="16" t="str">
        <x:v>КГ</x:v>
      </x:c>
      <x:c r="F61" s="30" t="n">
        <x:v>9921.125</x:v>
      </x:c>
      <x:c r="G61" s="17" t="n">
        <x:v>25.7664</x:v>
      </x:c>
      <x:c r="H61" s="17" t="n">
        <x:f>G61*F61</x:f>
        <x:v>255631.6752</x:v>
      </x:c>
      <x:c r="I61" s="22" t="str">
        <x:f>HYPERLINK("https://etp-aktiv.ru/catalog/materialy/stroitelnye-materialy/2000185601-U117/","Открыть позицию")</x:f>
        <x:v>Открыть позицию</x:v>
      </x:c>
    </x:row>
    <x:row r="62" ht="28" customHeight="1">
      <x:c r="A62" s="16" t="str">
        <x:v>Приморская ГРЭС</x:v>
      </x:c>
      <x:c r="B62" s="16" t="str">
        <x:v>2000124318-U117</x:v>
      </x:c>
      <x:c r="C62" s="16" t="str">
        <x:v>ПЕСОК КВАРЦЕВЫЙ 0,8-1,2ММ</x:v>
      </x:c>
      <x:c r="D62" s="16" t="str">
        <x:v>Щебень, гравий</x:v>
      </x:c>
      <x:c r="E62" s="16" t="str">
        <x:v>Т</x:v>
      </x:c>
      <x:c r="F62" s="30" t="n">
        <x:v>1.02</x:v>
      </x:c>
      <x:c r="G62" s="17" t="n">
        <x:v>30195</x:v>
      </x:c>
      <x:c r="H62" s="17" t="n">
        <x:f>G62*F62</x:f>
        <x:v>30798.9</x:v>
      </x:c>
      <x:c r="I62" s="22" t="str">
        <x:f>HYPERLINK("https://etp-aktiv.ru/catalog/materialy/stroitelnye-materialy/2000124318-U117/","Открыть позицию")</x:f>
        <x:v>Открыть позицию</x:v>
      </x:c>
    </x:row>
    <x:row r="63" ht="28" customHeight="1">
      <x:c r="A63" s="16" t="str">
        <x:v>Приморская ГРЭС</x:v>
      </x:c>
      <x:c r="B63" s="16" t="str">
        <x:v>2000174933-U117</x:v>
      </x:c>
      <x:c r="C63" s="16" t="str">
        <x:v>ПЕСОК КВАРЦЕВЫЙ 0,8-2,0ММ</x:v>
      </x:c>
      <x:c r="D63" s="16" t="str">
        <x:v>Щебень, гравий</x:v>
      </x:c>
      <x:c r="E63" s="16" t="str">
        <x:v>Т</x:v>
      </x:c>
      <x:c r="F63" s="26" t="n">
        <x:v>0.529</x:v>
      </x:c>
      <x:c r="G63" s="17" t="n">
        <x:v>21037.68</x:v>
      </x:c>
      <x:c r="H63" s="17" t="n">
        <x:f>G63*F63</x:f>
        <x:v>11128.93272</x:v>
      </x:c>
      <x:c r="I63" s="22" t="str">
        <x:f>HYPERLINK("https://etp-aktiv.ru/catalog/materialy/stroitelnye-materialy/2000174933-U117/","Открыть позицию")</x:f>
        <x:v>Открыть позицию</x:v>
      </x:c>
    </x:row>
    <x:row r="64" ht="28" customHeight="1">
      <x:c r="A64" s="16" t="str">
        <x:v>Приморская ГРЭС</x:v>
      </x:c>
      <x:c r="B64" s="16" t="str">
        <x:v>2000157221-U117</x:v>
      </x:c>
      <x:c r="C64" s="16" t="str">
        <x:v>ПЕСОК СТРОИТ КЛ2 СРЕДНИЙ</x:v>
      </x:c>
      <x:c r="D64" s="16" t="str">
        <x:v>Щебень, гравий</x:v>
      </x:c>
      <x:c r="E64" s="16" t="str">
        <x:v>М3</x:v>
      </x:c>
      <x:c r="F64" s="30" t="n">
        <x:v>480.155</x:v>
      </x:c>
      <x:c r="G64" s="17" t="n">
        <x:v>1732.1194</x:v>
      </x:c>
      <x:c r="H64" s="17" t="n">
        <x:f>G64*F64</x:f>
        <x:v>831685.7905069999</x:v>
      </x:c>
      <x:c r="I64" s="22" t="str">
        <x:f>HYPERLINK("https://etp-aktiv.ru/catalog/materialy/stroitelnye-materialy/2000157221-U117/","Открыть позицию")</x:f>
        <x:v>Открыть позицию</x:v>
      </x:c>
    </x:row>
    <x:row r="65" ht="28" customHeight="1">
      <x:c r="A65" s="16" t="str">
        <x:v>Приморская ГРЭС</x:v>
      </x:c>
      <x:c r="B65" s="16" t="str">
        <x:v>2000440382-U117</x:v>
      </x:c>
      <x:c r="C65" s="16" t="str">
        <x:v>ПИЛОМАТЕРИАЛ ОБРЕЗ ЕЛЬ 1СОРТ 25*150*4000</x:v>
      </x:c>
      <x:c r="D65" s="16" t="str">
        <x:v>Пиломатериал</x:v>
      </x:c>
      <x:c r="E65" s="16" t="str">
        <x:v>М3</x:v>
      </x:c>
      <x:c r="F65" s="26" t="n">
        <x:v>0.03</x:v>
      </x:c>
      <x:c r="G65" s="17" t="n">
        <x:v>84631.095</x:v>
      </x:c>
      <x:c r="H65" s="17" t="n">
        <x:f>G65*F65</x:f>
        <x:v>2538.93285</x:v>
      </x:c>
      <x:c r="I65" s="22" t="str">
        <x:f>HYPERLINK("https://etp-aktiv.ru/catalog/materialy/stroitelnye-materialy/2000440382-U117/","Открыть позицию")</x:f>
        <x:v>Открыть позицию</x:v>
      </x:c>
    </x:row>
    <x:row r="66" ht="28" customHeight="1">
      <x:c r="A66" s="16" t="str">
        <x:v>Приморская ГРЭС</x:v>
      </x:c>
      <x:c r="B66" s="16" t="str">
        <x:v>2000566405-U117</x:v>
      </x:c>
      <x:c r="C66" s="16" t="str">
        <x:v>ПЛАНКА СМЕСИТЕЛЯ SPK 20ММ 2085М1-025020</x:v>
      </x:c>
      <x:c r="D66" s="16" t="str">
        <x:v>Строительные материалы прочие</x:v>
      </x:c>
      <x:c r="E66" s="16" t="str">
        <x:v>ШТ</x:v>
      </x:c>
      <x:c r="F66" s="21" t="n">
        <x:v>60</x:v>
      </x:c>
      <x:c r="G66" s="17" t="n">
        <x:v>99.125</x:v>
      </x:c>
      <x:c r="H66" s="17" t="n">
        <x:f>G66*F66</x:f>
        <x:v>5947.5</x:v>
      </x:c>
      <x:c r="I66" s="22" t="str">
        <x:f>HYPERLINK("https://etp-aktiv.ru/catalog/materialy/stroitelnye-materialy/2000566405-U117/","Открыть позицию")</x:f>
        <x:v>Открыть позицию</x:v>
      </x:c>
    </x:row>
    <x:row r="67" ht="28" customHeight="1">
      <x:c r="A67" s="16" t="str">
        <x:v>Приморская ГРЭС</x:v>
      </x:c>
      <x:c r="B67" s="16" t="str">
        <x:v>2000715859-U117</x:v>
      </x:c>
      <x:c r="C67" s="16" t="str">
        <x:v>ПЛИТА П9 3488.20-АС2.1.И-П9</x:v>
      </x:c>
      <x:c r="D67" s="16" t="str">
        <x:v>Железобетонные изделия</x:v>
      </x:c>
      <x:c r="E67" s="16" t="str">
        <x:v>ШТ</x:v>
      </x:c>
      <x:c r="F67" s="21" t="n">
        <x:v>11</x:v>
      </x:c>
      <x:c r="G67" s="17" t="n">
        <x:v>10522.5</x:v>
      </x:c>
      <x:c r="H67" s="17" t="n">
        <x:f>G67*F67</x:f>
        <x:v>115747.5</x:v>
      </x:c>
      <x:c r="I67" s="22" t="str">
        <x:f>HYPERLINK("https://etp-aktiv.ru/catalog/materialy/stroitelnye-materialy/2000715859-U117/","Открыть позицию")</x:f>
        <x:v>Открыть позицию</x:v>
      </x:c>
    </x:row>
    <x:row r="68" ht="28" customHeight="1">
      <x:c r="A68" s="16" t="str">
        <x:v>Приморская ГРЭС</x:v>
      </x:c>
      <x:c r="B68" s="16" t="str">
        <x:v>2000901203-U117</x:v>
      </x:c>
      <x:c r="C68" s="16" t="str">
        <x:v>ПОДВОДКА EQUATION 13659306 1/2" 150СМ</x:v>
      </x:c>
      <x:c r="D68" s="16" t="str">
        <x:v>Строительные материалы прочие</x:v>
      </x:c>
      <x:c r="E68" s="16" t="str">
        <x:v>ШТ</x:v>
      </x:c>
      <x:c r="F68" s="21" t="n">
        <x:v>1</x:v>
      </x:c>
      <x:c r="G68" s="17" t="n">
        <x:v>139.50699999999998</x:v>
      </x:c>
      <x:c r="H68" s="17" t="n">
        <x:f>G68*F68</x:f>
        <x:v>139.50699999999998</x:v>
      </x:c>
      <x:c r="I68" s="22" t="str">
        <x:f>HYPERLINK("https://etp-aktiv.ru/catalog/materialy/stroitelnye-materialy/2000901203-U117/","Открыть позицию")</x:f>
        <x:v>Открыть позицию</x:v>
      </x:c>
    </x:row>
    <x:row r="69" ht="28" customHeight="1">
      <x:c r="A69" s="16" t="str">
        <x:v>Приморская ГРЭС</x:v>
      </x:c>
      <x:c r="B69" s="16" t="str">
        <x:v>5000070820-U117</x:v>
      </x:c>
      <x:c r="C69" s="16" t="str">
        <x:v>ПОДМОСТИ МОБИЛЬНЫЕ KRAUSE ROLLTEC 710307</x:v>
      </x:c>
      <x:c r="D69" s="16" t="str">
        <x:v>Строительно-отделочное оборудование</x:v>
      </x:c>
      <x:c r="E69" s="16" t="str">
        <x:v>ШТ</x:v>
      </x:c>
      <x:c r="F69" s="21" t="n">
        <x:v>1</x:v>
      </x:c>
      <x:c r="G69" s="17" t="n">
        <x:v>5497.2834</x:v>
      </x:c>
      <x:c r="H69" s="17" t="n">
        <x:f>G69*F69</x:f>
        <x:v>5497.2834</x:v>
      </x:c>
      <x:c r="I69" s="22" t="str">
        <x:f>HYPERLINK("https://etp-aktiv.ru/catalog/materialy/hozyajstvennye-tovary-i-inventar/5000070820-U117/","Открыть позицию")</x:f>
        <x:v>Открыть позицию</x:v>
      </x:c>
    </x:row>
    <x:row r="70" ht="28" customHeight="1">
      <x:c r="A70" s="16" t="str">
        <x:v>Приморская ГРЭС</x:v>
      </x:c>
      <x:c r="B70" s="16" t="str">
        <x:v>2000308271-U117</x:v>
      </x:c>
      <x:c r="C70" s="16" t="str">
        <x:v>ПОЛУКОЛЬЦО А23.01-10403</x:v>
      </x:c>
      <x:c r="D70" s="16" t="str">
        <x:v>Запасные части к дорожно-строительной технике менее 20тн</x:v>
      </x:c>
      <x:c r="E70" s="16" t="str">
        <x:v>ШТ</x:v>
      </x:c>
      <x:c r="F70" s="21" t="n">
        <x:v>2</x:v>
      </x:c>
      <x:c r="G70" s="17" t="n">
        <x:v>193.91899999999998</x:v>
      </x:c>
      <x:c r="H70" s="17" t="n">
        <x:f>G70*F70</x:f>
        <x:v>387.83799999999997</x:v>
      </x:c>
      <x:c r="I70" s="22" t="str">
        <x:f>HYPERLINK("https://etp-aktiv.ru/catalog/materialy/zapasnye-chasti-k-dorozhno-stroitelnoj-tekhnike/2000308271-U117/","Открыть позицию")</x:f>
        <x:v>Открыть позицию</x:v>
      </x:c>
    </x:row>
    <x:row r="71" ht="28" customHeight="1">
      <x:c r="A71" s="16" t="str">
        <x:v>Приморская ГРЭС</x:v>
      </x:c>
      <x:c r="B71" s="16" t="str">
        <x:v>2000544217-U117</x:v>
      </x:c>
      <x:c r="C71" s="16" t="str">
        <x:v>ПОРОШОК АБР КУПЕРШЛАК 0,5-3,0 ТУ3989-003</x:v>
      </x:c>
      <x:c r="D71" s="16" t="str">
        <x:v>Щебень, гравий</x:v>
      </x:c>
      <x:c r="E71" s="16" t="str">
        <x:v>Т</x:v>
      </x:c>
      <x:c r="F71" s="30" t="n">
        <x:v>27.997</x:v>
      </x:c>
      <x:c r="G71" s="17" t="n">
        <x:v>3186.6766000000002</x:v>
      </x:c>
      <x:c r="H71" s="17" t="n">
        <x:f>G71*F71</x:f>
        <x:v>89217.3847702</x:v>
      </x:c>
      <x:c r="I71" s="22" t="str">
        <x:f>HYPERLINK("https://etp-aktiv.ru/catalog/materialy/stroitelnye-materialy/2000544217-U117/","Открыть позицию")</x:f>
        <x:v>Открыть позицию</x:v>
      </x:c>
    </x:row>
    <x:row r="72" ht="28" customHeight="1">
      <x:c r="A72" s="16" t="str">
        <x:v>Приморская ГРЭС</x:v>
      </x:c>
      <x:c r="B72" s="16" t="str">
        <x:v>2000035188-U117</x:v>
      </x:c>
      <x:c r="C72" s="16" t="str">
        <x:v>ПОРТЛАНДЦЕМЕНТ М500-Д20</x:v>
      </x:c>
      <x:c r="D72" s="16" t="str">
        <x:v>Цемент, бетон и раствор</x:v>
      </x:c>
      <x:c r="E72" s="16" t="str">
        <x:v>Т</x:v>
      </x:c>
      <x:c r="F72" s="30" t="n">
        <x:v>3.694</x:v>
      </x:c>
      <x:c r="G72" s="17" t="n">
        <x:v>8379.8018</x:v>
      </x:c>
      <x:c r="H72" s="17" t="n">
        <x:f>G72*F72</x:f>
        <x:v>30954.987849199995</x:v>
      </x:c>
      <x:c r="I72" s="22" t="str">
        <x:f>HYPERLINK("https://etp-aktiv.ru/catalog/materialy/stroitelnye-materialy/2000035188-U117/","Открыть позицию")</x:f>
        <x:v>Открыть позицию</x:v>
      </x:c>
    </x:row>
    <x:row r="73" ht="28" customHeight="1">
      <x:c r="A73" s="16" t="str">
        <x:v>Приморская ГРЭС</x:v>
      </x:c>
      <x:c r="B73" s="16" t="str">
        <x:v>2000499764-U117</x:v>
      </x:c>
      <x:c r="C73" s="16" t="str">
        <x:v>ПОРТЛАНДЦЕМЕНТ ПЦ 400 Д20</x:v>
      </x:c>
      <x:c r="D73" s="16" t="str">
        <x:v>Цемент, бетон и раствор</x:v>
      </x:c>
      <x:c r="E73" s="16" t="str">
        <x:v>Т</x:v>
      </x:c>
      <x:c r="F73" s="26" t="n">
        <x:v>0.319</x:v>
      </x:c>
      <x:c r="G73" s="17" t="n">
        <x:v>7618.7658</x:v>
      </x:c>
      <x:c r="H73" s="17" t="n">
        <x:f>G73*F73</x:f>
        <x:v>2430.3862902</x:v>
      </x:c>
      <x:c r="I73" s="22" t="str">
        <x:f>HYPERLINK("https://etp-aktiv.ru/catalog/materialy/stroitelnye-materialy/2000499764-U117/","Открыть позицию")</x:f>
        <x:v>Открыть позицию</x:v>
      </x:c>
    </x:row>
    <x:row r="74" ht="28" customHeight="1">
      <x:c r="A74" s="16" t="str">
        <x:v>Приморская ГРЭС</x:v>
      </x:c>
      <x:c r="B74" s="16" t="str">
        <x:v>2000236142-U117</x:v>
      </x:c>
      <x:c r="C74" s="16" t="str">
        <x:v>ПРЕОБРАЗОВАТЕЛЬ РЖАВЧИНЫ HOTEX-K</x:v>
      </x:c>
      <x:c r="D74" s="16" t="str">
        <x:v>Строительные материалы прочие</x:v>
      </x:c>
      <x:c r="E74" s="16" t="str">
        <x:v>КГ</x:v>
      </x:c>
      <x:c r="F74" s="30" t="n">
        <x:v>39.67</x:v>
      </x:c>
      <x:c r="G74" s="17" t="n">
        <x:v>1052.2866</x:v>
      </x:c>
      <x:c r="H74" s="17" t="n">
        <x:f>G74*F74</x:f>
        <x:v>41744.209422</x:v>
      </x:c>
      <x:c r="I74" s="22" t="str">
        <x:f>HYPERLINK("https://etp-aktiv.ru/catalog/materialy/stroitelnye-materialy/2000236142-U117/","Открыть позицию")</x:f>
        <x:v>Открыть позицию</x:v>
      </x:c>
    </x:row>
    <x:row r="75" ht="28" customHeight="1">
      <x:c r="A75" s="16" t="str">
        <x:v>Приморская ГРЭС</x:v>
      </x:c>
      <x:c r="B75" s="16" t="str">
        <x:v>2000716226-U117</x:v>
      </x:c>
      <x:c r="C75" s="16" t="str">
        <x:v>ПРЕРЫВАТЕЛЬ УКАЗАТЕЛЯ РС410В-3726010</x:v>
      </x:c>
      <x:c r="D75" s="16" t="str">
        <x:v>Запасные части к дорожно-строительной технике менее 20тн</x:v>
      </x:c>
      <x:c r="E75" s="16" t="str">
        <x:v>ШТ</x:v>
      </x:c>
      <x:c r="F75" s="21" t="n">
        <x:v>1</x:v>
      </x:c>
      <x:c r="G75" s="17" t="n">
        <x:v>197.07879999999997</x:v>
      </x:c>
      <x:c r="H75" s="17" t="n">
        <x:f>G75*F75</x:f>
        <x:v>197.07879999999997</x:v>
      </x:c>
      <x:c r="I75" s="22" t="str">
        <x:f>HYPERLINK("https://etp-aktiv.ru/catalog/materialy/zapasnye-chasti-k-dorozhno-stroitelnoj-tekhnike/2000716226-U117/","Открыть позицию")</x:f>
        <x:v>Открыть позицию</x:v>
      </x:c>
    </x:row>
    <x:row r="76" ht="28" customHeight="1">
      <x:c r="A76" s="16" t="str">
        <x:v>Приморская ГРЭС</x:v>
      </x:c>
      <x:c r="B76" s="16" t="str">
        <x:v>2000716227-U117</x:v>
      </x:c>
      <x:c r="C76" s="16" t="str">
        <x:v>ПРИВОД ВЕНТИЛЯТОРА 850.1308011</x:v>
      </x:c>
      <x:c r="D76" s="16" t="str">
        <x:v>Запасные части к дорожно-строительной технике менее 20тн</x:v>
      </x:c>
      <x:c r="E76" s="16" t="str">
        <x:v>ШТ</x:v>
      </x:c>
      <x:c r="F76" s="21" t="n">
        <x:v>1</x:v>
      </x:c>
      <x:c r="G76" s="17" t="n">
        <x:v>32482.048600000002</x:v>
      </x:c>
      <x:c r="H76" s="17" t="n">
        <x:f>G76*F76</x:f>
        <x:v>32482.048600000002</x:v>
      </x:c>
      <x:c r="I76" s="22" t="str">
        <x:f>HYPERLINK("https://etp-aktiv.ru/catalog/materialy/zapasnye-chasti-k-dorozhno-stroitelnoj-tekhnike/2000716227-U117/","Открыть позицию")</x:f>
        <x:v>Открыть позицию</x:v>
      </x:c>
    </x:row>
    <x:row r="77" ht="28" customHeight="1">
      <x:c r="A77" s="16" t="str">
        <x:v>Приморская ГРЭС</x:v>
      </x:c>
      <x:c r="B77" s="16" t="str">
        <x:v>2000780164-U117</x:v>
      </x:c>
      <x:c r="C77" s="16" t="str">
        <x:v>ПРИСПОСОБЛЕНИЕ НАТЯЖНОЕ 840.1307155 СБ</x:v>
      </x:c>
      <x:c r="D77" s="16" t="str">
        <x:v>Запасные части к дорожно-строительной технике менее 20тн</x:v>
      </x:c>
      <x:c r="E77" s="16" t="str">
        <x:v>ШТ</x:v>
      </x:c>
      <x:c r="F77" s="21" t="n">
        <x:v>1</x:v>
      </x:c>
      <x:c r="G77" s="17" t="n">
        <x:v>4849.5</x:v>
      </x:c>
      <x:c r="H77" s="17" t="n">
        <x:f>G77*F77</x:f>
        <x:v>4849.5</x:v>
      </x:c>
      <x:c r="I77" s="22" t="str">
        <x:f>HYPERLINK("https://etp-aktiv.ru/catalog/materialy/zapasnye-chasti-k-dorozhno-stroitelnoj-tekhnike/2000780164-U117/","Открыть позицию")</x:f>
        <x:v>Открыть позицию</x:v>
      </x:c>
    </x:row>
    <x:row r="78" ht="28" customHeight="1">
      <x:c r="A78" s="16" t="str">
        <x:v>Приморская ГРЭС</x:v>
      </x:c>
      <x:c r="B78" s="16" t="str">
        <x:v>2000035911-U117</x:v>
      </x:c>
      <x:c r="C78" s="16" t="str">
        <x:v>ПРОКЛАДКА 238Ф-1008027</x:v>
      </x:c>
      <x:c r="D78" s="16" t="str">
        <x:v>Запасные части к дорожно-строительной технике менее 20тн</x:v>
      </x:c>
      <x:c r="E78" s="16" t="str">
        <x:v>ШТ</x:v>
      </x:c>
      <x:c r="F78" s="21" t="n">
        <x:v>3</x:v>
      </x:c>
      <x:c r="G78" s="17" t="n">
        <x:v>27.45</x:v>
      </x:c>
      <x:c r="H78" s="17" t="n">
        <x:f>G78*F78</x:f>
        <x:v>82.35</x:v>
      </x:c>
      <x:c r="I78" s="22" t="str">
        <x:f>HYPERLINK("https://etp-aktiv.ru/catalog/materialy/zapasnye-chasti-k-dorozhno-stroitelnoj-tekhnike/2000035911-U117/","Открыть позицию")</x:f>
        <x:v>Открыть позицию</x:v>
      </x:c>
    </x:row>
    <x:row r="79" ht="28" customHeight="1">
      <x:c r="A79" s="16" t="str">
        <x:v>Приморская ГРЭС</x:v>
      </x:c>
      <x:c r="B79" s="16" t="str">
        <x:v>2000510983-U117</x:v>
      </x:c>
      <x:c r="C79" s="16" t="str">
        <x:v>РЕЙКА ПОЛОВАЯ 35*4000</x:v>
      </x:c>
      <x:c r="D79" s="16" t="str">
        <x:v>Изделия из древесины</x:v>
      </x:c>
      <x:c r="E79" s="16" t="str">
        <x:v>М3</x:v>
      </x:c>
      <x:c r="F79" s="26" t="n">
        <x:v>0.145</x:v>
      </x:c>
      <x:c r="G79" s="17" t="n">
        <x:v>6482.3602</x:v>
      </x:c>
      <x:c r="H79" s="17" t="n">
        <x:f>G79*F79</x:f>
        <x:v>939.942229</x:v>
      </x:c>
      <x:c r="I79" s="22" t="str">
        <x:f>HYPERLINK("https://etp-aktiv.ru/catalog/materialy/stroitelnye-materialy/2000510983-U117/","Открыть позицию")</x:f>
        <x:v>Открыть позицию</x:v>
      </x:c>
    </x:row>
    <x:row r="80" ht="28" customHeight="1">
      <x:c r="A80" s="16" t="str">
        <x:v>Приморская ГРЭС</x:v>
      </x:c>
      <x:c r="B80" s="16" t="str">
        <x:v>2000037711-U117</x:v>
      </x:c>
      <x:c r="C80" s="16" t="str">
        <x:v>РЕЛЕ ВТЯГИВАЮЩЕЕ 3708800</x:v>
      </x:c>
      <x:c r="D80" s="16" t="str">
        <x:v>Запасные части к дорожно-строительной технике менее 20тн</x:v>
      </x:c>
      <x:c r="E80" s="16" t="str">
        <x:v>ШТ</x:v>
      </x:c>
      <x:c r="F80" s="21" t="n">
        <x:v>1</x:v>
      </x:c>
      <x:c r="G80" s="17" t="n">
        <x:v>4936.1322</x:v>
      </x:c>
      <x:c r="H80" s="17" t="n">
        <x:f>G80*F80</x:f>
        <x:v>4936.1322</x:v>
      </x:c>
      <x:c r="I80" s="22" t="str">
        <x:f>HYPERLINK("https://etp-aktiv.ru/catalog/materialy/zapasnye-chasti-k-dorozhno-stroitelnoj-tekhnike/2000037711-U117/","Открыть позицию")</x:f>
        <x:v>Открыть позицию</x:v>
      </x:c>
    </x:row>
    <x:row r="81" ht="28" customHeight="1">
      <x:c r="A81" s="16" t="str">
        <x:v>Приморская ГРЭС</x:v>
      </x:c>
      <x:c r="B81" s="16" t="str">
        <x:v>2000586301-U117</x:v>
      </x:c>
      <x:c r="C81" s="16" t="str">
        <x:v>РОЛИК ПОДДЕРЖИВАЮЩИЙ 593-14-0009</x:v>
      </x:c>
      <x:c r="D81" s="16" t="str">
        <x:v>Запасные части к дорожно-строительной технике</x:v>
      </x:c>
      <x:c r="E81" s="16" t="str">
        <x:v>ШТ</x:v>
      </x:c>
      <x:c r="F81" s="21" t="n">
        <x:v>12</x:v>
      </x:c>
      <x:c r="G81" s="17" t="n">
        <x:v>18732.5632</x:v>
      </x:c>
      <x:c r="H81" s="17" t="n">
        <x:f>G81*F81</x:f>
        <x:v>224790.7584</x:v>
      </x:c>
      <x:c r="I81" s="22" t="str">
        <x:f>HYPERLINK("https://etp-aktiv.ru/catalog/materialy/zapasnye-chasti-k-dorozhno-stroitelnoj-tekhnike/2000586301-U117/","Открыть позицию")</x:f>
        <x:v>Открыть позицию</x:v>
      </x:c>
    </x:row>
    <x:row r="82" ht="28" customHeight="1">
      <x:c r="A82" s="16" t="str">
        <x:v>Приморская ГРЭС</x:v>
      </x:c>
      <x:c r="B82" s="16" t="str">
        <x:v>2000372665-U117</x:v>
      </x:c>
      <x:c r="C82" s="16" t="str">
        <x:v>СВАРКА ХОЛОДНАЯ HOMAKOLL S 401</x:v>
      </x:c>
      <x:c r="D82" s="16" t="str">
        <x:v>Строительные материалы прочие</x:v>
      </x:c>
      <x:c r="E82" s="16" t="str">
        <x:v>ШТ</x:v>
      </x:c>
      <x:c r="F82" s="21" t="n">
        <x:v>3</x:v>
      </x:c>
      <x:c r="G82" s="17" t="n">
        <x:v>497.455</x:v>
      </x:c>
      <x:c r="H82" s="17" t="n">
        <x:f>G82*F82</x:f>
        <x:v>1492.365</x:v>
      </x:c>
      <x:c r="I82" s="22" t="str">
        <x:f>HYPERLINK("https://etp-aktiv.ru/catalog/materialy/stroitelnye-materialy/2000372665-U117/","Открыть позицию")</x:f>
        <x:v>Открыть позицию</x:v>
      </x:c>
    </x:row>
    <x:row r="83" ht="28" customHeight="1">
      <x:c r="A83" s="16" t="str">
        <x:v>Приморская ГРЭС</x:v>
      </x:c>
      <x:c r="B83" s="16" t="str">
        <x:v>2000088552-U117</x:v>
      </x:c>
      <x:c r="C83" s="16" t="str">
        <x:v>СМЕСИТЕЛЬ 114020</x:v>
      </x:c>
      <x:c r="D83" s="16" t="str">
        <x:v>Строительные материалы прочие</x:v>
      </x:c>
      <x:c r="E83" s="16" t="str">
        <x:v>ШТ</x:v>
      </x:c>
      <x:c r="F83" s="21" t="n">
        <x:v>2</x:v>
      </x:c>
      <x:c r="G83" s="17" t="n">
        <x:v>616.8808</x:v>
      </x:c>
      <x:c r="H83" s="17" t="n">
        <x:f>G83*F83</x:f>
        <x:v>1233.7616</x:v>
      </x:c>
      <x:c r="I83" s="22" t="str">
        <x:f>HYPERLINK("https://etp-aktiv.ru/catalog/materialy/stroitelnye-materialy/2000088552-U117/","Открыть позицию")</x:f>
        <x:v>Открыть позицию</x:v>
      </x:c>
    </x:row>
    <x:row r="84" ht="28" customHeight="1">
      <x:c r="A84" s="16" t="str">
        <x:v>Приморская ГРЭС</x:v>
      </x:c>
      <x:c r="B84" s="16" t="str">
        <x:v>2000325188-U117</x:v>
      </x:c>
      <x:c r="C84" s="16" t="str">
        <x:v>СМЕСИТЕЛЬ Д/УМЫВ CALORIE 1023А02</x:v>
      </x:c>
      <x:c r="D84" s="16" t="str">
        <x:v>Строительные материалы прочие</x:v>
      </x:c>
      <x:c r="E84" s="16" t="str">
        <x:v>ШТ</x:v>
      </x:c>
      <x:c r="F84" s="21" t="n">
        <x:v>10</x:v>
      </x:c>
      <x:c r="G84" s="17" t="n">
        <x:v>606.9744</x:v>
      </x:c>
      <x:c r="H84" s="17" t="n">
        <x:f>G84*F84</x:f>
        <x:v>6069.744</x:v>
      </x:c>
      <x:c r="I84" s="22" t="str">
        <x:f>HYPERLINK("https://etp-aktiv.ru/catalog/materialy/stroitelnye-materialy/2000325188-U117/","Открыть позицию")</x:f>
        <x:v>Открыть позицию</x:v>
      </x:c>
    </x:row>
    <x:row r="85" ht="28" customHeight="1">
      <x:c r="A85" s="16" t="str">
        <x:v>Приморская ГРЭС</x:v>
      </x:c>
      <x:c r="B85" s="16" t="str">
        <x:v>2000233819-U117</x:v>
      </x:c>
      <x:c r="C85" s="16" t="str">
        <x:v>СМЕСИТЕЛЬ Д/УМЫВ KONNER ORTA 7002855</x:v>
      </x:c>
      <x:c r="D85" s="16" t="str">
        <x:v>Строительные материалы прочие</x:v>
      </x:c>
      <x:c r="E85" s="16" t="str">
        <x:v>ШТ</x:v>
      </x:c>
      <x:c r="F85" s="21" t="n">
        <x:v>2</x:v>
      </x:c>
      <x:c r="G85" s="17" t="n">
        <x:v>618.9426</x:v>
      </x:c>
      <x:c r="H85" s="17" t="n">
        <x:f>G85*F85</x:f>
        <x:v>1237.8852</x:v>
      </x:c>
      <x:c r="I85" s="22" t="str">
        <x:f>HYPERLINK("https://etp-aktiv.ru/catalog/materialy/stroitelnye-materialy/2000233819-U117/","Открыть позицию")</x:f>
        <x:v>Открыть позицию</x:v>
      </x:c>
    </x:row>
    <x:row r="86" ht="28" customHeight="1">
      <x:c r="A86" s="16" t="str">
        <x:v>Приморская ГРЭС</x:v>
      </x:c>
      <x:c r="B86" s="16" t="str">
        <x:v>2000126440-U117</x:v>
      </x:c>
      <x:c r="C86" s="16" t="str">
        <x:v>СМЕСИТЕЛЬ ДУШЕВОЙ КСМ-76</x:v>
      </x:c>
      <x:c r="D86" s="16" t="str">
        <x:v>Строительные материалы прочие</x:v>
      </x:c>
      <x:c r="E86" s="16" t="str">
        <x:v>ШТ</x:v>
      </x:c>
      <x:c r="F86" s="21" t="n">
        <x:v>4</x:v>
      </x:c>
      <x:c r="G86" s="17" t="n">
        <x:v>2187.3014</x:v>
      </x:c>
      <x:c r="H86" s="17" t="n">
        <x:f>G86*F86</x:f>
        <x:v>8749.2056</x:v>
      </x:c>
      <x:c r="I86" s="22" t="str">
        <x:f>HYPERLINK("https://etp-aktiv.ru/catalog/materialy/stroitelnye-materialy/2000126440-U117/","Открыть позицию")</x:f>
        <x:v>Открыть позицию</x:v>
      </x:c>
    </x:row>
    <x:row r="87" ht="28" customHeight="1">
      <x:c r="A87" s="16" t="str">
        <x:v>Приморская ГРЭС</x:v>
      </x:c>
      <x:c r="B87" s="16" t="str">
        <x:v>2000460918-U117</x:v>
      </x:c>
      <x:c r="C87" s="16" t="str">
        <x:v>СТЕКЛО ЗАДНЕЕ 80-6708211-А</x:v>
      </x:c>
      <x:c r="D87" s="16" t="str">
        <x:v>Запасные части к дорожно-строительной технике менее 20тн</x:v>
      </x:c>
      <x:c r="E87" s="16" t="str">
        <x:v>ШТ</x:v>
      </x:c>
      <x:c r="F87" s="21" t="n">
        <x:v>1</x:v>
      </x:c>
      <x:c r="G87" s="17" t="n">
        <x:v>1410.0516</x:v>
      </x:c>
      <x:c r="H87" s="17" t="n">
        <x:f>G87*F87</x:f>
        <x:v>1410.0516</x:v>
      </x:c>
      <x:c r="I87" s="22" t="str">
        <x:f>HYPERLINK("https://etp-aktiv.ru/catalog/materialy/zapasnye-chasti-k-dorozhno-stroitelnoj-tekhnike/2000460918-U117/","Открыть позицию")</x:f>
        <x:v>Открыть позицию</x:v>
      </x:c>
    </x:row>
    <x:row r="88" ht="28" customHeight="1">
      <x:c r="A88" s="16" t="str">
        <x:v>Приморская ГРЭС</x:v>
      </x:c>
      <x:c r="B88" s="16" t="str">
        <x:v>2000059174-U117</x:v>
      </x:c>
      <x:c r="C88" s="16" t="str">
        <x:v>ТЕЛЕЖКА ЛЕВАЯ 2501-21-4 СБ</x:v>
      </x:c>
      <x:c r="D88" s="16" t="str">
        <x:v>Запасные части к дорожно-строительной технике</x:v>
      </x:c>
      <x:c r="E88" s="16" t="str">
        <x:v>ШТ</x:v>
      </x:c>
      <x:c r="F88" s="21" t="n">
        <x:v>1</x:v>
      </x:c>
      <x:c r="G88" s="17" t="n">
        <x:v>406174.2218</x:v>
      </x:c>
      <x:c r="H88" s="17" t="n">
        <x:f>G88*F88</x:f>
        <x:v>406174.2218</x:v>
      </x:c>
      <x:c r="I88" s="22" t="str">
        <x:f>HYPERLINK("https://etp-aktiv.ru/catalog/materialy/zapasnye-chasti-k-dorozhno-stroitelnoj-tekhnike/2000059174-U117/","Открыть позицию")</x:f>
        <x:v>Открыть позицию</x:v>
      </x:c>
    </x:row>
    <x:row r="89" ht="28" customHeight="1">
      <x:c r="A89" s="16" t="str">
        <x:v>Приморская ГРЭС</x:v>
      </x:c>
      <x:c r="B89" s="16" t="str">
        <x:v>2000059173-U117</x:v>
      </x:c>
      <x:c r="C89" s="16" t="str">
        <x:v>ТЕЛЕЖКА ПРАВАЯ 2501-21-3 СБ</x:v>
      </x:c>
      <x:c r="D89" s="16" t="str">
        <x:v>Запасные части к дорожно-строительной технике</x:v>
      </x:c>
      <x:c r="E89" s="16" t="str">
        <x:v>ШТ</x:v>
      </x:c>
      <x:c r="F89" s="21" t="n">
        <x:v>1</x:v>
      </x:c>
      <x:c r="G89" s="17" t="n">
        <x:v>406174.2218</x:v>
      </x:c>
      <x:c r="H89" s="17" t="n">
        <x:f>G89*F89</x:f>
        <x:v>406174.2218</x:v>
      </x:c>
      <x:c r="I89" s="22" t="str">
        <x:f>HYPERLINK("https://etp-aktiv.ru/catalog/materialy/zapasnye-chasti-k-dorozhno-stroitelnoj-tekhnike/2000059173-U117/","Открыть позицию")</x:f>
        <x:v>Открыть позицию</x:v>
      </x:c>
    </x:row>
    <x:row r="90" ht="28" customHeight="1">
      <x:c r="A90" s="16" t="str">
        <x:v>Приморская ГРЭС</x:v>
      </x:c>
      <x:c r="B90" s="16" t="str">
        <x:v>2000221128-U117</x:v>
      </x:c>
      <x:c r="C90" s="16" t="str">
        <x:v>ТРОЙНИК PPRC 25*25*25 PN20</x:v>
      </x:c>
      <x:c r="D90" s="16" t="str">
        <x:v>Строительные материалы прочие</x:v>
      </x:c>
      <x:c r="E90" s="16" t="str">
        <x:v>ШТ</x:v>
      </x:c>
      <x:c r="F90" s="21" t="n">
        <x:v>4</x:v>
      </x:c>
      <x:c r="G90" s="17" t="n">
        <x:v>11.346</x:v>
      </x:c>
      <x:c r="H90" s="17" t="n">
        <x:f>G90*F90</x:f>
        <x:v>45.384</x:v>
      </x:c>
      <x:c r="I90" s="22" t="str">
        <x:f>HYPERLINK("https://etp-aktiv.ru/catalog/materialy/stroitelnye-materialy/2000221128-U117/","Открыть позицию")</x:f>
        <x:v>Открыть позицию</x:v>
      </x:c>
    </x:row>
    <x:row r="91" ht="28" customHeight="1">
      <x:c r="A91" s="16" t="str">
        <x:v>Приморская ГРЭС</x:v>
      </x:c>
      <x:c r="B91" s="16" t="str">
        <x:v>2000255508-U117</x:v>
      </x:c>
      <x:c r="C91" s="16" t="str">
        <x:v>ТРОЙНИК PPRC 32*32*32 PN16</x:v>
      </x:c>
      <x:c r="D91" s="16" t="str">
        <x:v>Строительные материалы прочие</x:v>
      </x:c>
      <x:c r="E91" s="16" t="str">
        <x:v>ШТ</x:v>
      </x:c>
      <x:c r="F91" s="21" t="n">
        <x:v>66</x:v>
      </x:c>
      <x:c r="G91" s="17" t="n">
        <x:v>12.614799999999999</x:v>
      </x:c>
      <x:c r="H91" s="17" t="n">
        <x:f>G91*F91</x:f>
        <x:v>832.5767999999999</x:v>
      </x:c>
      <x:c r="I91" s="22" t="str">
        <x:f>HYPERLINK("https://etp-aktiv.ru/catalog/materialy/stroitelnye-materialy/2000255508-U117/","Открыть позицию")</x:f>
        <x:v>Открыть позицию</x:v>
      </x:c>
    </x:row>
    <x:row r="92" ht="28" customHeight="1">
      <x:c r="A92" s="16" t="str">
        <x:v>Приморская ГРЭС</x:v>
      </x:c>
      <x:c r="B92" s="16" t="str">
        <x:v>2000255384-U117</x:v>
      </x:c>
      <x:c r="C92" s="16" t="str">
        <x:v>ТРОЙНИК PPRC 50*50*50 PN16</x:v>
      </x:c>
      <x:c r="D92" s="16" t="str">
        <x:v>Строительные материалы прочие</x:v>
      </x:c>
      <x:c r="E92" s="16" t="str">
        <x:v>ШТ</x:v>
      </x:c>
      <x:c r="F92" s="21" t="n">
        <x:v>8</x:v>
      </x:c>
      <x:c r="G92" s="17" t="n">
        <x:v>65.88</x:v>
      </x:c>
      <x:c r="H92" s="17" t="n">
        <x:f>G92*F92</x:f>
        <x:v>527.04</x:v>
      </x:c>
      <x:c r="I92" s="22" t="str">
        <x:f>HYPERLINK("https://etp-aktiv.ru/catalog/materialy/stroitelnye-materialy/2000255384-U117/","Открыть позицию")</x:f>
        <x:v>Открыть позицию</x:v>
      </x:c>
    </x:row>
    <x:row r="93" ht="28" customHeight="1">
      <x:c r="A93" s="16" t="str">
        <x:v>Приморская ГРЭС</x:v>
      </x:c>
      <x:c r="B93" s="16" t="str">
        <x:v>2000255209-U117</x:v>
      </x:c>
      <x:c r="C93" s="16" t="str">
        <x:v>ТРОЙНИК PPRC ПЕРЕХ DN32*20*32 PN16</x:v>
      </x:c>
      <x:c r="D93" s="16" t="str">
        <x:v>Строительные материалы прочие</x:v>
      </x:c>
      <x:c r="E93" s="16" t="str">
        <x:v>ШТ</x:v>
      </x:c>
      <x:c r="F93" s="21" t="n">
        <x:v>12</x:v>
      </x:c>
      <x:c r="G93" s="17" t="n">
        <x:v>16.1284</x:v>
      </x:c>
      <x:c r="H93" s="17" t="n">
        <x:f>G93*F93</x:f>
        <x:v>193.5408</x:v>
      </x:c>
      <x:c r="I93" s="22" t="str">
        <x:f>HYPERLINK("https://etp-aktiv.ru/catalog/materialy/stroitelnye-materialy/2000255209-U117/","Открыть позицию")</x:f>
        <x:v>Открыть позицию</x:v>
      </x:c>
    </x:row>
    <x:row r="94" ht="28" customHeight="1">
      <x:c r="A94" s="16" t="str">
        <x:v>Приморская ГРЭС</x:v>
      </x:c>
      <x:c r="B94" s="16" t="str">
        <x:v>2000255206-U117</x:v>
      </x:c>
      <x:c r="C94" s="16" t="str">
        <x:v>ТРОЙНИК PPRC ПЕРЕХ DN40*20*40 PN16</x:v>
      </x:c>
      <x:c r="D94" s="16" t="str">
        <x:v>Строительные материалы прочие</x:v>
      </x:c>
      <x:c r="E94" s="16" t="str">
        <x:v>ШТ</x:v>
      </x:c>
      <x:c r="F94" s="21" t="n">
        <x:v>20</x:v>
      </x:c>
      <x:c r="G94" s="17" t="n">
        <x:v>24.973399999999998</x:v>
      </x:c>
      <x:c r="H94" s="17" t="n">
        <x:f>G94*F94</x:f>
        <x:v>499.46799999999996</x:v>
      </x:c>
      <x:c r="I94" s="22" t="str">
        <x:f>HYPERLINK("https://etp-aktiv.ru/catalog/materialy/stroitelnye-materialy/2000255206-U117/","Открыть позицию")</x:f>
        <x:v>Открыть позицию</x:v>
      </x:c>
    </x:row>
    <x:row r="95" ht="28" customHeight="1">
      <x:c r="A95" s="16" t="str">
        <x:v>Приморская ГРЭС</x:v>
      </x:c>
      <x:c r="B95" s="16" t="str">
        <x:v>2000255205-U117</x:v>
      </x:c>
      <x:c r="C95" s="16" t="str">
        <x:v>ТРОЙНИК PPRC ПЕРЕХ DN40*25*40 PN16</x:v>
      </x:c>
      <x:c r="D95" s="16" t="str">
        <x:v>Строительные материалы прочие</x:v>
      </x:c>
      <x:c r="E95" s="16" t="str">
        <x:v>ШТ</x:v>
      </x:c>
      <x:c r="F95" s="21" t="n">
        <x:v>3</x:v>
      </x:c>
      <x:c r="G95" s="17" t="n">
        <x:v>34.428399999999996</x:v>
      </x:c>
      <x:c r="H95" s="17" t="n">
        <x:f>G95*F95</x:f>
        <x:v>103.28519999999999</x:v>
      </x:c>
      <x:c r="I95" s="22" t="str">
        <x:f>HYPERLINK("https://etp-aktiv.ru/catalog/materialy/stroitelnye-materialy/2000255205-U117/","Открыть позицию")</x:f>
        <x:v>Открыть позицию</x:v>
      </x:c>
    </x:row>
    <x:row r="96" ht="28" customHeight="1">
      <x:c r="A96" s="16" t="str">
        <x:v>Приморская ГРЭС</x:v>
      </x:c>
      <x:c r="B96" s="16" t="str">
        <x:v>2000255204-U117</x:v>
      </x:c>
      <x:c r="C96" s="16" t="str">
        <x:v>ТРОЙНИК PPRC ПЕРЕХ DN40*32*40 PN16</x:v>
      </x:c>
      <x:c r="D96" s="16" t="str">
        <x:v>Строительные материалы прочие</x:v>
      </x:c>
      <x:c r="E96" s="16" t="str">
        <x:v>ШТ</x:v>
      </x:c>
      <x:c r="F96" s="21" t="n">
        <x:v>12</x:v>
      </x:c>
      <x:c r="G96" s="17" t="n">
        <x:v>32.9522</x:v>
      </x:c>
      <x:c r="H96" s="17" t="n">
        <x:f>G96*F96</x:f>
        <x:v>395.42639999999994</x:v>
      </x:c>
      <x:c r="I96" s="22" t="str">
        <x:f>HYPERLINK("https://etp-aktiv.ru/catalog/materialy/stroitelnye-materialy/2000255204-U117/","Открыть позицию")</x:f>
        <x:v>Открыть позицию</x:v>
      </x:c>
    </x:row>
    <x:row r="97" ht="28" customHeight="1">
      <x:c r="A97" s="16" t="str">
        <x:v>Приморская ГРЭС</x:v>
      </x:c>
      <x:c r="B97" s="16" t="str">
        <x:v>2000137528-U117</x:v>
      </x:c>
      <x:c r="C97" s="16" t="str">
        <x:v>ТРОЙНИК ПЕРЕХ ПОЛИПРОП PP 40*25*40 20БАР</x:v>
      </x:c>
      <x:c r="D97" s="16" t="str">
        <x:v>Строительные материалы прочие</x:v>
      </x:c>
      <x:c r="E97" s="16" t="str">
        <x:v>ШТ</x:v>
      </x:c>
      <x:c r="F97" s="21" t="n">
        <x:v>20</x:v>
      </x:c>
      <x:c r="G97" s="17" t="n">
        <x:v>47.58</x:v>
      </x:c>
      <x:c r="H97" s="17" t="n">
        <x:f>G97*F97</x:f>
        <x:v>951.5999999999999</x:v>
      </x:c>
      <x:c r="I97" s="22" t="str">
        <x:f>HYPERLINK("https://etp-aktiv.ru/catalog/materialy/stroitelnye-materialy/2000137528-U117/","Открыть позицию")</x:f>
        <x:v>Открыть позицию</x:v>
      </x:c>
    </x:row>
    <x:row r="98" ht="28" customHeight="1">
      <x:c r="A98" s="16" t="str">
        <x:v>Приморская ГРЭС</x:v>
      </x:c>
      <x:c r="B98" s="16" t="str">
        <x:v>2000308880-U117</x:v>
      </x:c>
      <x:c r="C98" s="16" t="str">
        <x:v>ТРОЙНИК ПЕРЕХОДНОЙ PPR DN20*20*20 DN16</x:v>
      </x:c>
      <x:c r="D98" s="16" t="str">
        <x:v>Строительные материалы прочие</x:v>
      </x:c>
      <x:c r="E98" s="16" t="str">
        <x:v>ШТ</x:v>
      </x:c>
      <x:c r="F98" s="21" t="n">
        <x:v>18</x:v>
      </x:c>
      <x:c r="G98" s="17" t="n">
        <x:v>8.3936</x:v>
      </x:c>
      <x:c r="H98" s="17" t="n">
        <x:f>G98*F98</x:f>
        <x:v>151.08479999999997</x:v>
      </x:c>
      <x:c r="I98" s="22" t="str">
        <x:f>HYPERLINK("https://etp-aktiv.ru/catalog/materialy/stroitelnye-materialy/2000308880-U117/","Открыть позицию")</x:f>
        <x:v>Открыть позицию</x:v>
      </x:c>
    </x:row>
    <x:row r="99" ht="28" customHeight="1">
      <x:c r="A99" s="16" t="str">
        <x:v>Приморская ГРЭС</x:v>
      </x:c>
      <x:c r="B99" s="16" t="str">
        <x:v>2000138963-U117</x:v>
      </x:c>
      <x:c r="C99" s="16" t="str">
        <x:v>ТРОЙНИК ПЛАСТИКОВЫЙ 50/50 45°</x:v>
      </x:c>
      <x:c r="D99" s="16" t="str">
        <x:v>Строительные материалы прочие</x:v>
      </x:c>
      <x:c r="E99" s="16" t="str">
        <x:v>ШТ</x:v>
      </x:c>
      <x:c r="F99" s="21" t="n">
        <x:v>99</x:v>
      </x:c>
      <x:c r="G99" s="17" t="n">
        <x:v>107.5552</x:v>
      </x:c>
      <x:c r="H99" s="17" t="n">
        <x:f>G99*F99</x:f>
        <x:v>10647.9648</x:v>
      </x:c>
      <x:c r="I99" s="22" t="str">
        <x:f>HYPERLINK("https://etp-aktiv.ru/catalog/materialy/stroitelnye-materialy/2000138963-U117/","Открыть позицию")</x:f>
        <x:v>Открыть позицию</x:v>
      </x:c>
    </x:row>
    <x:row r="100" ht="28" customHeight="1">
      <x:c r="A100" s="16" t="str">
        <x:v>Приморская ГРЭС</x:v>
      </x:c>
      <x:c r="B100" s="16" t="str">
        <x:v>2000155427-U117</x:v>
      </x:c>
      <x:c r="C100" s="16" t="str">
        <x:v>УГОЛЬНИК PPRC 90° 40ММ 404450</x:v>
      </x:c>
      <x:c r="D100" s="16" t="str">
        <x:v>Строительные материалы прочие</x:v>
      </x:c>
      <x:c r="E100" s="16" t="str">
        <x:v>ШТ</x:v>
      </x:c>
      <x:c r="F100" s="21" t="n">
        <x:v>20</x:v>
      </x:c>
      <x:c r="G100" s="17" t="n">
        <x:v>45.75</x:v>
      </x:c>
      <x:c r="H100" s="17" t="n">
        <x:f>G100*F100</x:f>
        <x:v>915</x:v>
      </x:c>
      <x:c r="I100" s="22" t="str">
        <x:f>HYPERLINK("https://etp-aktiv.ru/catalog/materialy/stroitelnye-materialy/2000155427-U117/","Открыть позицию")</x:f>
        <x:v>Открыть позицию</x:v>
      </x:c>
    </x:row>
    <x:row r="101" ht="28" customHeight="1">
      <x:c r="A101" s="16" t="str">
        <x:v>Приморская ГРЭС</x:v>
      </x:c>
      <x:c r="B101" s="16" t="str">
        <x:v>2000500334-U117</x:v>
      </x:c>
      <x:c r="C101" s="16" t="str">
        <x:v>ХОМУТ КАНАЛИЗ ПП ПОЛИТЭК DN50</x:v>
      </x:c>
      <x:c r="D101" s="16" t="str">
        <x:v>Строительные материалы прочие</x:v>
      </x:c>
      <x:c r="E101" s="16" t="str">
        <x:v>ШТ</x:v>
      </x:c>
      <x:c r="F101" s="21" t="n">
        <x:v>5</x:v>
      </x:c>
      <x:c r="G101" s="17" t="n">
        <x:v>86.925</x:v>
      </x:c>
      <x:c r="H101" s="17" t="n">
        <x:f>G101*F101</x:f>
        <x:v>434.625</x:v>
      </x:c>
      <x:c r="I101" s="22" t="str">
        <x:f>HYPERLINK("https://etp-aktiv.ru/catalog/materialy/stroitelnye-materialy/2000500334-U117/","Открыть позицию")</x:f>
        <x:v>Открыть позицию</x:v>
      </x:c>
    </x:row>
    <x:row r="102" ht="28" customHeight="1">
      <x:c r="A102" s="16" t="str">
        <x:v>Приморская ГРЭС</x:v>
      </x:c>
      <x:c r="B102" s="16" t="str">
        <x:v>2000560049-U117</x:v>
      </x:c>
      <x:c r="C102" s="16" t="str">
        <x:v>ЦЕМЕНТ М400 ПЦ 400-Д20-ПЛ ГОСТ10178-85</x:v>
      </x:c>
      <x:c r="D102" s="16" t="str">
        <x:v>Цемент, бетон и раствор</x:v>
      </x:c>
      <x:c r="E102" s="16" t="str">
        <x:v>Т</x:v>
      </x:c>
      <x:c r="F102" s="26" t="n">
        <x:v>0.864</x:v>
      </x:c>
      <x:c r="G102" s="17" t="n">
        <x:v>6148.2022</x:v>
      </x:c>
      <x:c r="H102" s="17" t="n">
        <x:f>G102*F102</x:f>
        <x:v>5312.0467008</x:v>
      </x:c>
      <x:c r="I102" s="22" t="str">
        <x:f>HYPERLINK("https://etp-aktiv.ru/catalog/materialy/stroitelnye-materialy/2000560049-U117/","Открыть позицию")</x:f>
        <x:v>Открыть позицию</x:v>
      </x:c>
    </x:row>
    <x:row r="103" ht="28" customHeight="1">
      <x:c r="A103" s="16" t="str">
        <x:v>Приморская ГРЭС</x:v>
      </x:c>
      <x:c r="B103" s="16" t="str">
        <x:v>2000261597-U117</x:v>
      </x:c>
      <x:c r="C103" s="16" t="str">
        <x:v>ШЛАНГ ГИБКИЙ Г/Г 1/2" 60СМ 15БАР</x:v>
      </x:c>
      <x:c r="D103" s="16" t="str">
        <x:v>Строительные материалы прочие</x:v>
      </x:c>
      <x:c r="E103" s="16" t="str">
        <x:v>ШТ</x:v>
      </x:c>
      <x:c r="F103" s="21" t="n">
        <x:v>20</x:v>
      </x:c>
      <x:c r="G103" s="17" t="n">
        <x:v>84.71679999999999</x:v>
      </x:c>
      <x:c r="H103" s="17" t="n">
        <x:f>G103*F103</x:f>
        <x:v>1694.3359999999998</x:v>
      </x:c>
      <x:c r="I103" s="22" t="str">
        <x:f>HYPERLINK("https://etp-aktiv.ru/catalog/materialy/stroitelnye-materialy/2000261597-U117/","Открыть позицию")</x:f>
        <x:v>Открыть позицию</x:v>
      </x:c>
    </x:row>
    <x:row r="104" ht="28" customHeight="1">
      <x:c r="A104" s="16" t="str">
        <x:v>Приморская ГРЭС</x:v>
      </x:c>
      <x:c r="B104" s="16" t="str">
        <x:v>2000253881-U117</x:v>
      </x:c>
      <x:c r="C104" s="16" t="str">
        <x:v>ШЛАНГ ГИБКИЙ Г/Г 50СМ 1/2" 15БАР</x:v>
      </x:c>
      <x:c r="D104" s="16" t="str">
        <x:v>Строительные материалы прочие</x:v>
      </x:c>
      <x:c r="E104" s="16" t="str">
        <x:v>ШТ</x:v>
      </x:c>
      <x:c r="F104" s="21" t="n">
        <x:v>11</x:v>
      </x:c>
      <x:c r="G104" s="17" t="n">
        <x:v>71.34559999999999</x:v>
      </x:c>
      <x:c r="H104" s="17" t="n">
        <x:f>G104*F104</x:f>
        <x:v>784.8015999999999</x:v>
      </x:c>
      <x:c r="I104" s="22" t="str">
        <x:f>HYPERLINK("https://etp-aktiv.ru/catalog/materialy/stroitelnye-materialy/2000253881-U117/","Открыть позицию")</x:f>
        <x:v>Открыть позицию</x:v>
      </x:c>
    </x:row>
    <x:row r="105" ht="28" customHeight="1">
      <x:c r="A105" s="16" t="str">
        <x:v>Приморская ГРЭС</x:v>
      </x:c>
      <x:c r="B105" s="16" t="str">
        <x:v>2000625418-U117</x:v>
      </x:c>
      <x:c r="C105" s="16" t="str">
        <x:v>ЩЕБЕНЬ ГРАВИЙНЫЙ М1000 ФР5-10</x:v>
      </x:c>
      <x:c r="D105" s="16" t="str">
        <x:v>Щебень, гравий</x:v>
      </x:c>
      <x:c r="E105" s="16" t="str">
        <x:v>М3</x:v>
      </x:c>
      <x:c r="F105" s="30" t="n">
        <x:v>23.76</x:v>
      </x:c>
      <x:c r="G105" s="17" t="n">
        <x:v>2379</x:v>
      </x:c>
      <x:c r="H105" s="17" t="n">
        <x:f>G105*F105</x:f>
        <x:v>56525.04</x:v>
      </x:c>
      <x:c r="I105" s="22" t="str">
        <x:f>HYPERLINK("https://etp-aktiv.ru/catalog/materialy/stroitelnye-materialy/2000625418-U117/","Открыть позицию")</x:f>
        <x:v>Открыть позицию</x:v>
      </x:c>
    </x:row>
    <x:row r="106" ht="28" customHeight="1">
      <x:c r="A106" s="16" t="str">
        <x:v>Приморская ГРЭС</x:v>
      </x:c>
      <x:c r="B106" s="16" t="str">
        <x:v>2000560926-U117</x:v>
      </x:c>
      <x:c r="C106" s="16" t="str">
        <x:v>ЩЕБЕНЬ ПРИРОДН КАМНЯ ГОСТ8267 120-200ММ</x:v>
      </x:c>
      <x:c r="D106" s="16" t="str">
        <x:v>Щебень, гравий</x:v>
      </x:c>
      <x:c r="E106" s="16" t="str">
        <x:v>М3</x:v>
      </x:c>
      <x:c r="F106" s="21" t="n">
        <x:v>180</x:v>
      </x:c>
      <x:c r="G106" s="17" t="n">
        <x:v>915</x:v>
      </x:c>
      <x:c r="H106" s="17" t="n">
        <x:f>G106*F106</x:f>
        <x:v>164700</x:v>
      </x:c>
      <x:c r="I106" s="22" t="str">
        <x:f>HYPERLINK("https://etp-aktiv.ru/catalog/materialy/stroitelnye-materialy/2000560926-U117/","Открыть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46ee51769f3d41ba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Приморье: Трубы, фитинги, трубопроводная арматура и ОПС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Приморская ГРЭС</x:v>
      </x:c>
      <x:c r="B5" s="16" t="str">
        <x:v>2000212291-U117</x:v>
      </x:c>
      <x:c r="C5" s="16" t="str">
        <x:v>АРМАТУРА А-I СТ3 D20ММ ГОСТ5781-82</x:v>
      </x:c>
      <x:c r="D5" s="16" t="str">
        <x:v>Металлопрокат черный</x:v>
      </x:c>
      <x:c r="E5" s="16" t="str">
        <x:v>Т</x:v>
      </x:c>
      <x:c r="F5" s="26" t="n">
        <x:v>0.014</x:v>
      </x:c>
      <x:c r="G5" s="17" t="n">
        <x:v>108244.5</x:v>
      </x:c>
      <x:c r="H5" s="17" t="n">
        <x:f>G5*F5</x:f>
        <x:v>1515.423</x:v>
      </x:c>
      <x:c r="I5" s="22" t="str">
        <x:f>HYPERLINK("https://etp-aktiv.ru/catalog/materialy/metalloprodukciya/2000212291-U117/","Открыть позицию")</x:f>
        <x:v>Открыть позицию</x:v>
      </x:c>
    </x:row>
    <x:row r="6" ht="28" customHeight="1">
      <x:c r="A6" s="16" t="str">
        <x:v>Приморская ГРЭС</x:v>
      </x:c>
      <x:c r="B6" s="16" t="str">
        <x:v>2000566972-U117</x:v>
      </x:c>
      <x:c r="C6" s="16" t="str">
        <x:v>АРМАТУРА АС-С 22ПМ ЖЕЛТЫЙ 220В</x:v>
      </x:c>
      <x:c r="D6" s="16" t="str">
        <x:v>Осветительная продукция и изделия электроустановочные</x:v>
      </x:c>
      <x:c r="E6" s="16" t="str">
        <x:v>ШТ</x:v>
      </x:c>
      <x:c r="F6" s="21" t="n">
        <x:v>5</x:v>
      </x:c>
      <x:c r="G6" s="17" t="n">
        <x:v>704.55</x:v>
      </x:c>
      <x:c r="H6" s="17" t="n">
        <x:f>G6*F6</x:f>
        <x:v>3522.75</x:v>
      </x:c>
      <x:c r="I6" s="22" t="str">
        <x:f>HYPERLINK("https://etp-aktiv.ru/catalog/materialy/ehlektrotekhnicheskie-materialy/2000566972-U117/","Открыть позицию")</x:f>
        <x:v>Открыть позицию</x:v>
      </x:c>
    </x:row>
    <x:row r="7" ht="28" customHeight="1">
      <x:c r="A7" s="16" t="str">
        <x:v>Приморская ГРЭС</x:v>
      </x:c>
      <x:c r="B7" s="16" t="str">
        <x:v>2000725477-U117</x:v>
      </x:c>
      <x:c r="C7" s="16" t="str">
        <x:v>БЛОК БК-1419619</x:v>
      </x:c>
      <x:c r="D7" s="16" t="str">
        <x:v>Трубопроводы и элементы трубопроводов высокого давления</x:v>
      </x:c>
      <x:c r="E7" s="16" t="str">
        <x:v>ШТ</x:v>
      </x:c>
      <x:c r="F7" s="21" t="n">
        <x:v>1</x:v>
      </x:c>
      <x:c r="G7" s="17" t="n">
        <x:v>874442.0516</x:v>
      </x:c>
      <x:c r="H7" s="17" t="n">
        <x:f>G7*F7</x:f>
        <x:v>874442.0516</x:v>
      </x:c>
      <x:c r="I7" s="22" t="str">
        <x:f>HYPERLINK("https://etp-aktiv.ru/catalog/materialy/truboprovody/2000725477-U117/","Открыть позицию")</x:f>
        <x:v>Открыть позицию</x:v>
      </x:c>
    </x:row>
    <x:row r="8" ht="28" customHeight="1">
      <x:c r="A8" s="16" t="str">
        <x:v>Приморская ГРЭС</x:v>
      </x:c>
      <x:c r="B8" s="16" t="str">
        <x:v>2000743556-U117</x:v>
      </x:c>
      <x:c r="C8" s="16" t="str">
        <x:v>БЛОК ПРУЖИН 23 МВН 045-63</x:v>
      </x:c>
      <x:c r="D8" s="16" t="str">
        <x:v>Система опорно-подвесная</x:v>
      </x:c>
      <x:c r="E8" s="16" t="str">
        <x:v>ШТ</x:v>
      </x:c>
      <x:c r="F8" s="21" t="n">
        <x:v>50</x:v>
      </x:c>
      <x:c r="G8" s="17" t="n">
        <x:v>28786.3392</x:v>
      </x:c>
      <x:c r="H8" s="17" t="n">
        <x:f>G8*F8</x:f>
        <x:v>1439316.96</x:v>
      </x:c>
      <x:c r="I8" s="22" t="str">
        <x:f>HYPERLINK("https://etp-aktiv.ru/catalog/materialy/truboprovody/2000743556-U117/","Открыть позицию")</x:f>
        <x:v>Открыть позицию</x:v>
      </x:c>
    </x:row>
    <x:row r="9" ht="28" customHeight="1">
      <x:c r="A9" s="16" t="str">
        <x:v>Приморская ГРЭС</x:v>
      </x:c>
      <x:c r="B9" s="16" t="str">
        <x:v>2000622841-U117</x:v>
      </x:c>
      <x:c r="C9" s="16" t="str">
        <x:v>БЛОК ПРУЖИН ОПОРНЫЙ 19 МВН 1785-64</x:v>
      </x:c>
      <x:c r="D9" s="16" t="str">
        <x:v>Система опорно-подвесная</x:v>
      </x:c>
      <x:c r="E9" s="16" t="str">
        <x:v>ШТ</x:v>
      </x:c>
      <x:c r="F9" s="21" t="n">
        <x:v>2</x:v>
      </x:c>
      <x:c r="G9" s="17" t="n">
        <x:v>19079.0188</x:v>
      </x:c>
      <x:c r="H9" s="17" t="n">
        <x:f>G9*F9</x:f>
        <x:v>38158.0376</x:v>
      </x:c>
      <x:c r="I9" s="22" t="str">
        <x:f>HYPERLINK("https://etp-aktiv.ru/catalog/materialy/truboprovody/2000622841-U117/","Открыть позицию")</x:f>
        <x:v>Открыть позицию</x:v>
      </x:c>
    </x:row>
    <x:row r="10" ht="28" customHeight="1">
      <x:c r="A10" s="16" t="str">
        <x:v>Приморская ГРЭС</x:v>
      </x:c>
      <x:c r="B10" s="16" t="str">
        <x:v>2000632159-U117</x:v>
      </x:c>
      <x:c r="C10" s="16" t="str">
        <x:v>БЛОК ПРУЖИННЫЙ 06 МВН 045-63</x:v>
      </x:c>
      <x:c r="D10" s="16" t="str">
        <x:v>Система опорно-подвесная</x:v>
      </x:c>
      <x:c r="E10" s="16" t="str">
        <x:v>ШТ</x:v>
      </x:c>
      <x:c r="F10" s="21" t="n">
        <x:v>25</x:v>
      </x:c>
      <x:c r="G10" s="17" t="n">
        <x:v>9254.1148</x:v>
      </x:c>
      <x:c r="H10" s="17" t="n">
        <x:f>G10*F10</x:f>
        <x:v>231352.87</x:v>
      </x:c>
      <x:c r="I10" s="22" t="str">
        <x:f>HYPERLINK("https://etp-aktiv.ru/catalog/materialy/truboprovody/2000632159-U117/","Открыть позицию")</x:f>
        <x:v>Открыть позицию</x:v>
      </x:c>
    </x:row>
    <x:row r="11" ht="28" customHeight="1">
      <x:c r="A11" s="16" t="str">
        <x:v>Приморская ГРЭС</x:v>
      </x:c>
      <x:c r="B11" s="16" t="str">
        <x:v>2000971051-U117</x:v>
      </x:c>
      <x:c r="C11" s="16" t="str">
        <x:v>БЛОК ПРУЖИННЫЙ 09 МВН 045-63</x:v>
      </x:c>
      <x:c r="D11" s="16" t="str">
        <x:v>Система опорно-подвесная</x:v>
      </x:c>
      <x:c r="E11" s="16" t="str">
        <x:v>ШТ</x:v>
      </x:c>
      <x:c r="F11" s="21" t="n">
        <x:v>18</x:v>
      </x:c>
      <x:c r="G11" s="17" t="n">
        <x:v>24120.6932</x:v>
      </x:c>
      <x:c r="H11" s="17" t="n">
        <x:f>G11*F11</x:f>
        <x:v>434172.47760000004</x:v>
      </x:c>
      <x:c r="I11" s="22" t="str">
        <x:f>HYPERLINK("https://etp-aktiv.ru/catalog/materialy/truboprovody/2000971051-U117/","Открыть позицию")</x:f>
        <x:v>Открыть позицию</x:v>
      </x:c>
    </x:row>
    <x:row r="12" ht="28" customHeight="1">
      <x:c r="A12" s="16" t="str">
        <x:v>Приморская ГРЭС</x:v>
      </x:c>
      <x:c r="B12" s="16" t="str">
        <x:v>2000996286-U117</x:v>
      </x:c>
      <x:c r="C12" s="16" t="str">
        <x:v>БЛОК ПРУЖИННЫЙ 10 МВН 045-63</x:v>
      </x:c>
      <x:c r="D12" s="16" t="str">
        <x:v>Система опорно-подвесная</x:v>
      </x:c>
      <x:c r="E12" s="16" t="str">
        <x:v>ШТ</x:v>
      </x:c>
      <x:c r="F12" s="21" t="n">
        <x:v>28</x:v>
      </x:c>
      <x:c r="G12" s="17" t="n">
        <x:v>24008.026199999997</x:v>
      </x:c>
      <x:c r="H12" s="17" t="n">
        <x:f>G12*F12</x:f>
        <x:v>672224.7335999999</x:v>
      </x:c>
      <x:c r="I12" s="22" t="str">
        <x:f>HYPERLINK("https://etp-aktiv.ru/catalog/materialy/truboprovody/2000996286-U117/","Открыть позицию")</x:f>
        <x:v>Открыть позицию</x:v>
      </x:c>
    </x:row>
    <x:row r="13" ht="28" customHeight="1">
      <x:c r="A13" s="16" t="str">
        <x:v>Приморская ГРЭС</x:v>
      </x:c>
      <x:c r="B13" s="16" t="str">
        <x:v>2000997887-U117</x:v>
      </x:c>
      <x:c r="C13" s="16" t="str">
        <x:v>БЛОК ПРУЖИННЫЙ 12 МВН045-63</x:v>
      </x:c>
      <x:c r="D13" s="16" t="str">
        <x:v>Система опорно-подвесная</x:v>
      </x:c>
      <x:c r="E13" s="16" t="str">
        <x:v>ШТ</x:v>
      </x:c>
      <x:c r="F13" s="21" t="n">
        <x:v>14</x:v>
      </x:c>
      <x:c r="G13" s="17" t="n">
        <x:v>41424.49</x:v>
      </x:c>
      <x:c r="H13" s="17" t="n">
        <x:f>G13*F13</x:f>
        <x:v>579942.86</x:v>
      </x:c>
      <x:c r="I13" s="22" t="str">
        <x:f>HYPERLINK("https://etp-aktiv.ru/catalog/materialy/truboprovody/2000997887-U117/","Открыть позицию")</x:f>
        <x:v>Открыть позицию</x:v>
      </x:c>
    </x:row>
    <x:row r="14" ht="28" customHeight="1">
      <x:c r="A14" s="16" t="str">
        <x:v>Приморская ГРЭС</x:v>
      </x:c>
      <x:c r="B14" s="16" t="str">
        <x:v>2000997271-U117</x:v>
      </x:c>
      <x:c r="C14" s="16" t="str">
        <x:v>БЛОК ПРУЖИННЫЙ 12 МВН152-65</x:v>
      </x:c>
      <x:c r="D14" s="16" t="str">
        <x:v>Система опорно-подвесная</x:v>
      </x:c>
      <x:c r="E14" s="16" t="str">
        <x:v>ШТ</x:v>
      </x:c>
      <x:c r="F14" s="21" t="n">
        <x:v>3</x:v>
      </x:c>
      <x:c r="G14" s="17" t="n">
        <x:v>22010.227399999996</x:v>
      </x:c>
      <x:c r="H14" s="17" t="n">
        <x:f>G14*F14</x:f>
        <x:v>66030.68219999998</x:v>
      </x:c>
      <x:c r="I14" s="22" t="str">
        <x:f>HYPERLINK("https://etp-aktiv.ru/catalog/materialy/truboprovody/2000997271-U117/","Открыть позицию")</x:f>
        <x:v>Открыть позицию</x:v>
      </x:c>
    </x:row>
    <x:row r="15" ht="28" customHeight="1">
      <x:c r="A15" s="16" t="str">
        <x:v>Приморская ГРЭС</x:v>
      </x:c>
      <x:c r="B15" s="16" t="str">
        <x:v>2000997272-U117</x:v>
      </x:c>
      <x:c r="C15" s="16" t="str">
        <x:v>БЛОК ПРУЖИННЫЙ 13 МВН152-65</x:v>
      </x:c>
      <x:c r="D15" s="16" t="str">
        <x:v>Система опорно-подвесная</x:v>
      </x:c>
      <x:c r="E15" s="16" t="str">
        <x:v>ШТ</x:v>
      </x:c>
      <x:c r="F15" s="21" t="n">
        <x:v>6</x:v>
      </x:c>
      <x:c r="G15" s="17" t="n">
        <x:v>17080</x:v>
      </x:c>
      <x:c r="H15" s="17" t="n">
        <x:f>G15*F15</x:f>
        <x:v>102480</x:v>
      </x:c>
      <x:c r="I15" s="22" t="str">
        <x:f>HYPERLINK("https://etp-aktiv.ru/catalog/materialy/truboprovody/2000997272-U117/","Открыть позицию")</x:f>
        <x:v>Открыть позицию</x:v>
      </x:c>
    </x:row>
    <x:row r="16" ht="28" customHeight="1">
      <x:c r="A16" s="16" t="str">
        <x:v>Приморская ГРЭС</x:v>
      </x:c>
      <x:c r="B16" s="16" t="str">
        <x:v>2000997273-U117</x:v>
      </x:c>
      <x:c r="C16" s="16" t="str">
        <x:v>БЛОК ПРУЖИННЫЙ 14 МВН152-65</x:v>
      </x:c>
      <x:c r="D16" s="16" t="str">
        <x:v>Система опорно-подвесная</x:v>
      </x:c>
      <x:c r="E16" s="16" t="str">
        <x:v>ШТ</x:v>
      </x:c>
      <x:c r="F16" s="21" t="n">
        <x:v>2</x:v>
      </x:c>
      <x:c r="G16" s="17" t="n">
        <x:v>26034.9586</x:v>
      </x:c>
      <x:c r="H16" s="17" t="n">
        <x:f>G16*F16</x:f>
        <x:v>52069.9172</x:v>
      </x:c>
      <x:c r="I16" s="22" t="str">
        <x:f>HYPERLINK("https://etp-aktiv.ru/catalog/materialy/truboprovody/2000997273-U117/","Открыть позицию")</x:f>
        <x:v>Открыть позицию</x:v>
      </x:c>
    </x:row>
    <x:row r="17" ht="28" customHeight="1">
      <x:c r="A17" s="16" t="str">
        <x:v>Приморская ГРЭС</x:v>
      </x:c>
      <x:c r="B17" s="16" t="str">
        <x:v>2000553036-U117</x:v>
      </x:c>
      <x:c r="C17" s="16" t="str">
        <x:v>БЛОК ПРУЖИННЫЙ 18 ОСТ108.275.58-80</x:v>
      </x:c>
      <x:c r="D17" s="16" t="str">
        <x:v>Система опорно-подвесная</x:v>
      </x:c>
      <x:c r="E17" s="16" t="str">
        <x:v>ШТ</x:v>
      </x:c>
      <x:c r="F17" s="21" t="n">
        <x:v>3</x:v>
      </x:c>
      <x:c r="G17" s="17" t="n">
        <x:v>17080</x:v>
      </x:c>
      <x:c r="H17" s="17" t="n">
        <x:f>G17*F17</x:f>
        <x:v>51240</x:v>
      </x:c>
      <x:c r="I17" s="22" t="str">
        <x:f>HYPERLINK("https://etp-aktiv.ru/catalog/materialy/truboprovody/2000553036-U117/","Открыть позицию")</x:f>
        <x:v>Открыть позицию</x:v>
      </x:c>
    </x:row>
    <x:row r="18" ht="28" customHeight="1">
      <x:c r="A18" s="16" t="str">
        <x:v>Приморская ГРЭС</x:v>
      </x:c>
      <x:c r="B18" s="16" t="str">
        <x:v>2000553038-U117</x:v>
      </x:c>
      <x:c r="C18" s="16" t="str">
        <x:v>БЛОК ПРУЖИННЫЙ 19 ОСТ108.275.58-80</x:v>
      </x:c>
      <x:c r="D18" s="16" t="str">
        <x:v>Система опорно-подвесная</x:v>
      </x:c>
      <x:c r="E18" s="16" t="str">
        <x:v>ШТ</x:v>
      </x:c>
      <x:c r="F18" s="21" t="n">
        <x:v>1</x:v>
      </x:c>
      <x:c r="G18" s="17" t="n">
        <x:v>11626.7952</x:v>
      </x:c>
      <x:c r="H18" s="17" t="n">
        <x:f>G18*F18</x:f>
        <x:v>11626.7952</x:v>
      </x:c>
      <x:c r="I18" s="22" t="str">
        <x:f>HYPERLINK("https://etp-aktiv.ru/catalog/materialy/truboprovody/2000553038-U117/","Открыть позицию")</x:f>
        <x:v>Открыть позицию</x:v>
      </x:c>
    </x:row>
    <x:row r="19" ht="28" customHeight="1">
      <x:c r="A19" s="16" t="str">
        <x:v>Приморская ГРЭС</x:v>
      </x:c>
      <x:c r="B19" s="16" t="str">
        <x:v>2000632170-U117</x:v>
      </x:c>
      <x:c r="C19" s="16" t="str">
        <x:v>БЛОК ПРУЖИННЫЙ 24 МВН 045-63</x:v>
      </x:c>
      <x:c r="D19" s="16" t="str">
        <x:v>Система опорно-подвесная</x:v>
      </x:c>
      <x:c r="E19" s="16" t="str">
        <x:v>ШТ</x:v>
      </x:c>
      <x:c r="F19" s="21" t="n">
        <x:v>7</x:v>
      </x:c>
      <x:c r="G19" s="17" t="n">
        <x:v>30236.724000000002</x:v>
      </x:c>
      <x:c r="H19" s="17" t="n">
        <x:f>G19*F19</x:f>
        <x:v>211657.06800000003</x:v>
      </x:c>
      <x:c r="I19" s="22" t="str">
        <x:f>HYPERLINK("https://etp-aktiv.ru/catalog/materialy/truboprovody/2000632170-U117/","Открыть позицию")</x:f>
        <x:v>Открыть позицию</x:v>
      </x:c>
    </x:row>
    <x:row r="20" ht="28" customHeight="1">
      <x:c r="A20" s="16" t="str">
        <x:v>Приморская ГРЭС</x:v>
      </x:c>
      <x:c r="B20" s="16" t="str">
        <x:v>2000553049-U117</x:v>
      </x:c>
      <x:c r="C20" s="16" t="str">
        <x:v>БЛОК ПРУЖИННЫЙ ОПОРН 17 ОСТ34-10-745-93</x:v>
      </x:c>
      <x:c r="D20" s="16" t="str">
        <x:v>Система опорно-подвесная</x:v>
      </x:c>
      <x:c r="E20" s="16" t="str">
        <x:v>ШТ</x:v>
      </x:c>
      <x:c r="F20" s="21" t="n">
        <x:v>6</x:v>
      </x:c>
      <x:c r="G20" s="17" t="n">
        <x:v>10118.7532</x:v>
      </x:c>
      <x:c r="H20" s="17" t="n">
        <x:f>G20*F20</x:f>
        <x:v>60712.519199999995</x:v>
      </x:c>
      <x:c r="I20" s="22" t="str">
        <x:f>HYPERLINK("https://etp-aktiv.ru/catalog/materialy/truboprovody/2000553049-U117/","Открыть позицию")</x:f>
        <x:v>Открыть позицию</x:v>
      </x:c>
    </x:row>
    <x:row r="21" ht="28" customHeight="1">
      <x:c r="A21" s="16" t="str">
        <x:v>Приморская ГРЭС</x:v>
      </x:c>
      <x:c r="B21" s="16" t="str">
        <x:v>2000553051-U117</x:v>
      </x:c>
      <x:c r="C21" s="16" t="str">
        <x:v>БЛОК ПРУЖИННЫЙ ОПОРН 20 ОСТ34-10-745-93</x:v>
      </x:c>
      <x:c r="D21" s="16" t="str">
        <x:v>Система опорно-подвесная</x:v>
      </x:c>
      <x:c r="E21" s="16" t="str">
        <x:v>ШТ</x:v>
      </x:c>
      <x:c r="F21" s="21" t="n">
        <x:v>6</x:v>
      </x:c>
      <x:c r="G21" s="17" t="n">
        <x:v>22096.0544</x:v>
      </x:c>
      <x:c r="H21" s="17" t="n">
        <x:f>G21*F21</x:f>
        <x:v>132576.32640000002</x:v>
      </x:c>
      <x:c r="I21" s="22" t="str">
        <x:f>HYPERLINK("https://etp-aktiv.ru/catalog/materialy/truboprovody/2000553051-U117/","Открыть позицию")</x:f>
        <x:v>Открыть позицию</x:v>
      </x:c>
    </x:row>
    <x:row r="22" ht="28" customHeight="1">
      <x:c r="A22" s="16" t="str">
        <x:v>Приморская ГРЭС</x:v>
      </x:c>
      <x:c r="B22" s="16" t="str">
        <x:v>2000806629-U117</x:v>
      </x:c>
      <x:c r="C22" s="16" t="str">
        <x:v>БЛОК ПРУЖИННЫЙ ОПОРН 22 ОСТ34-10-745-93</x:v>
      </x:c>
      <x:c r="D22" s="16" t="str">
        <x:v>Система опорно-подвесная</x:v>
      </x:c>
      <x:c r="E22" s="16" t="str">
        <x:v>ШТ</x:v>
      </x:c>
      <x:c r="F22" s="21" t="n">
        <x:v>6</x:v>
      </x:c>
      <x:c r="G22" s="17" t="n">
        <x:v>32696.6588</x:v>
      </x:c>
      <x:c r="H22" s="17" t="n">
        <x:f>G22*F22</x:f>
        <x:v>196179.9528</x:v>
      </x:c>
      <x:c r="I22" s="22" t="str">
        <x:f>HYPERLINK("https://etp-aktiv.ru/catalog/materialy/truboprovody/2000806629-U117/","Открыть позицию")</x:f>
        <x:v>Открыть позицию</x:v>
      </x:c>
    </x:row>
    <x:row r="23" ht="28" customHeight="1">
      <x:c r="A23" s="16" t="str">
        <x:v>Приморская ГРЭС</x:v>
      </x:c>
      <x:c r="B23" s="16" t="str">
        <x:v>2000997258-U117</x:v>
      </x:c>
      <x:c r="C23" s="16" t="str">
        <x:v>БЛОК ПРУЖИННЫЙ СДВОЕННЫЙ 18 МВН1867-65</x:v>
      </x:c>
      <x:c r="D23" s="16" t="str">
        <x:v>Система опорно-подвесная</x:v>
      </x:c>
      <x:c r="E23" s="16" t="str">
        <x:v>ШТ</x:v>
      </x:c>
      <x:c r="F23" s="21" t="n">
        <x:v>2</x:v>
      </x:c>
      <x:c r="G23" s="17" t="n">
        <x:v>45655.4988</x:v>
      </x:c>
      <x:c r="H23" s="17" t="n">
        <x:f>G23*F23</x:f>
        <x:v>91310.9976</x:v>
      </x:c>
      <x:c r="I23" s="22" t="str">
        <x:f>HYPERLINK("https://etp-aktiv.ru/catalog/materialy/truboprovody/2000997258-U117/","Открыть позицию")</x:f>
        <x:v>Открыть позицию</x:v>
      </x:c>
    </x:row>
    <x:row r="24" ht="28" customHeight="1">
      <x:c r="A24" s="16" t="str">
        <x:v>Приморская ГРЭС</x:v>
      </x:c>
      <x:c r="B24" s="16" t="str">
        <x:v>2000997270-U117</x:v>
      </x:c>
      <x:c r="C24" s="16" t="str">
        <x:v>БЛОК ПРУЖИННЫЙ СДВОЕННЫЙ 20 МВН1867-65</x:v>
      </x:c>
      <x:c r="D24" s="16" t="str">
        <x:v>Система опорно-подвесная</x:v>
      </x:c>
      <x:c r="E24" s="16" t="str">
        <x:v>ШТ</x:v>
      </x:c>
      <x:c r="F24" s="21" t="n">
        <x:v>8</x:v>
      </x:c>
      <x:c r="G24" s="17" t="n">
        <x:v>35727.3096</x:v>
      </x:c>
      <x:c r="H24" s="17" t="n">
        <x:f>G24*F24</x:f>
        <x:v>285818.4768</x:v>
      </x:c>
      <x:c r="I24" s="22" t="str">
        <x:f>HYPERLINK("https://etp-aktiv.ru/catalog/materialy/truboprovody/2000997270-U117/","Открыть позицию")</x:f>
        <x:v>Открыть позицию</x:v>
      </x:c>
    </x:row>
    <x:row r="25" ht="28" customHeight="1">
      <x:c r="A25" s="16" t="str">
        <x:v>Приморская ГРЭС</x:v>
      </x:c>
      <x:c r="B25" s="16" t="str">
        <x:v>2000580354-U117</x:v>
      </x:c>
      <x:c r="C25" s="16" t="str">
        <x:v>БОЧОНОК DN32 ГОСТ6357-81</x:v>
      </x:c>
      <x:c r="D25" s="16" t="str">
        <x:v>Детали фасонные</x:v>
      </x:c>
      <x:c r="E25" s="16" t="str">
        <x:v>ШТ</x:v>
      </x:c>
      <x:c r="F25" s="21" t="n">
        <x:v>1</x:v>
      </x:c>
      <x:c r="G25" s="17" t="n">
        <x:v>452.925</x:v>
      </x:c>
      <x:c r="H25" s="17" t="n">
        <x:f>G25*F25</x:f>
        <x:v>452.925</x:v>
      </x:c>
      <x:c r="I25" s="22" t="str">
        <x:f>HYPERLINK("https://etp-aktiv.ru/catalog/materialy/truboprovody/2000580354-U117/","Открыть позицию")</x:f>
        <x:v>Открыть позицию</x:v>
      </x:c>
    </x:row>
    <x:row r="26" ht="28" customHeight="1">
      <x:c r="A26" s="16" t="str">
        <x:v>Приморская ГРЭС</x:v>
      </x:c>
      <x:c r="B26" s="16" t="str">
        <x:v>2000006817-U117</x:v>
      </x:c>
      <x:c r="C26" s="16" t="str">
        <x:v>ВЕНТИЛЬ 15КЧ18П DN50 PN16</x:v>
      </x:c>
      <x:c r="D26" s="16" t="str">
        <x:v>Чугунная арматура (кроме затворов)</x:v>
      </x:c>
      <x:c r="E26" s="16" t="str">
        <x:v>ШТ</x:v>
      </x:c>
      <x:c r="F26" s="21" t="n">
        <x:v>3</x:v>
      </x:c>
      <x:c r="G26" s="17" t="n">
        <x:v>1000.522</x:v>
      </x:c>
      <x:c r="H26" s="17" t="n">
        <x:f>G26*F26</x:f>
        <x:v>3001.5660000000003</x:v>
      </x:c>
      <x:c r="I26" s="22" t="str">
        <x:f>HYPERLINK("https://etp-aktiv.ru/catalog/materialy/truboprovodnaya-armatura-i-komplektuyushchie/2000006817-U117/","Открыть позицию")</x:f>
        <x:v>Открыть позицию</x:v>
      </x:c>
    </x:row>
    <x:row r="27" ht="28" customHeight="1">
      <x:c r="A27" s="16" t="str">
        <x:v>Приморская ГРЭС</x:v>
      </x:c>
      <x:c r="B27" s="16" t="str">
        <x:v>2000011085-U117</x:v>
      </x:c>
      <x:c r="C27" s="16" t="str">
        <x:v>ВЕНТИЛЬ 15С22НЖ DN50 PN40</x:v>
      </x:c>
      <x:c r="D27" s="16" t="str">
        <x:v>Задвижки/клапаны стальные</x:v>
      </x:c>
      <x:c r="E27" s="16" t="str">
        <x:v>ШТ</x:v>
      </x:c>
      <x:c r="F27" s="21" t="n">
        <x:v>2</x:v>
      </x:c>
      <x:c r="G27" s="17" t="n">
        <x:v>5375.625</x:v>
      </x:c>
      <x:c r="H27" s="17" t="n">
        <x:f>G27*F27</x:f>
        <x:v>10751.25</x:v>
      </x:c>
      <x:c r="I27" s="22" t="str">
        <x:f>HYPERLINK("https://etp-aktiv.ru/catalog/materialy/truboprovodnaya-armatura-i-komplektuyushchie/2000011085-U117/","Открыть позицию")</x:f>
        <x:v>Открыть позицию</x:v>
      </x:c>
    </x:row>
    <x:row r="28" ht="28" customHeight="1">
      <x:c r="A28" s="16" t="str">
        <x:v>Приморская ГРЭС</x:v>
      </x:c>
      <x:c r="B28" s="16" t="str">
        <x:v>2000552543-U117</x:v>
      </x:c>
      <x:c r="C28" s="16" t="str">
        <x:v>ВЕНТИЛЬ 9С-3-3-4 DN50 PN63 Б/ПРИВ П/П</x:v>
      </x:c>
      <x:c r="D28" s="16" t="str">
        <x:v>Трубопроводная арматура высокого давления</x:v>
      </x:c>
      <x:c r="E28" s="16" t="str">
        <x:v>ШТ</x:v>
      </x:c>
      <x:c r="F28" s="21" t="n">
        <x:v>2</x:v>
      </x:c>
      <x:c r="G28" s="17" t="n">
        <x:v>24265.8</x:v>
      </x:c>
      <x:c r="H28" s="17" t="n">
        <x:f>G28*F28</x:f>
        <x:v>48531.6</x:v>
      </x:c>
      <x:c r="I28" s="22" t="str">
        <x:f>HYPERLINK("https://etp-aktiv.ru/catalog/materialy/truboprovodnaya-armatura-i-komplektuyushchie/2000552543-U117/","Открыть позицию")</x:f>
        <x:v>Открыть позицию</x:v>
      </x:c>
    </x:row>
    <x:row r="29" ht="28" customHeight="1">
      <x:c r="A29" s="16" t="str">
        <x:v>Приморская ГРЭС</x:v>
      </x:c>
      <x:c r="B29" s="16" t="str">
        <x:v>2000728624-U117</x:v>
      </x:c>
      <x:c r="C29" s="16" t="str">
        <x:v>ВТУЛКА КОНИЧ НПВХ 75*90*50 КЛЕЕВОЕ СОЕД</x:v>
      </x:c>
      <x:c r="D29" s="16" t="str">
        <x:v>Фитинги труб полимерных</x:v>
      </x:c>
      <x:c r="E29" s="16" t="str">
        <x:v>ШТ</x:v>
      </x:c>
      <x:c r="F29" s="21" t="n">
        <x:v>50</x:v>
      </x:c>
      <x:c r="G29" s="17" t="n">
        <x:v>418.3868</x:v>
      </x:c>
      <x:c r="H29" s="17" t="n">
        <x:f>G29*F29</x:f>
        <x:v>20919.34</x:v>
      </x:c>
      <x:c r="I29" s="22" t="str">
        <x:f>HYPERLINK("https://etp-aktiv.ru/catalog/materialy/truboprovody/2000728624-U117/","Открыть позицию")</x:f>
        <x:v>Открыть позицию</x:v>
      </x:c>
    </x:row>
    <x:row r="30" ht="28" customHeight="1">
      <x:c r="A30" s="16" t="str">
        <x:v>Приморская ГРЭС</x:v>
      </x:c>
      <x:c r="B30" s="16" t="str">
        <x:v>2000733019-U117</x:v>
      </x:c>
      <x:c r="C30" s="16" t="str">
        <x:v>ВТУЛКА НПВХ 110*125*63 PN16 RDRRLD110F</x:v>
      </x:c>
      <x:c r="D30" s="16" t="str">
        <x:v>Фитинги труб полимерных</x:v>
      </x:c>
      <x:c r="E30" s="16" t="str">
        <x:v>ШТ</x:v>
      </x:c>
      <x:c r="F30" s="21" t="n">
        <x:v>50</x:v>
      </x:c>
      <x:c r="G30" s="17" t="n">
        <x:v>1025.715</x:v>
      </x:c>
      <x:c r="H30" s="17" t="n">
        <x:f>G30*F30</x:f>
        <x:v>51285.74999999999</x:v>
      </x:c>
      <x:c r="I30" s="22" t="str">
        <x:f>HYPERLINK("https://etp-aktiv.ru/catalog/materialy/truboprovody/2000733019-U117/","Открыть позицию")</x:f>
        <x:v>Открыть позицию</x:v>
      </x:c>
    </x:row>
    <x:row r="31" ht="28" customHeight="1">
      <x:c r="A31" s="16" t="str">
        <x:v>Приморская ГРЭС</x:v>
      </x:c>
      <x:c r="B31" s="16" t="str">
        <x:v>2000729759-U117</x:v>
      </x:c>
      <x:c r="C31" s="16" t="str">
        <x:v>ВТУЛКА НПВХ 110*125*75 PN16 RDRRLD110H</x:v>
      </x:c>
      <x:c r="D31" s="16" t="str">
        <x:v>Фитинги труб полимерных</x:v>
      </x:c>
      <x:c r="E31" s="16" t="str">
        <x:v>ШТ</x:v>
      </x:c>
      <x:c r="F31" s="21" t="n">
        <x:v>38</x:v>
      </x:c>
      <x:c r="G31" s="17" t="n">
        <x:v>899.75</x:v>
      </x:c>
      <x:c r="H31" s="17" t="n">
        <x:f>G31*F31</x:f>
        <x:v>34190.5</x:v>
      </x:c>
      <x:c r="I31" s="22" t="str">
        <x:f>HYPERLINK("https://etp-aktiv.ru/catalog/materialy/truboprovody/2000729759-U117/","Открыть позицию")</x:f>
        <x:v>Открыть позицию</x:v>
      </x:c>
    </x:row>
    <x:row r="32" ht="28" customHeight="1">
      <x:c r="A32" s="16" t="str">
        <x:v>Приморская ГРЭС</x:v>
      </x:c>
      <x:c r="B32" s="16" t="str">
        <x:v>2000133441-U117</x:v>
      </x:c>
      <x:c r="C32" s="16" t="str">
        <x:v>ВТУЛКА ПОД ФЛАНЕЦ ПЭ100 DN160 PN10 SDR17</x:v>
      </x:c>
      <x:c r="D32" s="16" t="str">
        <x:v>Детали фасонные</x:v>
      </x:c>
      <x:c r="E32" s="16" t="str">
        <x:v>ШТ</x:v>
      </x:c>
      <x:c r="F32" s="21" t="n">
        <x:v>7</x:v>
      </x:c>
      <x:c r="G32" s="17" t="n">
        <x:v>675.1114</x:v>
      </x:c>
      <x:c r="H32" s="17" t="n">
        <x:f>G32*F32</x:f>
        <x:v>4725.7798</x:v>
      </x:c>
      <x:c r="I32" s="22" t="str">
        <x:f>HYPERLINK("https://etp-aktiv.ru/catalog/materialy/truboprovody/2000133441-U117/","Открыть позицию")</x:f>
        <x:v>Открыть позицию</x:v>
      </x:c>
    </x:row>
    <x:row r="33" ht="28" customHeight="1">
      <x:c r="A33" s="16" t="str">
        <x:v>Приморская ГРЭС</x:v>
      </x:c>
      <x:c r="B33" s="16" t="str">
        <x:v>2000851465-U117</x:v>
      </x:c>
      <x:c r="C33" s="16" t="str">
        <x:v>ВТУЛКА ПОД ФЛАНЕЦ ПЭ100 DN200 SDR11</x:v>
      </x:c>
      <x:c r="D33" s="16" t="str">
        <x:v>Фитинги труб полимерных</x:v>
      </x:c>
      <x:c r="E33" s="16" t="str">
        <x:v>ШТ</x:v>
      </x:c>
      <x:c r="F33" s="21" t="n">
        <x:v>4</x:v>
      </x:c>
      <x:c r="G33" s="17" t="n">
        <x:v>762.5122</x:v>
      </x:c>
      <x:c r="H33" s="17" t="n">
        <x:f>G33*F33</x:f>
        <x:v>3050.0488</x:v>
      </x:c>
      <x:c r="I33" s="22" t="str">
        <x:f>HYPERLINK("https://etp-aktiv.ru/catalog/materialy/truboprovody/2000851465-U117/","Открыть позицию")</x:f>
        <x:v>Открыть позицию</x:v>
      </x:c>
    </x:row>
    <x:row r="34" ht="28" customHeight="1">
      <x:c r="A34" s="16" t="str">
        <x:v>Приморская ГРЭС</x:v>
      </x:c>
      <x:c r="B34" s="16" t="str">
        <x:v>2000286309-U117</x:v>
      </x:c>
      <x:c r="C34" s="16" t="str">
        <x:v>ВТУЛКА ПОД ФЛАНЕЦ ПЭ100 DN225 PN10 SDR17</x:v>
      </x:c>
      <x:c r="D34" s="16" t="str">
        <x:v>Детали фасонные</x:v>
      </x:c>
      <x:c r="E34" s="16" t="str">
        <x:v>ШТ</x:v>
      </x:c>
      <x:c r="F34" s="21" t="n">
        <x:v>64</x:v>
      </x:c>
      <x:c r="G34" s="17" t="n">
        <x:v>1160.3786</x:v>
      </x:c>
      <x:c r="H34" s="17" t="n">
        <x:f>G34*F34</x:f>
        <x:v>74264.2304</x:v>
      </x:c>
      <x:c r="I34" s="22" t="str">
        <x:f>HYPERLINK("https://etp-aktiv.ru/catalog/materialy/truboprovody/2000286309-U117/","Открыть позицию")</x:f>
        <x:v>Открыть позицию</x:v>
      </x:c>
    </x:row>
    <x:row r="35" ht="28" customHeight="1">
      <x:c r="A35" s="16" t="str">
        <x:v>Приморская ГРЭС</x:v>
      </x:c>
      <x:c r="B35" s="16" t="str">
        <x:v>2000244209-U117</x:v>
      </x:c>
      <x:c r="C35" s="16" t="str">
        <x:v>ВТУЛКА ПОД ФЛАНЕЦ ПЭ100 DN63 PN10 SDR17</x:v>
      </x:c>
      <x:c r="D35" s="16" t="str">
        <x:v>Детали фасонные</x:v>
      </x:c>
      <x:c r="E35" s="16" t="str">
        <x:v>ШТ</x:v>
      </x:c>
      <x:c r="F35" s="21" t="n">
        <x:v>1</x:v>
      </x:c>
      <x:c r="G35" s="17" t="n">
        <x:v>154.32999999999998</x:v>
      </x:c>
      <x:c r="H35" s="17" t="n">
        <x:f>G35*F35</x:f>
        <x:v>154.32999999999998</x:v>
      </x:c>
      <x:c r="I35" s="22" t="str">
        <x:f>HYPERLINK("https://etp-aktiv.ru/catalog/materialy/truboprovody/2000244209-U117/","Открыть позицию")</x:f>
        <x:v>Открыть позицию</x:v>
      </x:c>
    </x:row>
    <x:row r="36" ht="28" customHeight="1">
      <x:c r="A36" s="16" t="str">
        <x:v>Приморская ГРЭС</x:v>
      </x:c>
      <x:c r="B36" s="16" t="str">
        <x:v>2000245072-U117</x:v>
      </x:c>
      <x:c r="C36" s="16" t="str">
        <x:v>ВТУЛКА ПОД ФЛАНЕЦ ПЭ100 DN90 PN10 SDR17</x:v>
      </x:c>
      <x:c r="D36" s="16" t="str">
        <x:v>Детали фасонные</x:v>
      </x:c>
      <x:c r="E36" s="16" t="str">
        <x:v>ШТ</x:v>
      </x:c>
      <x:c r="F36" s="21" t="n">
        <x:v>8</x:v>
      </x:c>
      <x:c r="G36" s="17" t="n">
        <x:v>1605.2759999999998</x:v>
      </x:c>
      <x:c r="H36" s="17" t="n">
        <x:f>G36*F36</x:f>
        <x:v>12842.207999999999</x:v>
      </x:c>
      <x:c r="I36" s="22" t="str">
        <x:f>HYPERLINK("https://etp-aktiv.ru/catalog/materialy/truboprovody/2000245072-U117/","Открыть позицию")</x:f>
        <x:v>Открыть позицию</x:v>
      </x:c>
    </x:row>
    <x:row r="37" ht="28" customHeight="1">
      <x:c r="A37" s="16" t="str">
        <x:v>Приморская ГРЭС</x:v>
      </x:c>
      <x:c r="B37" s="16" t="str">
        <x:v>2000723576-U117</x:v>
      </x:c>
      <x:c r="C37" s="16" t="str">
        <x:v>ВТУЛКА ПЭ SDR 11 160*160 ГОСТ32415-2013</x:v>
      </x:c>
      <x:c r="D37" s="16" t="str">
        <x:v>Фитинги труб полимерных</x:v>
      </x:c>
      <x:c r="E37" s="16" t="str">
        <x:v>ШТ</x:v>
      </x:c>
      <x:c r="F37" s="21" t="n">
        <x:v>20</x:v>
      </x:c>
      <x:c r="G37" s="17" t="n">
        <x:v>607.255</x:v>
      </x:c>
      <x:c r="H37" s="17" t="n">
        <x:f>G37*F37</x:f>
        <x:v>12145.1</x:v>
      </x:c>
      <x:c r="I37" s="22" t="str">
        <x:f>HYPERLINK("https://etp-aktiv.ru/catalog/materialy/truboprovody/2000723576-U117/","Открыть позицию")</x:f>
        <x:v>Открыть позицию</x:v>
      </x:c>
    </x:row>
    <x:row r="38" ht="28" customHeight="1">
      <x:c r="A38" s="16" t="str">
        <x:v>Приморская ГРЭС</x:v>
      </x:c>
      <x:c r="B38" s="16" t="str">
        <x:v>2000723577-U117</x:v>
      </x:c>
      <x:c r="C38" s="16" t="str">
        <x:v>ВТУЛКА ПЭ SDR 11 225*225 ГОСТ32415-2013</x:v>
      </x:c>
      <x:c r="D38" s="16" t="str">
        <x:v>Фитинги труб полимерных</x:v>
      </x:c>
      <x:c r="E38" s="16" t="str">
        <x:v>ШТ</x:v>
      </x:c>
      <x:c r="F38" s="21" t="n">
        <x:v>18</x:v>
      </x:c>
      <x:c r="G38" s="17" t="n">
        <x:v>1103.8437999999999</x:v>
      </x:c>
      <x:c r="H38" s="17" t="n">
        <x:f>G38*F38</x:f>
        <x:v>19869.1884</x:v>
      </x:c>
      <x:c r="I38" s="22" t="str">
        <x:f>HYPERLINK("https://etp-aktiv.ru/catalog/materialy/truboprovody/2000723577-U117/","Открыть позицию")</x:f>
        <x:v>Открыть позицию</x:v>
      </x:c>
    </x:row>
    <x:row r="39" ht="28" customHeight="1">
      <x:c r="A39" s="16" t="str">
        <x:v>Приморская ГРЭС</x:v>
      </x:c>
      <x:c r="B39" s="16" t="str">
        <x:v>2000698645-U117</x:v>
      </x:c>
      <x:c r="C39" s="16" t="str">
        <x:v>ВТУЛКА ТРАП.44*8ЛЕВ СТП24-71 БРАЖ9-4</x:v>
      </x:c>
      <x:c r="D39" s="16" t="str">
        <x:v>Запасные части к трубопроводной арматуре</x:v>
      </x:c>
      <x:c r="E39" s="16" t="str">
        <x:v>ШТ</x:v>
      </x:c>
      <x:c r="F39" s="21" t="n">
        <x:v>2</x:v>
      </x:c>
      <x:c r="G39" s="17" t="n">
        <x:v>14030.0122</x:v>
      </x:c>
      <x:c r="H39" s="17" t="n">
        <x:f>G39*F39</x:f>
        <x:v>28060.0244</x:v>
      </x:c>
      <x:c r="I39" s="22" t="str">
        <x:f>HYPERLINK("https://etp-aktiv.ru/catalog/materialy/truboprovodnaya-armatura-i-komplektuyushchie/2000698645-U117/","Открыть позицию")</x:f>
        <x:v>Открыть позицию</x:v>
      </x:c>
    </x:row>
    <x:row r="40" ht="28" customHeight="1">
      <x:c r="A40" s="16" t="str">
        <x:v>Приморская ГРЭС</x:v>
      </x:c>
      <x:c r="B40" s="16" t="str">
        <x:v>2000698644-U117</x:v>
      </x:c>
      <x:c r="C40" s="16" t="str">
        <x:v>ВТУЛКА ТРАП.60*8ЛЕВ СТП24-71 БРАЖ9-4</x:v>
      </x:c>
      <x:c r="D40" s="16" t="str">
        <x:v>Запасные части к трубопроводной арматуре</x:v>
      </x:c>
      <x:c r="E40" s="16" t="str">
        <x:v>ШТ</x:v>
      </x:c>
      <x:c r="F40" s="21" t="n">
        <x:v>6</x:v>
      </x:c>
      <x:c r="G40" s="17" t="n">
        <x:v>37561.6528</x:v>
      </x:c>
      <x:c r="H40" s="17" t="n">
        <x:f>G40*F40</x:f>
        <x:v>225369.9168</x:v>
      </x:c>
      <x:c r="I40" s="22" t="str">
        <x:f>HYPERLINK("https://etp-aktiv.ru/catalog/materialy/truboprovodnaya-armatura-i-komplektuyushchie/2000698644-U117/","Открыть позицию")</x:f>
        <x:v>Открыть позицию</x:v>
      </x:c>
    </x:row>
    <x:row r="41" ht="28" customHeight="1">
      <x:c r="A41" s="16" t="str">
        <x:v>Приморская ГРЭС</x:v>
      </x:c>
      <x:c r="B41" s="16" t="str">
        <x:v>2001011363-U117</x:v>
      </x:c>
      <x:c r="C41" s="16" t="str">
        <x:v>ГИБ 90° 219*28-5115 12Х1МФ К-5759.00.01</x:v>
      </x:c>
      <x:c r="D41" s="16" t="str">
        <x:v>Трубопроводы и элементы трубопроводов высокого давления</x:v>
      </x:c>
      <x:c r="E41" s="16" t="str">
        <x:v>ШТ</x:v>
      </x:c>
      <x:c r="F41" s="21" t="n">
        <x:v>2</x:v>
      </x:c>
      <x:c r="G41" s="17" t="n">
        <x:v>630060.277</x:v>
      </x:c>
      <x:c r="H41" s="17" t="n">
        <x:f>G41*F41</x:f>
        <x:v>1260120.554</x:v>
      </x:c>
      <x:c r="I41" s="22" t="str">
        <x:f>HYPERLINK("https://etp-aktiv.ru/catalog/materialy/truboprovody/2001011363-U117/","Открыть позицию")</x:f>
        <x:v>Открыть позицию</x:v>
      </x:c>
    </x:row>
    <x:row r="42" ht="28" customHeight="1">
      <x:c r="A42" s="16" t="str">
        <x:v>Приморская ГРЭС</x:v>
      </x:c>
      <x:c r="B42" s="16" t="str">
        <x:v>2001012869-U117</x:v>
      </x:c>
      <x:c r="C42" s="16" t="str">
        <x:v>ГИБ 90° 219*28-5500 12Х1МФ К-5763.00.01</x:v>
      </x:c>
      <x:c r="D42" s="16" t="str">
        <x:v>Трубопроводы и элементы трубопроводов высокого давления</x:v>
      </x:c>
      <x:c r="E42" s="16" t="str">
        <x:v>ШТ</x:v>
      </x:c>
      <x:c r="F42" s="21" t="n">
        <x:v>1</x:v>
      </x:c>
      <x:c r="G42" s="17" t="n">
        <x:v>677471.795</x:v>
      </x:c>
      <x:c r="H42" s="17" t="n">
        <x:f>G42*F42</x:f>
        <x:v>677471.795</x:v>
      </x:c>
      <x:c r="I42" s="22" t="str">
        <x:f>HYPERLINK("https://etp-aktiv.ru/catalog/materialy/truboprovody/2001012869-U117/","Открыть позицию")</x:f>
        <x:v>Открыть позицию</x:v>
      </x:c>
    </x:row>
    <x:row r="43" ht="28" customHeight="1">
      <x:c r="A43" s="16" t="str">
        <x:v>Приморская ГРЭС</x:v>
      </x:c>
      <x:c r="B43" s="16" t="str">
        <x:v>2001006026-U117</x:v>
      </x:c>
      <x:c r="C43" s="16" t="str">
        <x:v>ГИБ 90° 325*28-4061 15ГС К-5775.00.00</x:v>
      </x:c>
      <x:c r="D43" s="16" t="str">
        <x:v>Трубопроводы и элементы трубопроводов высокого давления</x:v>
      </x:c>
      <x:c r="E43" s="16" t="str">
        <x:v>ШТ</x:v>
      </x:c>
      <x:c r="F43" s="21" t="n">
        <x:v>1</x:v>
      </x:c>
      <x:c r="G43" s="17" t="n">
        <x:v>380588.6258</x:v>
      </x:c>
      <x:c r="H43" s="17" t="n">
        <x:f>G43*F43</x:f>
        <x:v>380588.6258</x:v>
      </x:c>
      <x:c r="I43" s="22" t="str">
        <x:f>HYPERLINK("https://etp-aktiv.ru/catalog/materialy/truboprovody/2001006026-U117/","Открыть позицию")</x:f>
        <x:v>Открыть позицию</x:v>
      </x:c>
    </x:row>
    <x:row r="44" ht="28" customHeight="1">
      <x:c r="A44" s="16" t="str">
        <x:v>Приморская ГРЭС</x:v>
      </x:c>
      <x:c r="B44" s="16" t="str">
        <x:v>2001006223-U117</x:v>
      </x:c>
      <x:c r="C44" s="16" t="str">
        <x:v>ГИБ 90° 325*28-4660 15ГС К-5772.00.00</x:v>
      </x:c>
      <x:c r="D44" s="16" t="str">
        <x:v>Трубопроводы и элементы трубопроводов высокого давления</x:v>
      </x:c>
      <x:c r="E44" s="16" t="str">
        <x:v>ШТ</x:v>
      </x:c>
      <x:c r="F44" s="21" t="n">
        <x:v>1</x:v>
      </x:c>
      <x:c r="G44" s="17" t="n">
        <x:v>436725.6814</x:v>
      </x:c>
      <x:c r="H44" s="17" t="n">
        <x:f>G44*F44</x:f>
        <x:v>436725.6814</x:v>
      </x:c>
      <x:c r="I44" s="22" t="str">
        <x:f>HYPERLINK("https://etp-aktiv.ru/catalog/materialy/truboprovody/2001006223-U117/","Открыть позицию")</x:f>
        <x:v>Открыть позицию</x:v>
      </x:c>
    </x:row>
    <x:row r="45" ht="28" customHeight="1">
      <x:c r="A45" s="16" t="str">
        <x:v>Приморская ГРЭС</x:v>
      </x:c>
      <x:c r="B45" s="16" t="str">
        <x:v>2001028636-U117</x:v>
      </x:c>
      <x:c r="C45" s="16" t="str">
        <x:v>ГИБ 90° 325*38-4290 12Х1МФ К-5696.00.00</x:v>
      </x:c>
      <x:c r="D45" s="16" t="str">
        <x:v>Трубопроводы и элементы трубопроводов высокого давления</x:v>
      </x:c>
      <x:c r="E45" s="16" t="str">
        <x:v>ШТ</x:v>
      </x:c>
      <x:c r="F45" s="21" t="n">
        <x:v>1</x:v>
      </x:c>
      <x:c r="G45" s="17" t="n">
        <x:v>678393.1634</x:v>
      </x:c>
      <x:c r="H45" s="17" t="n">
        <x:f>G45*F45</x:f>
        <x:v>678393.1634</x:v>
      </x:c>
      <x:c r="I45" s="22" t="str">
        <x:f>HYPERLINK("https://etp-aktiv.ru/catalog/materialy/truboprovody/2001028636-U117/","Открыть позицию")</x:f>
        <x:v>Открыть позицию</x:v>
      </x:c>
    </x:row>
    <x:row r="46" ht="28" customHeight="1">
      <x:c r="A46" s="16" t="str">
        <x:v>Приморская ГРЭС</x:v>
      </x:c>
      <x:c r="B46" s="16" t="str">
        <x:v>2001016318-U117</x:v>
      </x:c>
      <x:c r="C46" s="16" t="str">
        <x:v>ГИБ 90° 325*38-6036 12Х1МФ К-5782.00.00</x:v>
      </x:c>
      <x:c r="D46" s="16" t="str">
        <x:v>Трубопроводы и элементы трубопроводов высокого давления</x:v>
      </x:c>
      <x:c r="E46" s="16" t="str">
        <x:v>ШТ</x:v>
      </x:c>
      <x:c r="F46" s="21" t="n">
        <x:v>1</x:v>
      </x:c>
      <x:c r="G46" s="17" t="n">
        <x:v>932194.3506</x:v>
      </x:c>
      <x:c r="H46" s="17" t="n">
        <x:f>G46*F46</x:f>
        <x:v>932194.3506</x:v>
      </x:c>
      <x:c r="I46" s="22" t="str">
        <x:f>HYPERLINK("https://etp-aktiv.ru/catalog/materialy/truboprovody/2001016318-U117/","Открыть позицию")</x:f>
        <x:v>Открыть позицию</x:v>
      </x:c>
    </x:row>
    <x:row r="47" ht="28" customHeight="1">
      <x:c r="A47" s="16" t="str">
        <x:v>Приморская ГРЭС</x:v>
      </x:c>
      <x:c r="B47" s="16" t="str">
        <x:v>2001028921-U117</x:v>
      </x:c>
      <x:c r="C47" s="16" t="str">
        <x:v>ГИБ 90° 426*18-6644 12Х1МФ К-5796.00.00</x:v>
      </x:c>
      <x:c r="D47" s="16" t="str">
        <x:v>Трубопроводы и элементы трубопроводов высокого давления</x:v>
      </x:c>
      <x:c r="E47" s="16" t="str">
        <x:v>ШТ</x:v>
      </x:c>
      <x:c r="F47" s="21" t="n">
        <x:v>2</x:v>
      </x:c>
      <x:c r="G47" s="17" t="n">
        <x:v>647852.3544</x:v>
      </x:c>
      <x:c r="H47" s="17" t="n">
        <x:f>G47*F47</x:f>
        <x:v>1295704.7088</x:v>
      </x:c>
      <x:c r="I47" s="22" t="str">
        <x:f>HYPERLINK("https://etp-aktiv.ru/catalog/materialy/truboprovody/2001028921-U117/","Открыть позицию")</x:f>
        <x:v>Открыть позицию</x:v>
      </x:c>
    </x:row>
    <x:row r="48" ht="28" customHeight="1">
      <x:c r="A48" s="16" t="str">
        <x:v>Приморская ГРЭС</x:v>
      </x:c>
      <x:c r="B48" s="16" t="str">
        <x:v>2001028714-U117</x:v>
      </x:c>
      <x:c r="C48" s="16" t="str">
        <x:v>ГИБ 90° 426*18-7090 12Х1МФ К-5697.00.00</x:v>
      </x:c>
      <x:c r="D48" s="16" t="str">
        <x:v>Трубопроводы и элементы трубопроводов высокого давления</x:v>
      </x:c>
      <x:c r="E48" s="16" t="str">
        <x:v>ШТ</x:v>
      </x:c>
      <x:c r="F48" s="21" t="n">
        <x:v>2</x:v>
      </x:c>
      <x:c r="G48" s="17" t="n">
        <x:v>777786.3072</x:v>
      </x:c>
      <x:c r="H48" s="17" t="n">
        <x:f>G48*F48</x:f>
        <x:v>1555572.6144</x:v>
      </x:c>
      <x:c r="I48" s="22" t="str">
        <x:f>HYPERLINK("https://etp-aktiv.ru/catalog/materialy/truboprovody/2001028714-U117/","Открыть позицию")</x:f>
        <x:v>Открыть позицию</x:v>
      </x:c>
    </x:row>
    <x:row r="49" ht="28" customHeight="1">
      <x:c r="A49" s="16" t="str">
        <x:v>Приморская ГРЭС</x:v>
      </x:c>
      <x:c r="B49" s="16" t="str">
        <x:v>2000716932-U117</x:v>
      </x:c>
      <x:c r="C49" s="16" t="str">
        <x:v>ДЕТАЛЬ ТРУБОПРОВОДОВ БК-31160004</x:v>
      </x:c>
      <x:c r="D49" s="16" t="str">
        <x:v>Трубопроводы комплектные</x:v>
      </x:c>
      <x:c r="E49" s="16" t="str">
        <x:v>КГ</x:v>
      </x:c>
      <x:c r="F49" s="30" t="n">
        <x:v>4704.679</x:v>
      </x:c>
      <x:c r="G49" s="17" t="n">
        <x:v>39.8574</x:v>
      </x:c>
      <x:c r="H49" s="17" t="n">
        <x:f>G49*F49</x:f>
        <x:v>187516.2727746</x:v>
      </x:c>
      <x:c r="I49" s="22" t="str">
        <x:f>HYPERLINK("https://etp-aktiv.ru/catalog/materialy/truboprovody/2000716932-U117/","Открыть позицию")</x:f>
        <x:v>Открыть позицию</x:v>
      </x:c>
    </x:row>
    <x:row r="50" ht="28" customHeight="1">
      <x:c r="A50" s="16" t="str">
        <x:v>Приморская ГРЭС</x:v>
      </x:c>
      <x:c r="B50" s="16" t="str">
        <x:v>2000716933-U117</x:v>
      </x:c>
      <x:c r="C50" s="16" t="str">
        <x:v>ДЕТАЛЬ ТРУБОПРОВОДОВ БК-31160005</x:v>
      </x:c>
      <x:c r="D50" s="16" t="str">
        <x:v>Трубопроводы комплектные</x:v>
      </x:c>
      <x:c r="E50" s="16" t="str">
        <x:v>КГ</x:v>
      </x:c>
      <x:c r="F50" s="30" t="n">
        <x:v>4002.312</x:v>
      </x:c>
      <x:c r="G50" s="17" t="n">
        <x:v>29.157999999999998</x:v>
      </x:c>
      <x:c r="H50" s="17" t="n">
        <x:f>G50*F50</x:f>
        <x:v>116699.41329599998</x:v>
      </x:c>
      <x:c r="I50" s="22" t="str">
        <x:f>HYPERLINK("https://etp-aktiv.ru/catalog/materialy/truboprovody/2000716933-U117/","Открыть позицию")</x:f>
        <x:v>Открыть позицию</x:v>
      </x:c>
    </x:row>
    <x:row r="51" ht="28" customHeight="1">
      <x:c r="A51" s="16" t="str">
        <x:v>Приморская ГРЭС</x:v>
      </x:c>
      <x:c r="B51" s="16" t="str">
        <x:v>2001089943-U117</x:v>
      </x:c>
      <x:c r="C51" s="16" t="str">
        <x:v>ЗАГЛУШКА КОНУСНАЯ VETTER KK 600/1600</x:v>
      </x:c>
      <x:c r="D51" s="16" t="str">
        <x:v>Детали фасонные</x:v>
      </x:c>
      <x:c r="E51" s="16" t="str">
        <x:v>ШТ</x:v>
      </x:c>
      <x:c r="F51" s="21" t="n">
        <x:v>1</x:v>
      </x:c>
      <x:c r="G51" s="17" t="n">
        <x:v>693112.5</x:v>
      </x:c>
      <x:c r="H51" s="17" t="n">
        <x:f>G51*F51</x:f>
        <x:v>693112.5</x:v>
      </x:c>
      <x:c r="I51" s="22" t="str">
        <x:f>HYPERLINK("https://etp-aktiv.ru/catalog/materialy/truboprovody/2001089943-U117/","Открыть позицию")</x:f>
        <x:v>Открыть позицию</x:v>
      </x:c>
    </x:row>
    <x:row r="52" ht="28" customHeight="1">
      <x:c r="A52" s="16" t="str">
        <x:v>Приморская ГРЭС</x:v>
      </x:c>
      <x:c r="B52" s="16" t="str">
        <x:v>2000730870-U117</x:v>
      </x:c>
      <x:c r="C52" s="16" t="str">
        <x:v>ЗАГЛУШКА НПВХ 50 16 PVC-U МУФ RDRCAD0500</x:v>
      </x:c>
      <x:c r="D52" s="16" t="str">
        <x:v>Фитинги труб полимерных</x:v>
      </x:c>
      <x:c r="E52" s="16" t="str">
        <x:v>ШТ</x:v>
      </x:c>
      <x:c r="F52" s="21" t="n">
        <x:v>6</x:v>
      </x:c>
      <x:c r="G52" s="17" t="n">
        <x:v>58.486799999999995</x:v>
      </x:c>
      <x:c r="H52" s="17" t="n">
        <x:f>G52*F52</x:f>
        <x:v>350.9208</x:v>
      </x:c>
      <x:c r="I52" s="22" t="str">
        <x:f>HYPERLINK("https://etp-aktiv.ru/catalog/materialy/truboprovody/2000730870-U117/","Открыть позицию")</x:f>
        <x:v>Открыть позицию</x:v>
      </x:c>
    </x:row>
    <x:row r="53" ht="28" customHeight="1">
      <x:c r="A53" s="16" t="str">
        <x:v>Приморская ГРЭС</x:v>
      </x:c>
      <x:c r="B53" s="16" t="str">
        <x:v>2000729793-U117</x:v>
      </x:c>
      <x:c r="C53" s="16" t="str">
        <x:v>ЗАГЛУШКА НПВХ D110 PN16 RDRCAD1100</x:v>
      </x:c>
      <x:c r="D53" s="16" t="str">
        <x:v>Фитинги труб полимерных</x:v>
      </x:c>
      <x:c r="E53" s="16" t="str">
        <x:v>ШТ</x:v>
      </x:c>
      <x:c r="F53" s="21" t="n">
        <x:v>10</x:v>
      </x:c>
      <x:c r="G53" s="17" t="n">
        <x:v>525.0025999999999</x:v>
      </x:c>
      <x:c r="H53" s="17" t="n">
        <x:f>G53*F53</x:f>
        <x:v>5250.025999999999</x:v>
      </x:c>
      <x:c r="I53" s="22" t="str">
        <x:f>HYPERLINK("https://etp-aktiv.ru/catalog/materialy/truboprovody/2000729793-U117/","Открыть позицию")</x:f>
        <x:v>Открыть позицию</x:v>
      </x:c>
    </x:row>
    <x:row r="54" ht="28" customHeight="1">
      <x:c r="A54" s="16" t="str">
        <x:v>Приморская ГРЭС</x:v>
      </x:c>
      <x:c r="B54" s="16" t="str">
        <x:v>2000729792-U117</x:v>
      </x:c>
      <x:c r="C54" s="16" t="str">
        <x:v>ЗАГЛУШКА НПВХ D75 PN16 RDRCAD0750</x:v>
      </x:c>
      <x:c r="D54" s="16" t="str">
        <x:v>Фитинги труб полимерных</x:v>
      </x:c>
      <x:c r="E54" s="16" t="str">
        <x:v>ШТ</x:v>
      </x:c>
      <x:c r="F54" s="21" t="n">
        <x:v>6</x:v>
      </x:c>
      <x:c r="G54" s="17" t="n">
        <x:v>179.95</x:v>
      </x:c>
      <x:c r="H54" s="17" t="n">
        <x:f>G54*F54</x:f>
        <x:v>1079.6999999999998</x:v>
      </x:c>
      <x:c r="I54" s="22" t="str">
        <x:f>HYPERLINK("https://etp-aktiv.ru/catalog/materialy/truboprovody/2000729792-U117/","Открыть позицию")</x:f>
        <x:v>Открыть позицию</x:v>
      </x:c>
    </x:row>
    <x:row r="55" ht="28" customHeight="1">
      <x:c r="A55" s="16" t="str">
        <x:v>Приморская ГРЭС</x:v>
      </x:c>
      <x:c r="B55" s="16" t="str">
        <x:v>2000933153-U117</x:v>
      </x:c>
      <x:c r="C55" s="16" t="str">
        <x:v>ЗАГЛУШКА ПНЕВМ ПЗРТ-16 DN1400-1600</x:v>
      </x:c>
      <x:c r="D55" s="16" t="str">
        <x:v>Детали фасонные</x:v>
      </x:c>
      <x:c r="E55" s="16" t="str">
        <x:v>ШТ</x:v>
      </x:c>
      <x:c r="F55" s="21" t="n">
        <x:v>2</x:v>
      </x:c>
      <x:c r="G55" s="17" t="n">
        <x:v>387960</x:v>
      </x:c>
      <x:c r="H55" s="17" t="n">
        <x:f>G55*F55</x:f>
        <x:v>775920</x:v>
      </x:c>
      <x:c r="I55" s="22" t="str">
        <x:f>HYPERLINK("https://etp-aktiv.ru/catalog/materialy/truboprovody/2000933153-U117/","Открыть позицию")</x:f>
        <x:v>Открыть позицию</x:v>
      </x:c>
    </x:row>
    <x:row r="56" ht="28" customHeight="1">
      <x:c r="A56" s="16" t="str">
        <x:v>Приморская ГРЭС</x:v>
      </x:c>
      <x:c r="B56" s="16" t="str">
        <x:v>2000732150-U117</x:v>
      </x:c>
      <x:c r="C56" s="16" t="str">
        <x:v>ЗАДВИЖКА 2С-Э-4 DN300 PN100 ПП ЭП</x:v>
      </x:c>
      <x:c r="D56" s="16" t="str">
        <x:v>Трубопроводная арматура высокого давления</x:v>
      </x:c>
      <x:c r="E56" s="16" t="str">
        <x:v>ШТ</x:v>
      </x:c>
      <x:c r="F56" s="21" t="n">
        <x:v>2</x:v>
      </x:c>
      <x:c r="G56" s="17" t="n">
        <x:v>531333.5216</x:v>
      </x:c>
      <x:c r="H56" s="17" t="n">
        <x:f>G56*F56</x:f>
        <x:v>1062667.0432</x:v>
      </x:c>
      <x:c r="I56" s="22" t="str">
        <x:f>HYPERLINK("https://etp-aktiv.ru/catalog/materialy/truboprovodnaya-armatura-i-komplektuyushchie/2000732150-U117/","Открыть позицию")</x:f>
        <x:v>Открыть позицию</x:v>
      </x:c>
    </x:row>
    <x:row r="57" ht="28" customHeight="1">
      <x:c r="A57" s="16" t="str">
        <x:v>Приморская ГРЭС</x:v>
      </x:c>
      <x:c r="B57" s="16" t="str">
        <x:v>2000015921-U117</x:v>
      </x:c>
      <x:c r="C57" s="16" t="str">
        <x:v>ЗАДВИЖКА 30С41НЖ DN250 PN16</x:v>
      </x:c>
      <x:c r="D57" s="16" t="str">
        <x:v>Трубопроводная арматура общепромышленного назначения</x:v>
      </x:c>
      <x:c r="E57" s="16" t="str">
        <x:v>ШТ</x:v>
      </x:c>
      <x:c r="F57" s="21" t="n">
        <x:v>7</x:v>
      </x:c>
      <x:c r="G57" s="17" t="n">
        <x:v>25534.2218</x:v>
      </x:c>
      <x:c r="H57" s="17" t="n">
        <x:f>G57*F57</x:f>
        <x:v>178739.5526</x:v>
      </x:c>
      <x:c r="I57" s="22" t="str">
        <x:f>HYPERLINK("https://etp-aktiv.ru/catalog/materialy/truboprovodnaya-armatura-i-komplektuyushchie/2000015921-U117/","Открыть позицию")</x:f>
        <x:v>Открыть позицию</x:v>
      </x:c>
    </x:row>
    <x:row r="58" ht="28" customHeight="1">
      <x:c r="A58" s="16" t="str">
        <x:v>Приморская ГРЭС</x:v>
      </x:c>
      <x:c r="B58" s="16" t="str">
        <x:v>2000330635-U117</x:v>
      </x:c>
      <x:c r="C58" s="16" t="str">
        <x:v>ЗАДВИЖКА 30С41НЖ DN400 PN40</x:v>
      </x:c>
      <x:c r="D58" s="16" t="str">
        <x:v>Задвижки/клапаны стальные</x:v>
      </x:c>
      <x:c r="E58" s="16" t="str">
        <x:v>ШТ</x:v>
      </x:c>
      <x:c r="F58" s="21" t="n">
        <x:v>1</x:v>
      </x:c>
      <x:c r="G58" s="17" t="n">
        <x:v>107912.8186</x:v>
      </x:c>
      <x:c r="H58" s="17" t="n">
        <x:f>G58*F58</x:f>
        <x:v>107912.8186</x:v>
      </x:c>
      <x:c r="I58" s="22" t="str">
        <x:f>HYPERLINK("https://etp-aktiv.ru/catalog/materialy/truboprovodnaya-armatura-i-komplektuyushchie/2000330635-U117/","Открыть позицию")</x:f>
        <x:v>Открыть позицию</x:v>
      </x:c>
    </x:row>
    <x:row r="59" ht="28" customHeight="1">
      <x:c r="A59" s="16" t="str">
        <x:v>Приморская ГРЭС</x:v>
      </x:c>
      <x:c r="B59" s="16" t="str">
        <x:v>2000539361-U117</x:v>
      </x:c>
      <x:c r="C59" s="16" t="str">
        <x:v>ЗАДВИЖКА 30С41НЖ DN50 PN16 Р/П ФЛ А КОФ</x:v>
      </x:c>
      <x:c r="D59" s="16" t="str">
        <x:v>Задвижки/клапаны стальные</x:v>
      </x:c>
      <x:c r="E59" s="16" t="str">
        <x:v>ШТ</x:v>
      </x:c>
      <x:c r="F59" s="21" t="n">
        <x:v>3</x:v>
      </x:c>
      <x:c r="G59" s="17" t="n">
        <x:v>13718.204600000001</x:v>
      </x:c>
      <x:c r="H59" s="17" t="n">
        <x:f>G59*F59</x:f>
        <x:v>41154.61380000001</x:v>
      </x:c>
      <x:c r="I59" s="22" t="str">
        <x:f>HYPERLINK("https://etp-aktiv.ru/catalog/materialy/truboprovodnaya-armatura-i-komplektuyushchie/2000539361-U117/","Открыть позицию")</x:f>
        <x:v>Открыть позицию</x:v>
      </x:c>
    </x:row>
    <x:row r="60" ht="28" customHeight="1">
      <x:c r="A60" s="16" t="str">
        <x:v>Приморская ГРЭС</x:v>
      </x:c>
      <x:c r="B60" s="16" t="str">
        <x:v>2000539363-U117</x:v>
      </x:c>
      <x:c r="C60" s="16" t="str">
        <x:v>ЗАДВИЖКА 30С41НЖ DN80 PN16 Р/П ФЛ А КОФ</x:v>
      </x:c>
      <x:c r="D60" s="16" t="str">
        <x:v>Задвижки/клапаны стальные</x:v>
      </x:c>
      <x:c r="E60" s="16" t="str">
        <x:v>ШТ</x:v>
      </x:c>
      <x:c r="F60" s="21" t="n">
        <x:v>1</x:v>
      </x:c>
      <x:c r="G60" s="17" t="n">
        <x:v>21421.6994</x:v>
      </x:c>
      <x:c r="H60" s="17" t="n">
        <x:f>G60*F60</x:f>
        <x:v>21421.6994</x:v>
      </x:c>
      <x:c r="I60" s="22" t="str">
        <x:f>HYPERLINK("https://etp-aktiv.ru/catalog/materialy/truboprovodnaya-armatura-i-komplektuyushchie/2000539363-U117/","Открыть позицию")</x:f>
        <x:v>Открыть позицию</x:v>
      </x:c>
    </x:row>
    <x:row r="61" ht="28" customHeight="1">
      <x:c r="A61" s="16" t="str">
        <x:v>Приморская ГРЭС</x:v>
      </x:c>
      <x:c r="B61" s="16" t="str">
        <x:v>2000177498-U117</x:v>
      </x:c>
      <x:c r="C61" s="16" t="str">
        <x:v>ЗАДВИЖКА 30С564НЖ DN400 PN25</x:v>
      </x:c>
      <x:c r="D61" s="16" t="str">
        <x:v>Трубопроводная арматура общепромышленного назначения</x:v>
      </x:c>
      <x:c r="E61" s="16" t="str">
        <x:v>ШТ</x:v>
      </x:c>
      <x:c r="F61" s="21" t="n">
        <x:v>4</x:v>
      </x:c>
      <x:c r="G61" s="17" t="n">
        <x:v>127896.27219999999</x:v>
      </x:c>
      <x:c r="H61" s="17" t="n">
        <x:f>G61*F61</x:f>
        <x:v>511585.08879999997</x:v>
      </x:c>
      <x:c r="I61" s="22" t="str">
        <x:f>HYPERLINK("https://etp-aktiv.ru/catalog/materialy/truboprovodnaya-armatura-i-komplektuyushchie/2000177498-U117/","Открыть позицию")</x:f>
        <x:v>Открыть позицию</x:v>
      </x:c>
    </x:row>
    <x:row r="62" ht="28" customHeight="1">
      <x:c r="A62" s="16" t="str">
        <x:v>Приморская ГРЭС</x:v>
      </x:c>
      <x:c r="B62" s="16" t="str">
        <x:v>2000539382-U117</x:v>
      </x:c>
      <x:c r="C62" s="16" t="str">
        <x:v>ЗАДВИЖКА 30С64НЖ DN100 PN25 Р/П ФЛ А КОФ</x:v>
      </x:c>
      <x:c r="D62" s="16" t="str">
        <x:v>Задвижки/клапаны стальные</x:v>
      </x:c>
      <x:c r="E62" s="16" t="str">
        <x:v>ШТ</x:v>
      </x:c>
      <x:c r="F62" s="21" t="n">
        <x:v>4</x:v>
      </x:c>
      <x:c r="G62" s="17" t="n">
        <x:v>33119.9866</x:v>
      </x:c>
      <x:c r="H62" s="17" t="n">
        <x:f>G62*F62</x:f>
        <x:v>132479.9464</x:v>
      </x:c>
      <x:c r="I62" s="22" t="str">
        <x:f>HYPERLINK("https://etp-aktiv.ru/catalog/materialy/truboprovodnaya-armatura-i-komplektuyushchie/2000539382-U117/","Открыть позицию")</x:f>
        <x:v>Открыть позицию</x:v>
      </x:c>
    </x:row>
    <x:row r="63" ht="28" customHeight="1">
      <x:c r="A63" s="16" t="str">
        <x:v>Приморская ГРЭС</x:v>
      </x:c>
      <x:c r="B63" s="16" t="str">
        <x:v>2000539387-U117</x:v>
      </x:c>
      <x:c r="C63" s="16" t="str">
        <x:v>ЗАДВИЖКА 30С64НЖ DN300 PN25 РП ПП A</x:v>
      </x:c>
      <x:c r="D63" s="16" t="str">
        <x:v>Задвижки/клапаны стальные</x:v>
      </x:c>
      <x:c r="E63" s="16" t="str">
        <x:v>ШТ</x:v>
      </x:c>
      <x:c r="F63" s="21" t="n">
        <x:v>4</x:v>
      </x:c>
      <x:c r="G63" s="17" t="n">
        <x:v>87105.32819999999</x:v>
      </x:c>
      <x:c r="H63" s="17" t="n">
        <x:f>G63*F63</x:f>
        <x:v>348421.31279999996</x:v>
      </x:c>
      <x:c r="I63" s="22" t="str">
        <x:f>HYPERLINK("https://etp-aktiv.ru/catalog/materialy/truboprovodnaya-armatura-i-komplektuyushchie/2000539387-U117/","Открыть позицию")</x:f>
        <x:v>Открыть позицию</x:v>
      </x:c>
    </x:row>
    <x:row r="64" ht="28" customHeight="1">
      <x:c r="A64" s="16" t="str">
        <x:v>Приморская ГРЭС</x:v>
      </x:c>
      <x:c r="B64" s="16" t="str">
        <x:v>2000539392-U117</x:v>
      </x:c>
      <x:c r="C64" s="16" t="str">
        <x:v>ЗАДВИЖКА 30С64НЖ DN80 PN25 Р/П ПП</x:v>
      </x:c>
      <x:c r="D64" s="16" t="str">
        <x:v>Задвижки/клапаны стальные</x:v>
      </x:c>
      <x:c r="E64" s="16" t="str">
        <x:v>ШТ</x:v>
      </x:c>
      <x:c r="F64" s="21" t="n">
        <x:v>2</x:v>
      </x:c>
      <x:c r="G64" s="17" t="n">
        <x:v>22767.03</x:v>
      </x:c>
      <x:c r="H64" s="17" t="n">
        <x:f>G64*F64</x:f>
        <x:v>45534.06</x:v>
      </x:c>
      <x:c r="I64" s="22" t="str">
        <x:f>HYPERLINK("https://etp-aktiv.ru/catalog/materialy/truboprovodnaya-armatura-i-komplektuyushchie/2000539392-U117/","Открыть позицию")</x:f>
        <x:v>Открыть позицию</x:v>
      </x:c>
    </x:row>
    <x:row r="65" ht="28" customHeight="1">
      <x:c r="A65" s="16" t="str">
        <x:v>Приморская ГРЭС</x:v>
      </x:c>
      <x:c r="B65" s="16" t="str">
        <x:v>2000539393-U117</x:v>
      </x:c>
      <x:c r="C65" s="16" t="str">
        <x:v>ЗАДВИЖКА 30С64НЖ DN80 PN25 Р/П ФЛ А КОФ</x:v>
      </x:c>
      <x:c r="D65" s="16" t="str">
        <x:v>Задвижки/клапаны стальные</x:v>
      </x:c>
      <x:c r="E65" s="16" t="str">
        <x:v>ШТ</x:v>
      </x:c>
      <x:c r="F65" s="21" t="n">
        <x:v>4</x:v>
      </x:c>
      <x:c r="G65" s="17" t="n">
        <x:v>7335.0548</x:v>
      </x:c>
      <x:c r="H65" s="17" t="n">
        <x:f>G65*F65</x:f>
        <x:v>29340.2192</x:v>
      </x:c>
      <x:c r="I65" s="22" t="str">
        <x:f>HYPERLINK("https://etp-aktiv.ru/catalog/materialy/truboprovodnaya-armatura-i-komplektuyushchie/2000539393-U117/","Открыть позицию")</x:f>
        <x:v>Открыть позицию</x:v>
      </x:c>
    </x:row>
    <x:row r="66" ht="28" customHeight="1">
      <x:c r="A66" s="16" t="str">
        <x:v>Приморская ГРЭС</x:v>
      </x:c>
      <x:c r="B66" s="16" t="str">
        <x:v>2000984331-U117</x:v>
      </x:c>
      <x:c r="C66" s="16" t="str">
        <x:v>ЗАДВИЖКА 30С941НЖ DN125 PN16 ЭП ФЛ КОФ</x:v>
      </x:c>
      <x:c r="D66" s="16" t="str">
        <x:v>Задвижки/клапаны стальные</x:v>
      </x:c>
      <x:c r="E66" s="16" t="str">
        <x:v>ШТ</x:v>
      </x:c>
      <x:c r="F66" s="21" t="n">
        <x:v>2</x:v>
      </x:c>
      <x:c r="G66" s="17" t="n">
        <x:v>165060.91259999998</x:v>
      </x:c>
      <x:c r="H66" s="17" t="n">
        <x:f>G66*F66</x:f>
        <x:v>330121.82519999996</x:v>
      </x:c>
      <x:c r="I66" s="22" t="str">
        <x:f>HYPERLINK("https://etp-aktiv.ru/catalog/materialy/truboprovodnaya-armatura-i-komplektuyushchie/2000984331-U117/","Открыть позицию")</x:f>
        <x:v>Открыть позицию</x:v>
      </x:c>
    </x:row>
    <x:row r="67" ht="28" customHeight="1">
      <x:c r="A67" s="16" t="str">
        <x:v>Приморская ГРЭС</x:v>
      </x:c>
      <x:c r="B67" s="16" t="str">
        <x:v>2000539429-U117</x:v>
      </x:c>
      <x:c r="C67" s="16" t="str">
        <x:v>ЗАДВИЖКА 30С964НЖ DN400 PN25 Э/П ФЛ А</x:v>
      </x:c>
      <x:c r="D67" s="16" t="str">
        <x:v>Задвижки/клапаны стальные</x:v>
      </x:c>
      <x:c r="E67" s="16" t="str">
        <x:v>ШТ</x:v>
      </x:c>
      <x:c r="F67" s="21" t="n">
        <x:v>1</x:v>
      </x:c>
      <x:c r="G67" s="17" t="n">
        <x:v>208734.36279999997</x:v>
      </x:c>
      <x:c r="H67" s="17" t="n">
        <x:f>G67*F67</x:f>
        <x:v>208734.36279999997</x:v>
      </x:c>
      <x:c r="I67" s="22" t="str">
        <x:f>HYPERLINK("https://etp-aktiv.ru/catalog/materialy/truboprovodnaya-armatura-i-komplektuyushchie/2000539429-U117/","Открыть позицию")</x:f>
        <x:v>Открыть позицию</x:v>
      </x:c>
    </x:row>
    <x:row r="68" ht="28" customHeight="1">
      <x:c r="A68" s="16" t="str">
        <x:v>Приморская ГРЭС</x:v>
      </x:c>
      <x:c r="B68" s="16" t="str">
        <x:v>2000539440-U117</x:v>
      </x:c>
      <x:c r="C68" s="16" t="str">
        <x:v>ЗАДВИЖКА 30С976НЖ 150/63 В-А2-10КУ1 ФЛ А</x:v>
      </x:c>
      <x:c r="D68" s="16" t="str">
        <x:v>Задвижки/клапаны стальные</x:v>
      </x:c>
      <x:c r="E68" s="16" t="str">
        <x:v>ШТ</x:v>
      </x:c>
      <x:c r="F68" s="21" t="n">
        <x:v>6</x:v>
      </x:c>
      <x:c r="G68" s="17" t="n">
        <x:v>424331.25</x:v>
      </x:c>
      <x:c r="H68" s="17" t="n">
        <x:f>G68*F68</x:f>
        <x:v>2545987.5</x:v>
      </x:c>
      <x:c r="I68" s="22" t="str">
        <x:f>HYPERLINK("https://etp-aktiv.ru/catalog/materialy/truboprovodnaya-armatura-i-komplektuyushchie/2000539440-U117/","Открыть позицию")</x:f>
        <x:v>Открыть позицию</x:v>
      </x:c>
    </x:row>
    <x:row r="69" ht="28" customHeight="1">
      <x:c r="A69" s="16" t="str">
        <x:v>Приморская ГРЭС</x:v>
      </x:c>
      <x:c r="B69" s="16" t="str">
        <x:v>2000014312-U117</x:v>
      </x:c>
      <x:c r="C69" s="16" t="str">
        <x:v>ЗАДВИЖКА 30Ч6БР DN300 PN10</x:v>
      </x:c>
      <x:c r="D69" s="16" t="str">
        <x:v>Чугунная арматура (кроме затворов)</x:v>
      </x:c>
      <x:c r="E69" s="16" t="str">
        <x:v>ШТ</x:v>
      </x:c>
      <x:c r="F69" s="21" t="n">
        <x:v>1</x:v>
      </x:c>
      <x:c r="G69" s="17" t="n">
        <x:v>54438.9864</x:v>
      </x:c>
      <x:c r="H69" s="17" t="n">
        <x:f>G69*F69</x:f>
        <x:v>54438.9864</x:v>
      </x:c>
      <x:c r="I69" s="22" t="str">
        <x:f>HYPERLINK("https://etp-aktiv.ru/catalog/materialy/truboprovodnaya-armatura-i-komplektuyushchie/2000014312-U117/","Открыть позицию")</x:f>
        <x:v>Открыть позицию</x:v>
      </x:c>
    </x:row>
    <x:row r="70" ht="28" customHeight="1">
      <x:c r="A70" s="16" t="str">
        <x:v>Приморская ГРЭС</x:v>
      </x:c>
      <x:c r="B70" s="16" t="str">
        <x:v>2000009267-U117</x:v>
      </x:c>
      <x:c r="C70" s="16" t="str">
        <x:v>ЗАДВИЖКА 30Ч6БР DN80 PN10</x:v>
      </x:c>
      <x:c r="D70" s="16" t="str">
        <x:v>Чугунная арматура (кроме затворов)</x:v>
      </x:c>
      <x:c r="E70" s="16" t="str">
        <x:v>ШТ</x:v>
      </x:c>
      <x:c r="F70" s="21" t="n">
        <x:v>1</x:v>
      </x:c>
      <x:c r="G70" s="17" t="n">
        <x:v>3949.9939999999997</x:v>
      </x:c>
      <x:c r="H70" s="17" t="n">
        <x:f>G70*F70</x:f>
        <x:v>3949.9939999999997</x:v>
      </x:c>
      <x:c r="I70" s="22" t="str">
        <x:f>HYPERLINK("https://etp-aktiv.ru/catalog/materialy/truboprovodnaya-armatura-i-komplektuyushchie/2000009267-U117/","Открыть позицию")</x:f>
        <x:v>Открыть позицию</x:v>
      </x:c>
    </x:row>
    <x:row r="71" ht="28" customHeight="1">
      <x:c r="A71" s="16" t="str">
        <x:v>Приморская ГРЭС</x:v>
      </x:c>
      <x:c r="B71" s="16" t="str">
        <x:v>2000570920-U117</x:v>
      </x:c>
      <x:c r="C71" s="16" t="str">
        <x:v>ЗАДВИЖКА 30Ч6НЖ 100/16 РУЧ/ПР МАХОВ ФЛ А</x:v>
      </x:c>
      <x:c r="D71" s="16" t="str">
        <x:v>Чугунная арматура (кроме затворов)</x:v>
      </x:c>
      <x:c r="E71" s="16" t="str">
        <x:v>ШТ</x:v>
      </x:c>
      <x:c r="F71" s="21" t="n">
        <x:v>1</x:v>
      </x:c>
      <x:c r="G71" s="17" t="n">
        <x:v>3717.1936</x:v>
      </x:c>
      <x:c r="H71" s="17" t="n">
        <x:f>G71*F71</x:f>
        <x:v>3717.1936</x:v>
      </x:c>
      <x:c r="I71" s="22" t="str">
        <x:f>HYPERLINK("https://etp-aktiv.ru/catalog/materialy/truboprovodnaya-armatura-i-komplektuyushchie/2000570920-U117/","Открыть позицию")</x:f>
        <x:v>Открыть позицию</x:v>
      </x:c>
    </x:row>
    <x:row r="72" ht="28" customHeight="1">
      <x:c r="A72" s="16" t="str">
        <x:v>Приморская ГРЭС</x:v>
      </x:c>
      <x:c r="B72" s="16" t="str">
        <x:v>2000733015-U117</x:v>
      </x:c>
      <x:c r="C72" s="16" t="str">
        <x:v>ЗАТВОР НПВХ 110 10 PVC-U ФЛ FKOVLM110E</x:v>
      </x:c>
      <x:c r="D72" s="16" t="str">
        <x:v>Фитинги труб полимерных</x:v>
      </x:c>
      <x:c r="E72" s="16" t="str">
        <x:v>ШТ</x:v>
      </x:c>
      <x:c r="F72" s="21" t="n">
        <x:v>15</x:v>
      </x:c>
      <x:c r="G72" s="17" t="n">
        <x:v>7744.901599999999</x:v>
      </x:c>
      <x:c r="H72" s="17" t="n">
        <x:f>G72*F72</x:f>
        <x:v>116173.52399999999</x:v>
      </x:c>
      <x:c r="I72" s="22" t="str">
        <x:f>HYPERLINK("https://etp-aktiv.ru/catalog/materialy/truboprovody/2000733015-U117/","Открыть позицию")</x:f>
        <x:v>Открыть позицию</x:v>
      </x:c>
    </x:row>
    <x:row r="73" ht="28" customHeight="1">
      <x:c r="A73" s="16" t="str">
        <x:v>Приморская ГРЭС</x:v>
      </x:c>
      <x:c r="B73" s="16" t="str">
        <x:v>2000731845-U117</x:v>
      </x:c>
      <x:c r="C73" s="16" t="str">
        <x:v>ЗАТВОР НПВХ 75 16 PVC-U ФЛ FKOVLM075E</x:v>
      </x:c>
      <x:c r="D73" s="16" t="str">
        <x:v>Фитинги труб полимерных</x:v>
      </x:c>
      <x:c r="E73" s="16" t="str">
        <x:v>ШТ</x:v>
      </x:c>
      <x:c r="F73" s="21" t="n">
        <x:v>15</x:v>
      </x:c>
      <x:c r="G73" s="17" t="n">
        <x:v>18079.18</x:v>
      </x:c>
      <x:c r="H73" s="17" t="n">
        <x:f>G73*F73</x:f>
        <x:v>271187.7</x:v>
      </x:c>
      <x:c r="I73" s="22" t="str">
        <x:f>HYPERLINK("https://etp-aktiv.ru/catalog/materialy/truboprovody/2000731845-U117/","Открыть позицию")</x:f>
        <x:v>Открыть позицию</x:v>
      </x:c>
    </x:row>
    <x:row r="74" ht="28" customHeight="1">
      <x:c r="A74" s="16" t="str">
        <x:v>Приморская ГРЭС</x:v>
      </x:c>
      <x:c r="B74" s="16" t="str">
        <x:v>2000730871-U117</x:v>
      </x:c>
      <x:c r="C74" s="16" t="str">
        <x:v>ЗАТВОР НПВХ D50 PN16 PP-GR ФЛ FKOVLM050E</x:v>
      </x:c>
      <x:c r="D74" s="16" t="str">
        <x:v>Фитинги труб полимерных</x:v>
      </x:c>
      <x:c r="E74" s="16" t="str">
        <x:v>ШТ</x:v>
      </x:c>
      <x:c r="F74" s="21" t="n">
        <x:v>8</x:v>
      </x:c>
      <x:c r="G74" s="17" t="n">
        <x:v>15368.181400000001</x:v>
      </x:c>
      <x:c r="H74" s="17" t="n">
        <x:f>G74*F74</x:f>
        <x:v>122945.45120000001</x:v>
      </x:c>
      <x:c r="I74" s="22" t="str">
        <x:f>HYPERLINK("https://etp-aktiv.ru/catalog/materialy/truboprovody/2000730871-U117/","Открыть позицию")</x:f>
        <x:v>Открыть позицию</x:v>
      </x:c>
    </x:row>
    <x:row r="75" ht="28" customHeight="1">
      <x:c r="A75" s="16" t="str">
        <x:v>Приморская ГРЭС</x:v>
      </x:c>
      <x:c r="B75" s="16" t="str">
        <x:v>2000531791-U117</x:v>
      </x:c>
      <x:c r="C75" s="16" t="str">
        <x:v>ЗОЛОТНИК 1416-100-40СБ</x:v>
      </x:c>
      <x:c r="D75" s="16" t="str">
        <x:v>Запасные части к трубопроводной арматуре</x:v>
      </x:c>
      <x:c r="E75" s="16" t="str">
        <x:v>ШТ</x:v>
      </x:c>
      <x:c r="F75" s="21" t="n">
        <x:v>2</x:v>
      </x:c>
      <x:c r="G75" s="17" t="n">
        <x:v>25758.3968</x:v>
      </x:c>
      <x:c r="H75" s="17" t="n">
        <x:f>G75*F75</x:f>
        <x:v>51516.7936</x:v>
      </x:c>
      <x:c r="I75" s="22" t="str">
        <x:f>HYPERLINK("https://etp-aktiv.ru/catalog/materialy/truboprovodnaya-armatura-i-komplektuyushchie/2000531791-U117/","Открыть позицию")</x:f>
        <x:v>Открыть позицию</x:v>
      </x:c>
    </x:row>
    <x:row r="76" ht="28" customHeight="1">
      <x:c r="A76" s="16" t="str">
        <x:v>Приморская ГРЭС</x:v>
      </x:c>
      <x:c r="B76" s="16" t="str">
        <x:v>2000552599-U117</x:v>
      </x:c>
      <x:c r="C76" s="16" t="str">
        <x:v>КЛАПАН 1052-65-0 DN65 PN235 СЕДЛО Н/СМЕН</x:v>
      </x:c>
      <x:c r="D76" s="16" t="str">
        <x:v>Трубопроводная арматура высокого давления</x:v>
      </x:c>
      <x:c r="E76" s="16" t="str">
        <x:v>ШТ</x:v>
      </x:c>
      <x:c r="F76" s="21" t="n">
        <x:v>15</x:v>
      </x:c>
      <x:c r="G76" s="17" t="n">
        <x:v>39351.5758</x:v>
      </x:c>
      <x:c r="H76" s="17" t="n">
        <x:f>G76*F76</x:f>
        <x:v>590273.637</x:v>
      </x:c>
      <x:c r="I76" s="22" t="str">
        <x:f>HYPERLINK("https://etp-aktiv.ru/catalog/materialy/truboprovodnaya-armatura-i-komplektuyushchie/2000552599-U117/","Открыть позицию")</x:f>
        <x:v>Открыть позицию</x:v>
      </x:c>
    </x:row>
    <x:row r="77" ht="28" customHeight="1">
      <x:c r="A77" s="16" t="str">
        <x:v>Приморская ГРЭС</x:v>
      </x:c>
      <x:c r="B77" s="16" t="str">
        <x:v>2000165841-U117</x:v>
      </x:c>
      <x:c r="C77" s="16" t="str">
        <x:v>КЛАПАН 1057-65-0 DN65 PN100</x:v>
      </x:c>
      <x:c r="D77" s="16" t="str">
        <x:v>Трубопроводная арматура высокого давления</x:v>
      </x:c>
      <x:c r="E77" s="16" t="str">
        <x:v>ШТ</x:v>
      </x:c>
      <x:c r="F77" s="21" t="n">
        <x:v>9</x:v>
      </x:c>
      <x:c r="G77" s="17" t="n">
        <x:v>35070.0102</x:v>
      </x:c>
      <x:c r="H77" s="17" t="n">
        <x:f>G77*F77</x:f>
        <x:v>315630.0918</x:v>
      </x:c>
      <x:c r="I77" s="22" t="str">
        <x:f>HYPERLINK("https://etp-aktiv.ru/catalog/materialy/truboprovodnaya-armatura-i-komplektuyushchie/2000165841-U117/","Открыть позицию")</x:f>
        <x:v>Открыть позицию</x:v>
      </x:c>
    </x:row>
    <x:row r="78" ht="28" customHeight="1">
      <x:c r="A78" s="16" t="str">
        <x:v>Приморская ГРЭС</x:v>
      </x:c>
      <x:c r="B78" s="16" t="str">
        <x:v>2000552612-U117</x:v>
      </x:c>
      <x:c r="C78" s="16" t="str">
        <x:v>КЛАПАН 1057-65-ЭН DN65 PN100 Э/П П/П</x:v>
      </x:c>
      <x:c r="D78" s="16" t="str">
        <x:v>Трубопроводная арматура высокого давления</x:v>
      </x:c>
      <x:c r="E78" s="16" t="str">
        <x:v>ШТ</x:v>
      </x:c>
      <x:c r="F78" s="21" t="n">
        <x:v>2</x:v>
      </x:c>
      <x:c r="G78" s="17" t="n">
        <x:v>246151.72619999998</x:v>
      </x:c>
      <x:c r="H78" s="17" t="n">
        <x:f>G78*F78</x:f>
        <x:v>492303.45239999995</x:v>
      </x:c>
      <x:c r="I78" s="22" t="str">
        <x:f>HYPERLINK("https://etp-aktiv.ru/catalog/materialy/truboprovodnaya-armatura-i-komplektuyushchie/2000552612-U117/","Открыть позицию")</x:f>
        <x:v>Открыть позицию</x:v>
      </x:c>
    </x:row>
    <x:row r="79" ht="28" customHeight="1">
      <x:c r="A79" s="16" t="str">
        <x:v>Приморская ГРЭС</x:v>
      </x:c>
      <x:c r="B79" s="16" t="str">
        <x:v>2000539527-U117</x:v>
      </x:c>
      <x:c r="C79" s="16" t="str">
        <x:v>КЛАПАН 15Б1П DN25 PN16 Б/ПР МАХОВ МУФТ А</x:v>
      </x:c>
      <x:c r="D79" s="16" t="str">
        <x:v>Арматура из медных сплавов</x:v>
      </x:c>
      <x:c r="E79" s="16" t="str">
        <x:v>ШТ</x:v>
      </x:c>
      <x:c r="F79" s="21" t="n">
        <x:v>9</x:v>
      </x:c>
      <x:c r="G79" s="17" t="n">
        <x:v>310.8682</x:v>
      </x:c>
      <x:c r="H79" s="17" t="n">
        <x:f>G79*F79</x:f>
        <x:v>2797.8138</x:v>
      </x:c>
      <x:c r="I79" s="22" t="str">
        <x:f>HYPERLINK("https://etp-aktiv.ru/catalog/materialy/truboprovodnaya-armatura-i-komplektuyushchie/2000539527-U117/","Открыть позицию")</x:f>
        <x:v>Открыть позицию</x:v>
      </x:c>
    </x:row>
    <x:row r="80" ht="28" customHeight="1">
      <x:c r="A80" s="16" t="str">
        <x:v>Приморская ГРЭС</x:v>
      </x:c>
      <x:c r="B80" s="16" t="str">
        <x:v>2000539529-U117</x:v>
      </x:c>
      <x:c r="C80" s="16" t="str">
        <x:v>КЛАПАН 15Б1П DN40 PN16 Б/ПР МАХОВ МУФТ А</x:v>
      </x:c>
      <x:c r="D80" s="16" t="str">
        <x:v>Арматура из медных сплавов</x:v>
      </x:c>
      <x:c r="E80" s="16" t="str">
        <x:v>ШТ</x:v>
      </x:c>
      <x:c r="F80" s="21" t="n">
        <x:v>2</x:v>
      </x:c>
      <x:c r="G80" s="17" t="n">
        <x:v>1181.875</x:v>
      </x:c>
      <x:c r="H80" s="17" t="n">
        <x:f>G80*F80</x:f>
        <x:v>2363.75</x:v>
      </x:c>
      <x:c r="I80" s="22" t="str">
        <x:f>HYPERLINK("https://etp-aktiv.ru/catalog/materialy/truboprovodnaya-armatura-i-komplektuyushchie/2000539529-U117/","Открыть позицию")</x:f>
        <x:v>Открыть позицию</x:v>
      </x:c>
    </x:row>
    <x:row r="81" ht="28" customHeight="1">
      <x:c r="A81" s="16" t="str">
        <x:v>Приморская ГРЭС</x:v>
      </x:c>
      <x:c r="B81" s="16" t="str">
        <x:v>2000539544-U117</x:v>
      </x:c>
      <x:c r="C81" s="16" t="str">
        <x:v>КЛАПАН 15Б3Р DN50 PN10 РП МАХОВ МУФТ B</x:v>
      </x:c>
      <x:c r="D81" s="16" t="str">
        <x:v>Арматура из медных сплавов</x:v>
      </x:c>
      <x:c r="E81" s="16" t="str">
        <x:v>ШТ</x:v>
      </x:c>
      <x:c r="F81" s="21" t="n">
        <x:v>9</x:v>
      </x:c>
      <x:c r="G81" s="17" t="n">
        <x:v>2121.9216</x:v>
      </x:c>
      <x:c r="H81" s="17" t="n">
        <x:f>G81*F81</x:f>
        <x:v>19097.294400000002</x:v>
      </x:c>
      <x:c r="I81" s="22" t="str">
        <x:f>HYPERLINK("https://etp-aktiv.ru/catalog/materialy/truboprovodnaya-armatura-i-komplektuyushchie/2000539544-U117/","Открыть позицию")</x:f>
        <x:v>Открыть позицию</x:v>
      </x:c>
    </x:row>
    <x:row r="82" ht="28" customHeight="1">
      <x:c r="A82" s="16" t="str">
        <x:v>Приморская ГРЭС</x:v>
      </x:c>
      <x:c r="B82" s="16" t="str">
        <x:v>2000539551-U117</x:v>
      </x:c>
      <x:c r="C82" s="16" t="str">
        <x:v>КЛАПАН 15БЗР DN50 PN16 Р.П МАХОВИК ФЛ A</x:v>
      </x:c>
      <x:c r="D82" s="16" t="str">
        <x:v>Арматура из медных сплавов</x:v>
      </x:c>
      <x:c r="E82" s="16" t="str">
        <x:v>ШТ</x:v>
      </x:c>
      <x:c r="F82" s="21" t="n">
        <x:v>6</x:v>
      </x:c>
      <x:c r="G82" s="17" t="n">
        <x:v>1517.375</x:v>
      </x:c>
      <x:c r="H82" s="17" t="n">
        <x:f>G82*F82</x:f>
        <x:v>9104.25</x:v>
      </x:c>
      <x:c r="I82" s="22" t="str">
        <x:f>HYPERLINK("https://etp-aktiv.ru/catalog/materialy/truboprovodnaya-armatura-i-komplektuyushchie/2000539551-U117/","Открыть позицию")</x:f>
        <x:v>Открыть позицию</x:v>
      </x:c>
    </x:row>
    <x:row r="83" ht="28" customHeight="1">
      <x:c r="A83" s="16" t="str">
        <x:v>Приморская ГРЭС</x:v>
      </x:c>
      <x:c r="B83" s="16" t="str">
        <x:v>2000539565-U117</x:v>
      </x:c>
      <x:c r="C83" s="16" t="str">
        <x:v>КЛАПАН 15КЧ19П DN40 PN16 МАХОВ ФЛАНЦ C</x:v>
      </x:c>
      <x:c r="D83" s="16" t="str">
        <x:v>Чугунная арматура (кроме затворов)</x:v>
      </x:c>
      <x:c r="E83" s="16" t="str">
        <x:v>ШТ</x:v>
      </x:c>
      <x:c r="F83" s="21" t="n">
        <x:v>2</x:v>
      </x:c>
      <x:c r="G83" s="17" t="n">
        <x:v>2454.4936000000002</x:v>
      </x:c>
      <x:c r="H83" s="17" t="n">
        <x:f>G83*F83</x:f>
        <x:v>4908.9872000000005</x:v>
      </x:c>
      <x:c r="I83" s="22" t="str">
        <x:f>HYPERLINK("https://etp-aktiv.ru/catalog/materialy/truboprovodnaya-armatura-i-komplektuyushchie/2000539565-U117/","Открыть позицию")</x:f>
        <x:v>Открыть позицию</x:v>
      </x:c>
    </x:row>
    <x:row r="84" ht="28" customHeight="1">
      <x:c r="A84" s="16" t="str">
        <x:v>Приморская ГРЭС</x:v>
      </x:c>
      <x:c r="B84" s="16" t="str">
        <x:v>2000539603-U117</x:v>
      </x:c>
      <x:c r="C84" s="16" t="str">
        <x:v>КЛАПАН 15С22НЖ 80/40 РУЧ/ПР МАХОВИК ФЛ А</x:v>
      </x:c>
      <x:c r="D84" s="16" t="str">
        <x:v>Задвижки/клапаны стальные</x:v>
      </x:c>
      <x:c r="E84" s="16" t="str">
        <x:v>ШТ</x:v>
      </x:c>
      <x:c r="F84" s="21" t="n">
        <x:v>2</x:v>
      </x:c>
      <x:c r="G84" s="17" t="n">
        <x:v>8463.9208</x:v>
      </x:c>
      <x:c r="H84" s="17" t="n">
        <x:f>G84*F84</x:f>
        <x:v>16927.8416</x:v>
      </x:c>
      <x:c r="I84" s="22" t="str">
        <x:f>HYPERLINK("https://etp-aktiv.ru/catalog/materialy/truboprovodnaya-armatura-i-komplektuyushchie/2000539603-U117/","Открыть позицию")</x:f>
        <x:v>Открыть позицию</x:v>
      </x:c>
    </x:row>
    <x:row r="85" ht="28" customHeight="1">
      <x:c r="A85" s="16" t="str">
        <x:v>Приморская ГРЭС</x:v>
      </x:c>
      <x:c r="B85" s="16" t="str">
        <x:v>2000539655-U117</x:v>
      </x:c>
      <x:c r="C85" s="16" t="str">
        <x:v>КЛАПАН 15Ч75П2М DN40 PN10 Р/П ФЛ А</x:v>
      </x:c>
      <x:c r="D85" s="16" t="str">
        <x:v>Чугунная арматура (кроме затворов)</x:v>
      </x:c>
      <x:c r="E85" s="16" t="str">
        <x:v>ШТ</x:v>
      </x:c>
      <x:c r="F85" s="21" t="n">
        <x:v>2</x:v>
      </x:c>
      <x:c r="G85" s="17" t="n">
        <x:v>24737.94</x:v>
      </x:c>
      <x:c r="H85" s="17" t="n">
        <x:f>G85*F85</x:f>
        <x:v>49475.88</x:v>
      </x:c>
      <x:c r="I85" s="22" t="str">
        <x:f>HYPERLINK("https://etp-aktiv.ru/catalog/materialy/truboprovodnaya-armatura-i-komplektuyushchie/2000539655-U117/","Открыть позицию")</x:f>
        <x:v>Открыть позицию</x:v>
      </x:c>
    </x:row>
    <x:row r="86" ht="28" customHeight="1">
      <x:c r="A86" s="16" t="str">
        <x:v>Приморская ГРЭС</x:v>
      </x:c>
      <x:c r="B86" s="16" t="str">
        <x:v>2000855119-U117</x:v>
      </x:c>
      <x:c r="C86" s="16" t="str">
        <x:v>КЛАПАН 17С6НЖ DN65 PN16 РП ФЛ КОФ</x:v>
      </x:c>
      <x:c r="D86" s="16" t="str">
        <x:v>Предохранительная арматура</x:v>
      </x:c>
      <x:c r="E86" s="16" t="str">
        <x:v>ШТ</x:v>
      </x:c>
      <x:c r="F86" s="21" t="n">
        <x:v>1</x:v>
      </x:c>
      <x:c r="G86" s="17" t="n">
        <x:v>5490</x:v>
      </x:c>
      <x:c r="H86" s="17" t="n">
        <x:f>G86*F86</x:f>
        <x:v>5490</x:v>
      </x:c>
      <x:c r="I86" s="22" t="str">
        <x:f>HYPERLINK("https://etp-aktiv.ru/catalog/materialy/truboprovodnaya-armatura-i-komplektuyushchie/2000855119-U117/","Открыть позицию")</x:f>
        <x:v>Открыть позицию</x:v>
      </x:c>
    </x:row>
    <x:row r="87" ht="28" customHeight="1">
      <x:c r="A87" s="16" t="str">
        <x:v>Приморская ГРЭС</x:v>
      </x:c>
      <x:c r="B87" s="16" t="str">
        <x:v>2000552641-U117</x:v>
      </x:c>
      <x:c r="C87" s="16" t="str">
        <x:v>КЛАПАН 392-175/95-ОГ 175/137 БП ФЛ</x:v>
      </x:c>
      <x:c r="D87" s="16" t="str">
        <x:v>Трубопроводная арматура высокого давления</x:v>
      </x:c>
      <x:c r="E87" s="16" t="str">
        <x:v>ШТ</x:v>
      </x:c>
      <x:c r="F87" s="21" t="n">
        <x:v>4</x:v>
      </x:c>
      <x:c r="G87" s="17" t="n">
        <x:v>1975668</x:v>
      </x:c>
      <x:c r="H87" s="17" t="n">
        <x:f>G87*F87</x:f>
        <x:v>7902672</x:v>
      </x:c>
      <x:c r="I87" s="22" t="str">
        <x:f>HYPERLINK("https://etp-aktiv.ru/catalog/materialy/truboprovodnaya-armatura-i-komplektuyushchie/2000552641-U117/","Открыть позицию")</x:f>
        <x:v>Открыть позицию</x:v>
      </x:c>
    </x:row>
    <x:row r="88" ht="28" customHeight="1">
      <x:c r="A88" s="16" t="str">
        <x:v>Приморская ГРЭС</x:v>
      </x:c>
      <x:c r="B88" s="16" t="str">
        <x:v>2000730872-U117</x:v>
      </x:c>
      <x:c r="C88" s="16" t="str">
        <x:v>КЛАПАН НПВХ 75 16 PVC-U ФЛ CDRCKD0750</x:v>
      </x:c>
      <x:c r="D88" s="16" t="str">
        <x:v>Фитинги труб полимерных</x:v>
      </x:c>
      <x:c r="E88" s="16" t="str">
        <x:v>ШТ</x:v>
      </x:c>
      <x:c r="F88" s="21" t="n">
        <x:v>9</x:v>
      </x:c>
      <x:c r="G88" s="17" t="n">
        <x:v>5577.3153999999995</x:v>
      </x:c>
      <x:c r="H88" s="17" t="n">
        <x:f>G88*F88</x:f>
        <x:v>50195.838599999995</x:v>
      </x:c>
      <x:c r="I88" s="22" t="str">
        <x:f>HYPERLINK("https://etp-aktiv.ru/catalog/materialy/truboprovody/2000730872-U117/","Открыть позицию")</x:f>
        <x:v>Открыть позицию</x:v>
      </x:c>
    </x:row>
    <x:row r="89" ht="28" customHeight="1">
      <x:c r="A89" s="16" t="str">
        <x:v>Приморская ГРЭС</x:v>
      </x:c>
      <x:c r="B89" s="16" t="str">
        <x:v>2000733790-U117</x:v>
      </x:c>
      <x:c r="C89" s="16" t="str">
        <x:v>КЛАПАН НПВХ DN110 PN10 CDRCKD1100</x:v>
      </x:c>
      <x:c r="D89" s="16" t="str">
        <x:v>Фитинги труб полимерных</x:v>
      </x:c>
      <x:c r="E89" s="16" t="str">
        <x:v>ШТ</x:v>
      </x:c>
      <x:c r="F89" s="21" t="n">
        <x:v>8</x:v>
      </x:c>
      <x:c r="G89" s="17" t="n">
        <x:v>8367.675</x:v>
      </x:c>
      <x:c r="H89" s="17" t="n">
        <x:f>G89*F89</x:f>
        <x:v>66941.4</x:v>
      </x:c>
      <x:c r="I89" s="22" t="str">
        <x:f>HYPERLINK("https://etp-aktiv.ru/catalog/materialy/truboprovody/2000733790-U117/","Открыть позицию")</x:f>
        <x:v>Открыть позицию</x:v>
      </x:c>
    </x:row>
    <x:row r="90" ht="28" customHeight="1">
      <x:c r="A90" s="16" t="str">
        <x:v>Приморская ГРЭС</x:v>
      </x:c>
      <x:c r="B90" s="16" t="str">
        <x:v>2000903791-U117</x:v>
      </x:c>
      <x:c r="C90" s="16" t="str">
        <x:v>КЛАПАН ОБР 3С-20-25-450 DN20 PN250 БП ПП</x:v>
      </x:c>
      <x:c r="D90" s="16" t="str">
        <x:v>Трубопроводная арматура высокого давления</x:v>
      </x:c>
      <x:c r="E90" s="16" t="str">
        <x:v>ШТ</x:v>
      </x:c>
      <x:c r="F90" s="21" t="n">
        <x:v>11</x:v>
      </x:c>
      <x:c r="G90" s="17" t="n">
        <x:v>9209.78</x:v>
      </x:c>
      <x:c r="H90" s="17" t="n">
        <x:f>G90*F90</x:f>
        <x:v>101307.58</x:v>
      </x:c>
      <x:c r="I90" s="22" t="str">
        <x:f>HYPERLINK("https://etp-aktiv.ru/catalog/materialy/truboprovodnaya-armatura-i-komplektuyushchie/2000903791-U117/","Открыть позицию")</x:f>
        <x:v>Открыть позицию</x:v>
      </x:c>
    </x:row>
    <x:row r="91" ht="28" customHeight="1">
      <x:c r="A91" s="16" t="str">
        <x:v>Приморская ГРЭС</x:v>
      </x:c>
      <x:c r="B91" s="16" t="str">
        <x:v>2000795443-U117</x:v>
      </x:c>
      <x:c r="C91" s="16" t="str">
        <x:v>КЛАПАН ОБРАТНЫЙ 19С16НЖ DN50 PN16 БП ФЛ</x:v>
      </x:c>
      <x:c r="D91" s="16" t="str">
        <x:v>Обратная арматура</x:v>
      </x:c>
      <x:c r="E91" s="16" t="str">
        <x:v>ШТ</x:v>
      </x:c>
      <x:c r="F91" s="21" t="n">
        <x:v>1</x:v>
      </x:c>
      <x:c r="G91" s="17" t="n">
        <x:v>9790.5</x:v>
      </x:c>
      <x:c r="H91" s="17" t="n">
        <x:f>G91*F91</x:f>
        <x:v>9790.5</x:v>
      </x:c>
      <x:c r="I91" s="22" t="str">
        <x:f>HYPERLINK("https://etp-aktiv.ru/catalog/materialy/truboprovodnaya-armatura-i-komplektuyushchie/2000795443-U117/","Открыть позицию")</x:f>
        <x:v>Открыть позицию</x:v>
      </x:c>
    </x:row>
    <x:row r="92" ht="28" customHeight="1">
      <x:c r="A92" s="16" t="str">
        <x:v>Приморская ГРЭС</x:v>
      </x:c>
      <x:c r="B92" s="16" t="str">
        <x:v>2000493654-U117</x:v>
      </x:c>
      <x:c r="C92" s="16" t="str">
        <x:v>КЛАПАН ОБРАТНЫЙ CB 3448N DN50 PN10</x:v>
      </x:c>
      <x:c r="D92" s="16" t="str">
        <x:v>Обратная арматура</x:v>
      </x:c>
      <x:c r="E92" s="16" t="str">
        <x:v>ШТ</x:v>
      </x:c>
      <x:c r="F92" s="21" t="n">
        <x:v>4</x:v>
      </x:c>
      <x:c r="G92" s="17" t="n">
        <x:v>3949.9939999999997</x:v>
      </x:c>
      <x:c r="H92" s="17" t="n">
        <x:f>G92*F92</x:f>
        <x:v>15799.975999999999</x:v>
      </x:c>
      <x:c r="I92" s="22" t="str">
        <x:f>HYPERLINK("https://etp-aktiv.ru/catalog/materialy/truboprovodnaya-armatura-i-komplektuyushchie/2000493654-U117/","Открыть позицию")</x:f>
        <x:v>Открыть позицию</x:v>
      </x:c>
    </x:row>
    <x:row r="93" ht="28" customHeight="1">
      <x:c r="A93" s="16" t="str">
        <x:v>Приморская ГРЭС</x:v>
      </x:c>
      <x:c r="B93" s="16" t="str">
        <x:v>2000591822-U117</x:v>
      </x:c>
      <x:c r="C93" s="16" t="str">
        <x:v>КЛАПАН Т-141БМ DN200 PN100</x:v>
      </x:c>
      <x:c r="D93" s="16" t="str">
        <x:v>Трубопроводная арматура высокого давления</x:v>
      </x:c>
      <x:c r="E93" s="16" t="str">
        <x:v>ШТ</x:v>
      </x:c>
      <x:c r="F93" s="21" t="n">
        <x:v>1</x:v>
      </x:c>
      <x:c r="G93" s="17" t="n">
        <x:v>427000</x:v>
      </x:c>
      <x:c r="H93" s="17" t="n">
        <x:f>G93*F93</x:f>
        <x:v>427000</x:v>
      </x:c>
      <x:c r="I93" s="22" t="str">
        <x:f>HYPERLINK("https://etp-aktiv.ru/catalog/materialy/truboprovodnaya-armatura-i-komplektuyushchie/2000591822-U117/","Открыть позицию")</x:f>
        <x:v>Открыть позицию</x:v>
      </x:c>
    </x:row>
    <x:row r="94" ht="28" customHeight="1">
      <x:c r="A94" s="16" t="str">
        <x:v>Приморская ГРЭС</x:v>
      </x:c>
      <x:c r="B94" s="16" t="str">
        <x:v>2000535013-U117</x:v>
      </x:c>
      <x:c r="C94" s="16" t="str">
        <x:v>КОМПЕНСАТОР ЛИНЗОВЫЙ 1600-1 17 ПГВУ 243</x:v>
      </x:c>
      <x:c r="D94" s="16" t="str">
        <x:v>Компенсаторы</x:v>
      </x:c>
      <x:c r="E94" s="16" t="str">
        <x:v>ШТ</x:v>
      </x:c>
      <x:c r="F94" s="21" t="n">
        <x:v>1</x:v>
      </x:c>
      <x:c r="G94" s="17" t="n">
        <x:v>45622.4734</x:v>
      </x:c>
      <x:c r="H94" s="17" t="n">
        <x:f>G94*F94</x:f>
        <x:v>45622.4734</x:v>
      </x:c>
      <x:c r="I94" s="22" t="str">
        <x:f>HYPERLINK("https://etp-aktiv.ru/catalog/materialy/truboprovody/2000535013-U117/","Открыть позицию")</x:f>
        <x:v>Открыть позицию</x:v>
      </x:c>
    </x:row>
    <x:row r="95" ht="28" customHeight="1">
      <x:c r="A95" s="16" t="str">
        <x:v>Приморская ГРЭС</x:v>
      </x:c>
      <x:c r="B95" s="16" t="str">
        <x:v>2000008604-U117</x:v>
      </x:c>
      <x:c r="C95" s="16" t="str">
        <x:v>КРАН 11Б27П DN50 PN16</x:v>
      </x:c>
      <x:c r="D95" s="16" t="str">
        <x:v>Арматура из медных сплавов</x:v>
      </x:c>
      <x:c r="E95" s="16" t="str">
        <x:v>ШТ</x:v>
      </x:c>
      <x:c r="F95" s="21" t="n">
        <x:v>115</x:v>
      </x:c>
      <x:c r="G95" s="17" t="n">
        <x:v>1954.44</x:v>
      </x:c>
      <x:c r="H95" s="17" t="n">
        <x:f>G95*F95</x:f>
        <x:v>224760.6</x:v>
      </x:c>
      <x:c r="I95" s="22" t="str">
        <x:f>HYPERLINK("https://etp-aktiv.ru/catalog/materialy/truboprovodnaya-armatura-i-komplektuyushchie/2000008604-U117/","Открыть позицию")</x:f>
        <x:v>Открыть позицию</x:v>
      </x:c>
    </x:row>
    <x:row r="96" ht="28" customHeight="1">
      <x:c r="A96" s="16" t="str">
        <x:v>Приморская ГРЭС</x:v>
      </x:c>
      <x:c r="B96" s="16" t="str">
        <x:v>2000220716-U117</x:v>
      </x:c>
      <x:c r="C96" s="16" t="str">
        <x:v>КРАН ШАРОВЫЙ КШЦФ DN100 PN16</x:v>
      </x:c>
      <x:c r="D96" s="16" t="str">
        <x:v>Трубопроводная арматура общепромышленного назначения</x:v>
      </x:c>
      <x:c r="E96" s="16" t="str">
        <x:v>ШТ</x:v>
      </x:c>
      <x:c r="F96" s="21" t="n">
        <x:v>4</x:v>
      </x:c>
      <x:c r="G96" s="17" t="n">
        <x:v>1387.0302000000001</x:v>
      </x:c>
      <x:c r="H96" s="17" t="n">
        <x:f>G96*F96</x:f>
        <x:v>5548.120800000001</x:v>
      </x:c>
      <x:c r="I96" s="22" t="str">
        <x:f>HYPERLINK("https://etp-aktiv.ru/catalog/materialy/truboprovodnaya-armatura-i-komplektuyushchie/2000220716-U117/","Открыть позицию")</x:f>
        <x:v>Открыть позицию</x:v>
      </x:c>
    </x:row>
    <x:row r="97" ht="28" customHeight="1">
      <x:c r="A97" s="16" t="str">
        <x:v>Приморская ГРЭС</x:v>
      </x:c>
      <x:c r="B97" s="16" t="str">
        <x:v>2000446779-U117</x:v>
      </x:c>
      <x:c r="C97" s="16" t="str">
        <x:v>КРАН ШАРОВЫЙ КШЦФ DN32 PN40</x:v>
      </x:c>
      <x:c r="D97" s="16" t="str">
        <x:v>Трубопроводная арматура общепромышленного назначения</x:v>
      </x:c>
      <x:c r="E97" s="16" t="str">
        <x:v>ШТ</x:v>
      </x:c>
      <x:c r="F97" s="21" t="n">
        <x:v>7</x:v>
      </x:c>
      <x:c r="G97" s="17" t="n">
        <x:v>342.5638</x:v>
      </x:c>
      <x:c r="H97" s="17" t="n">
        <x:f>G97*F97</x:f>
        <x:v>2397.9466</x:v>
      </x:c>
      <x:c r="I97" s="22" t="str">
        <x:f>HYPERLINK("https://etp-aktiv.ru/catalog/materialy/truboprovodnaya-armatura-i-komplektuyushchie/2000446779-U117/","Открыть позицию")</x:f>
        <x:v>Открыть позицию</x:v>
      </x:c>
    </x:row>
    <x:row r="98" ht="28" customHeight="1">
      <x:c r="A98" s="16" t="str">
        <x:v>Приморская ГРЭС</x:v>
      </x:c>
      <x:c r="B98" s="16" t="str">
        <x:v>2000967193-U117</x:v>
      </x:c>
      <x:c r="C98" s="16" t="str">
        <x:v>КРАН ШАРОВЫЙ СП СТ20 МАСЛО ФЛ 150 25 РП</x:v>
      </x:c>
      <x:c r="D98" s="16" t="str">
        <x:v>Краны шаровые стальные</x:v>
      </x:c>
      <x:c r="E98" s="16" t="str">
        <x:v>ШТ</x:v>
      </x:c>
      <x:c r="F98" s="21" t="n">
        <x:v>1</x:v>
      </x:c>
      <x:c r="G98" s="17" t="n">
        <x:v>13309.9072</x:v>
      </x:c>
      <x:c r="H98" s="17" t="n">
        <x:f>G98*F98</x:f>
        <x:v>13309.9072</x:v>
      </x:c>
      <x:c r="I98" s="22" t="str">
        <x:f>HYPERLINK("https://etp-aktiv.ru/catalog/materialy/truboprovodnaya-armatura-i-komplektuyushchie/2000967193-U117/","Открыть позицию")</x:f>
        <x:v>Открыть позицию</x:v>
      </x:c>
    </x:row>
    <x:row r="99" ht="28" customHeight="1">
      <x:c r="A99" s="16" t="str">
        <x:v>Приморская ГРЭС</x:v>
      </x:c>
      <x:c r="B99" s="16" t="str">
        <x:v>2000927144-U117</x:v>
      </x:c>
      <x:c r="C99" s="16" t="str">
        <x:v>КРАН ШАРОВЫЙ СП СТ20 МАСЛО ФЛ 50 40 РП</x:v>
      </x:c>
      <x:c r="D99" s="16" t="str">
        <x:v>Краны шаровые стальные</x:v>
      </x:c>
      <x:c r="E99" s="16" t="str">
        <x:v>ШТ</x:v>
      </x:c>
      <x:c r="F99" s="21" t="n">
        <x:v>48</x:v>
      </x:c>
      <x:c r="G99" s="17" t="n">
        <x:v>1369.8526</x:v>
      </x:c>
      <x:c r="H99" s="17" t="n">
        <x:f>G99*F99</x:f>
        <x:v>65752.9248</x:v>
      </x:c>
      <x:c r="I99" s="22" t="str">
        <x:f>HYPERLINK("https://etp-aktiv.ru/catalog/materialy/truboprovodnaya-armatura-i-komplektuyushchie/2000927144-U117/","Открыть позицию")</x:f>
        <x:v>Открыть позицию</x:v>
      </x:c>
    </x:row>
    <x:row r="100" ht="28" customHeight="1">
      <x:c r="A100" s="16" t="str">
        <x:v>Приморская ГРЭС</x:v>
      </x:c>
      <x:c r="B100" s="16" t="str">
        <x:v>2000250083-U117</x:v>
      </x:c>
      <x:c r="C100" s="16" t="str">
        <x:v>КРАН ШАРОВЫЙ СТ20 DN32 PN25</x:v>
      </x:c>
      <x:c r="D100" s="16" t="str">
        <x:v>Трубопроводная арматура общепромышленного назначения</x:v>
      </x:c>
      <x:c r="E100" s="16" t="str">
        <x:v>ШТ</x:v>
      </x:c>
      <x:c r="F100" s="21" t="n">
        <x:v>3</x:v>
      </x:c>
      <x:c r="G100" s="17" t="n">
        <x:v>214.9518</x:v>
      </x:c>
      <x:c r="H100" s="17" t="n">
        <x:f>G100*F100</x:f>
        <x:v>644.8553999999999</x:v>
      </x:c>
      <x:c r="I100" s="22" t="str">
        <x:f>HYPERLINK("https://etp-aktiv.ru/catalog/materialy/truboprovodnaya-armatura-i-komplektuyushchie/2000250083-U117/","Открыть позицию")</x:f>
        <x:v>Открыть позицию</x:v>
      </x:c>
    </x:row>
    <x:row r="101" ht="28" customHeight="1">
      <x:c r="A101" s="16" t="str">
        <x:v>Приморская ГРЭС</x:v>
      </x:c>
      <x:c r="B101" s="16" t="str">
        <x:v>2000255181-U117</x:v>
      </x:c>
      <x:c r="C101" s="16" t="str">
        <x:v>КРЕПЕЖ ТРУБНЫЙ PPRC DN20</x:v>
      </x:c>
      <x:c r="D101" s="16" t="str">
        <x:v>Фитинги труб полимерных</x:v>
      </x:c>
      <x:c r="E101" s="16" t="str">
        <x:v>ШТ</x:v>
      </x:c>
      <x:c r="F101" s="21" t="n">
        <x:v>200</x:v>
      </x:c>
      <x:c r="G101" s="17" t="n">
        <x:v>3.66</x:v>
      </x:c>
      <x:c r="H101" s="17" t="n">
        <x:f>G101*F101</x:f>
        <x:v>732</x:v>
      </x:c>
      <x:c r="I101" s="22" t="str">
        <x:f>HYPERLINK("https://etp-aktiv.ru/catalog/materialy/truboprovody/2000255181-U117/","Открыть позицию")</x:f>
        <x:v>Открыть позицию</x:v>
      </x:c>
    </x:row>
    <x:row r="102" ht="28" customHeight="1">
      <x:c r="A102" s="16" t="str">
        <x:v>Приморская ГРЭС</x:v>
      </x:c>
      <x:c r="B102" s="16" t="str">
        <x:v>2000255187-U117</x:v>
      </x:c>
      <x:c r="C102" s="16" t="str">
        <x:v>КРЕПЕЖ ТРУБНЫЙ PPRC DN50</x:v>
      </x:c>
      <x:c r="D102" s="16" t="str">
        <x:v>Фитинги труб полимерных</x:v>
      </x:c>
      <x:c r="E102" s="16" t="str">
        <x:v>ШТ</x:v>
      </x:c>
      <x:c r="F102" s="21" t="n">
        <x:v>40</x:v>
      </x:c>
      <x:c r="G102" s="17" t="n">
        <x:v>18.3</x:v>
      </x:c>
      <x:c r="H102" s="17" t="n">
        <x:f>G102*F102</x:f>
        <x:v>732</x:v>
      </x:c>
      <x:c r="I102" s="22" t="str">
        <x:f>HYPERLINK("https://etp-aktiv.ru/catalog/materialy/truboprovody/2000255187-U117/","Открыть позицию")</x:f>
        <x:v>Открыть позицию</x:v>
      </x:c>
    </x:row>
    <x:row r="103" ht="28" customHeight="1">
      <x:c r="A103" s="16" t="str">
        <x:v>Приморская ГРЭС</x:v>
      </x:c>
      <x:c r="B103" s="16" t="str">
        <x:v>2000701284-U117</x:v>
      </x:c>
      <x:c r="C103" s="16" t="str">
        <x:v>ЛЮК С (А15) К.2.7-60-1 ЧУГУН ГОСТ3634-99</x:v>
      </x:c>
      <x:c r="D103" s="16" t="str">
        <x:v>Детали фасонные</x:v>
      </x:c>
      <x:c r="E103" s="16" t="str">
        <x:v>ШТ</x:v>
      </x:c>
      <x:c r="F103" s="21" t="n">
        <x:v>1</x:v>
      </x:c>
      <x:c r="G103" s="17" t="n">
        <x:v>10218.0368</x:v>
      </x:c>
      <x:c r="H103" s="17" t="n">
        <x:f>G103*F103</x:f>
        <x:v>10218.0368</x:v>
      </x:c>
      <x:c r="I103" s="22" t="str">
        <x:f>HYPERLINK("https://etp-aktiv.ru/catalog/materialy/truboprovody/2000701284-U117/","Открыть позицию")</x:f>
        <x:v>Открыть позицию</x:v>
      </x:c>
    </x:row>
    <x:row r="104" ht="28" customHeight="1">
      <x:c r="A104" s="16" t="str">
        <x:v>Приморская ГРЭС</x:v>
      </x:c>
      <x:c r="B104" s="16" t="str">
        <x:v>2000622588-U117</x:v>
      </x:c>
      <x:c r="C104" s="16" t="str">
        <x:v>ЛЮК Т(С250)-ТС.2.7-60 ЧУГУН Н=170ММ</x:v>
      </x:c>
      <x:c r="D104" s="16" t="str">
        <x:v>Детали фасонные</x:v>
      </x:c>
      <x:c r="E104" s="16" t="str">
        <x:v>ШТ</x:v>
      </x:c>
      <x:c r="F104" s="21" t="n">
        <x:v>1</x:v>
      </x:c>
      <x:c r="G104" s="17" t="n">
        <x:v>17649.7522</x:v>
      </x:c>
      <x:c r="H104" s="17" t="n">
        <x:f>G104*F104</x:f>
        <x:v>17649.7522</x:v>
      </x:c>
      <x:c r="I104" s="22" t="str">
        <x:f>HYPERLINK("https://etp-aktiv.ru/catalog/materialy/truboprovody/2000622588-U117/","Открыть позицию")</x:f>
        <x:v>Открыть позицию</x:v>
      </x:c>
    </x:row>
    <x:row r="105" ht="28" customHeight="1">
      <x:c r="A105" s="16" t="str">
        <x:v>Приморская ГРЭС</x:v>
      </x:c>
      <x:c r="B105" s="16" t="str">
        <x:v>2000527627-U117</x:v>
      </x:c>
      <x:c r="C105" s="16" t="str">
        <x:v>МЕМБРАНА М80.02-08 КЛАПАН 15Ч76П2М DY100</x:v>
      </x:c>
      <x:c r="D105" s="16" t="str">
        <x:v>Запасные части к трубопроводной арматуре</x:v>
      </x:c>
      <x:c r="E105" s="16" t="str">
        <x:v>ШТ</x:v>
      </x:c>
      <x:c r="F105" s="21" t="n">
        <x:v>5</x:v>
      </x:c>
      <x:c r="G105" s="17" t="n">
        <x:v>1399.9987999999998</x:v>
      </x:c>
      <x:c r="H105" s="17" t="n">
        <x:f>G105*F105</x:f>
        <x:v>6999.993999999999</x:v>
      </x:c>
      <x:c r="I105" s="22" t="str">
        <x:f>HYPERLINK("https://etp-aktiv.ru/catalog/materialy/truboprovodnaya-armatura-i-komplektuyushchie/2000527627-U117/","Открыть позицию")</x:f>
        <x:v>Открыть позицию</x:v>
      </x:c>
    </x:row>
    <x:row r="106" ht="28" customHeight="1">
      <x:c r="A106" s="16" t="str">
        <x:v>Приморская ГРЭС</x:v>
      </x:c>
      <x:c r="B106" s="16" t="str">
        <x:v>2000542152-U117</x:v>
      </x:c>
      <x:c r="C106" s="16" t="str">
        <x:v>МЕХАНИЗМ МЭО 1600/25-0,25- 92К</x:v>
      </x:c>
      <x:c r="D106" s="16" t="str">
        <x:v>Приводы арматуры</x:v>
      </x:c>
      <x:c r="E106" s="16" t="str">
        <x:v>ШТ</x:v>
      </x:c>
      <x:c r="F106" s="21" t="n">
        <x:v>4</x:v>
      </x:c>
      <x:c r="G106" s="17" t="n">
        <x:v>130263.4626</x:v>
      </x:c>
      <x:c r="H106" s="17" t="n">
        <x:f>G106*F106</x:f>
        <x:v>521053.8504</x:v>
      </x:c>
      <x:c r="I106" s="22" t="str">
        <x:f>HYPERLINK("https://etp-aktiv.ru/catalog/materialy/truboprovodnaya-armatura-i-komplektuyushchie/2000542152-U117/","Открыть позицию")</x:f>
        <x:v>Открыть позицию</x:v>
      </x:c>
    </x:row>
    <x:row r="107" ht="28" customHeight="1">
      <x:c r="A107" s="16" t="str">
        <x:v>Приморская ГРЭС</x:v>
      </x:c>
      <x:c r="B107" s="16" t="str">
        <x:v>2000453021-U117</x:v>
      </x:c>
      <x:c r="C107" s="16" t="str">
        <x:v>МУФТА DN15 PN16 ИСПОЛНЕНИЕ1 ГОСТ8954-75</x:v>
      </x:c>
      <x:c r="D107" s="16" t="str">
        <x:v>Детали фасонные</x:v>
      </x:c>
      <x:c r="E107" s="16" t="str">
        <x:v>ШТ</x:v>
      </x:c>
      <x:c r="F107" s="21" t="n">
        <x:v>2</x:v>
      </x:c>
      <x:c r="G107" s="17" t="n">
        <x:v>86.925</x:v>
      </x:c>
      <x:c r="H107" s="17" t="n">
        <x:f>G107*F107</x:f>
        <x:v>173.85</x:v>
      </x:c>
      <x:c r="I107" s="22" t="str">
        <x:f>HYPERLINK("https://etp-aktiv.ru/catalog/materialy/truboprovody/2000453021-U117/","Открыть позицию")</x:f>
        <x:v>Открыть позицию</x:v>
      </x:c>
    </x:row>
    <x:row r="108" ht="28" customHeight="1">
      <x:c r="A108" s="16" t="str">
        <x:v>Приморская ГРЭС</x:v>
      </x:c>
      <x:c r="B108" s="16" t="str">
        <x:v>2000730853-U117</x:v>
      </x:c>
      <x:c r="C108" s="16" t="str">
        <x:v>МУФТА НПВХ 50*1*1/2 PN16 RGRBND050F.N</x:v>
      </x:c>
      <x:c r="D108" s="16" t="str">
        <x:v>Фитинги труб полимерных</x:v>
      </x:c>
      <x:c r="E108" s="16" t="str">
        <x:v>ШТ</x:v>
      </x:c>
      <x:c r="F108" s="21" t="n">
        <x:v>50</x:v>
      </x:c>
      <x:c r="G108" s="17" t="n">
        <x:v>2520.825</x:v>
      </x:c>
      <x:c r="H108" s="17" t="n">
        <x:f>G108*F108</x:f>
        <x:v>126041.24999999999</x:v>
      </x:c>
      <x:c r="I108" s="22" t="str">
        <x:f>HYPERLINK("https://etp-aktiv.ru/catalog/materialy/truboprovody/2000730853-U117/","Открыть позицию")</x:f>
        <x:v>Открыть позицию</x:v>
      </x:c>
    </x:row>
    <x:row r="109" ht="28" customHeight="1">
      <x:c r="A109" s="16" t="str">
        <x:v>Приморская ГРЭС</x:v>
      </x:c>
      <x:c r="B109" s="16" t="str">
        <x:v>2000730873-U117</x:v>
      </x:c>
      <x:c r="C109" s="16" t="str">
        <x:v>МУФТА НПВХ 50*1*1/2 МУФ RGRBBD050F.N</x:v>
      </x:c>
      <x:c r="D109" s="16" t="str">
        <x:v>Фитинги труб полимерных</x:v>
      </x:c>
      <x:c r="E109" s="16" t="str">
        <x:v>ШТ</x:v>
      </x:c>
      <x:c r="F109" s="21" t="n">
        <x:v>50</x:v>
      </x:c>
      <x:c r="G109" s="17" t="n">
        <x:v>2255.475</x:v>
      </x:c>
      <x:c r="H109" s="17" t="n">
        <x:f>G109*F109</x:f>
        <x:v>112773.75</x:v>
      </x:c>
      <x:c r="I109" s="22" t="str">
        <x:f>HYPERLINK("https://etp-aktiv.ru/catalog/materialy/truboprovody/2000730873-U117/","Открыть позицию")</x:f>
        <x:v>Открыть позицию</x:v>
      </x:c>
    </x:row>
    <x:row r="110" ht="28" customHeight="1">
      <x:c r="A110" s="16" t="str">
        <x:v>Приморская ГРЭС</x:v>
      </x:c>
      <x:c r="B110" s="16" t="str">
        <x:v>2000729795-U117</x:v>
      </x:c>
      <x:c r="C110" s="16" t="str">
        <x:v>МУФТА НПВХ D110 PN16 RDRMAD1100</x:v>
      </x:c>
      <x:c r="D110" s="16" t="str">
        <x:v>Фитинги труб полимерных</x:v>
      </x:c>
      <x:c r="E110" s="16" t="str">
        <x:v>ШТ</x:v>
      </x:c>
      <x:c r="F110" s="21" t="n">
        <x:v>97</x:v>
      </x:c>
      <x:c r="G110" s="17" t="n">
        <x:v>404.8936</x:v>
      </x:c>
      <x:c r="H110" s="17" t="n">
        <x:f>G110*F110</x:f>
        <x:v>39274.6792</x:v>
      </x:c>
      <x:c r="I110" s="22" t="str">
        <x:f>HYPERLINK("https://etp-aktiv.ru/catalog/materialy/truboprovody/2000729795-U117/","Открыть позицию")</x:f>
        <x:v>Открыть позицию</x:v>
      </x:c>
    </x:row>
    <x:row r="111" ht="28" customHeight="1">
      <x:c r="A111" s="16" t="str">
        <x:v>Приморская ГРЭС</x:v>
      </x:c>
      <x:c r="B111" s="16" t="str">
        <x:v>2000729831-U117</x:v>
      </x:c>
      <x:c r="C111" s="16" t="str">
        <x:v>МУФТА НПВХ D50 PN16 RDRMAD0500</x:v>
      </x:c>
      <x:c r="D111" s="16" t="str">
        <x:v>Фитинги труб полимерных</x:v>
      </x:c>
      <x:c r="E111" s="16" t="str">
        <x:v>ШТ</x:v>
      </x:c>
      <x:c r="F111" s="21" t="n">
        <x:v>69</x:v>
      </x:c>
      <x:c r="G111" s="17" t="n">
        <x:v>53.985</x:v>
      </x:c>
      <x:c r="H111" s="17" t="n">
        <x:f>G111*F111</x:f>
        <x:v>3724.965</x:v>
      </x:c>
      <x:c r="I111" s="22" t="str">
        <x:f>HYPERLINK("https://etp-aktiv.ru/catalog/materialy/truboprovody/2000729831-U117/","Открыть позицию")</x:f>
        <x:v>Открыть позицию</x:v>
      </x:c>
    </x:row>
    <x:row r="112" ht="28" customHeight="1">
      <x:c r="A112" s="16" t="str">
        <x:v>Приморская ГРЭС</x:v>
      </x:c>
      <x:c r="B112" s="16" t="str">
        <x:v>2000729794-U117</x:v>
      </x:c>
      <x:c r="C112" s="16" t="str">
        <x:v>МУФТА НПВХ D75 PN16 RDRMAD0750</x:v>
      </x:c>
      <x:c r="D112" s="16" t="str">
        <x:v>Фитинги труб полимерных</x:v>
      </x:c>
      <x:c r="E112" s="16" t="str">
        <x:v>ШТ</x:v>
      </x:c>
      <x:c r="F112" s="21" t="n">
        <x:v>100</x:v>
      </x:c>
      <x:c r="G112" s="17" t="n">
        <x:v>188.9536</x:v>
      </x:c>
      <x:c r="H112" s="17" t="n">
        <x:f>G112*F112</x:f>
        <x:v>18895.36</x:v>
      </x:c>
      <x:c r="I112" s="22" t="str">
        <x:f>HYPERLINK("https://etp-aktiv.ru/catalog/materialy/truboprovody/2000729794-U117/","Открыть позицию")</x:f>
        <x:v>Открыть позицию</x:v>
      </x:c>
    </x:row>
    <x:row r="113" ht="28" customHeight="1">
      <x:c r="A113" s="16" t="str">
        <x:v>Приморская ГРЭС</x:v>
      </x:c>
      <x:c r="B113" s="16" t="str">
        <x:v>2001001783-U117</x:v>
      </x:c>
      <x:c r="C113" s="16" t="str">
        <x:v>ОТВОД 15° 426*18-2245 12ХМФ ОСТ24.321.04</x:v>
      </x:c>
      <x:c r="D113" s="16" t="str">
        <x:v>Трубопроводы и элементы трубопроводов высокого давления</x:v>
      </x:c>
      <x:c r="E113" s="16" t="str">
        <x:v>ШТ</x:v>
      </x:c>
      <x:c r="F113" s="21" t="n">
        <x:v>2</x:v>
      </x:c>
      <x:c r="G113" s="17" t="n">
        <x:v>203709.6098</x:v>
      </x:c>
      <x:c r="H113" s="17" t="n">
        <x:f>G113*F113</x:f>
        <x:v>407419.2196</x:v>
      </x:c>
      <x:c r="I113" s="22" t="str">
        <x:f>HYPERLINK("https://etp-aktiv.ru/catalog/materialy/truboprovody/2001001783-U117/","Открыть позицию")</x:f>
        <x:v>Открыть позицию</x:v>
      </x:c>
    </x:row>
    <x:row r="114" ht="28" customHeight="1">
      <x:c r="A114" s="16" t="str">
        <x:v>Приморская ГРЭС</x:v>
      </x:c>
      <x:c r="B114" s="16" t="str">
        <x:v>2001002013-U117</x:v>
      </x:c>
      <x:c r="C114" s="16" t="str">
        <x:v>ОТВОД 30° 273*32 15Х1М1Ф 1294906</x:v>
      </x:c>
      <x:c r="D114" s="16" t="str">
        <x:v>Трубопроводы и элементы трубопроводов высокого давления</x:v>
      </x:c>
      <x:c r="E114" s="16" t="str">
        <x:v>ШТ</x:v>
      </x:c>
      <x:c r="F114" s="21" t="n">
        <x:v>1</x:v>
      </x:c>
      <x:c r="G114" s="17" t="n">
        <x:v>1206482.4</x:v>
      </x:c>
      <x:c r="H114" s="17" t="n">
        <x:f>G114*F114</x:f>
        <x:v>1206482.4</x:v>
      </x:c>
      <x:c r="I114" s="22" t="str">
        <x:f>HYPERLINK("https://etp-aktiv.ru/catalog/materialy/truboprovody/2001002013-U117/","Открыть позицию")</x:f>
        <x:v>Открыть позицию</x:v>
      </x:c>
    </x:row>
    <x:row r="115" ht="28" customHeight="1">
      <x:c r="A115" s="16" t="str">
        <x:v>Приморская ГРЭС</x:v>
      </x:c>
      <x:c r="B115" s="16" t="str">
        <x:v>2000977551-U117</x:v>
      </x:c>
      <x:c r="C115" s="16" t="str">
        <x:v>ОТВОД 30° 465*16-2900 СТ20 К-5700.00.00</x:v>
      </x:c>
      <x:c r="D115" s="16" t="str">
        <x:v>Трубопроводы и элементы трубопроводов высокого давления</x:v>
      </x:c>
      <x:c r="E115" s="16" t="str">
        <x:v>ШТ</x:v>
      </x:c>
      <x:c r="F115" s="21" t="n">
        <x:v>1</x:v>
      </x:c>
      <x:c r="G115" s="17" t="n">
        <x:v>267634.0718</x:v>
      </x:c>
      <x:c r="H115" s="17" t="n">
        <x:f>G115*F115</x:f>
        <x:v>267634.0718</x:v>
      </x:c>
      <x:c r="I115" s="22" t="str">
        <x:f>HYPERLINK("https://etp-aktiv.ru/catalog/materialy/truboprovody/2000977551-U117/","Открыть позицию")</x:f>
        <x:v>Открыть позицию</x:v>
      </x:c>
    </x:row>
    <x:row r="116" ht="28" customHeight="1">
      <x:c r="A116" s="16" t="str">
        <x:v>Приморская ГРЭС</x:v>
      </x:c>
      <x:c r="B116" s="16" t="str">
        <x:v>2000971079-U117</x:v>
      </x:c>
      <x:c r="C116" s="16" t="str">
        <x:v>ОТВОД 426*19-2742 12Х1МФ 28ОСТ108.321.22</x:v>
      </x:c>
      <x:c r="D116" s="16" t="str">
        <x:v>Трубопроводы и элементы трубопроводов высокого давления</x:v>
      </x:c>
      <x:c r="E116" s="16" t="str">
        <x:v>ШТ</x:v>
      </x:c>
      <x:c r="F116" s="21" t="n">
        <x:v>6</x:v>
      </x:c>
      <x:c r="G116" s="17" t="n">
        <x:v>273559.7582</x:v>
      </x:c>
      <x:c r="H116" s="17" t="n">
        <x:f>G116*F116</x:f>
        <x:v>1641358.5491999998</x:v>
      </x:c>
      <x:c r="I116" s="22" t="str">
        <x:f>HYPERLINK("https://etp-aktiv.ru/catalog/materialy/truboprovody/2000971079-U117/","Открыть позицию")</x:f>
        <x:v>Открыть позицию</x:v>
      </x:c>
    </x:row>
    <x:row r="117" ht="28" customHeight="1">
      <x:c r="A117" s="16" t="str">
        <x:v>Приморская ГРЭС</x:v>
      </x:c>
      <x:c r="B117" s="16" t="str">
        <x:v>2000712783-U117</x:v>
      </x:c>
      <x:c r="C117" s="16" t="str">
        <x:v>ОТВОД 45° ПЭ100 DN355 SDR17</x:v>
      </x:c>
      <x:c r="D117" s="16" t="str">
        <x:v>Детали фасонные</x:v>
      </x:c>
      <x:c r="E117" s="16" t="str">
        <x:v>ШТ</x:v>
      </x:c>
      <x:c r="F117" s="21" t="n">
        <x:v>4</x:v>
      </x:c>
      <x:c r="G117" s="17" t="n">
        <x:v>5898.370599999999</x:v>
      </x:c>
      <x:c r="H117" s="17" t="n">
        <x:f>G117*F117</x:f>
        <x:v>23593.482399999997</x:v>
      </x:c>
      <x:c r="I117" s="22" t="str">
        <x:f>HYPERLINK("https://etp-aktiv.ru/catalog/materialy/truboprovody/2000712783-U117/","Открыть позицию")</x:f>
        <x:v>Открыть позицию</x:v>
      </x:c>
    </x:row>
    <x:row r="118" ht="28" customHeight="1">
      <x:c r="A118" s="16" t="str">
        <x:v>Приморская ГРЭС</x:v>
      </x:c>
      <x:c r="B118" s="16" t="str">
        <x:v>2000472089-U117</x:v>
      </x:c>
      <x:c r="C118" s="16" t="str">
        <x:v>ОТВОД 45° ПЭ100 SDR11 DN110</x:v>
      </x:c>
      <x:c r="D118" s="16" t="str">
        <x:v>Детали фасонные</x:v>
      </x:c>
      <x:c r="E118" s="16" t="str">
        <x:v>ШТ</x:v>
      </x:c>
      <x:c r="F118" s="21" t="n">
        <x:v>33</x:v>
      </x:c>
      <x:c r="G118" s="17" t="n">
        <x:v>249.0752</x:v>
      </x:c>
      <x:c r="H118" s="17" t="n">
        <x:f>G118*F118</x:f>
        <x:v>8219.4816</x:v>
      </x:c>
      <x:c r="I118" s="22" t="str">
        <x:f>HYPERLINK("https://etp-aktiv.ru/catalog/materialy/truboprovody/2000472089-U117/","Открыть позицию")</x:f>
        <x:v>Открыть позицию</x:v>
      </x:c>
    </x:row>
    <x:row r="119" ht="28" customHeight="1">
      <x:c r="A119" s="16" t="str">
        <x:v>Приморская ГРЭС</x:v>
      </x:c>
      <x:c r="B119" s="16" t="str">
        <x:v>2000472086-U117</x:v>
      </x:c>
      <x:c r="C119" s="16" t="str">
        <x:v>ОТВОД 45° ПЭ100 SDR11 DN160</x:v>
      </x:c>
      <x:c r="D119" s="16" t="str">
        <x:v>Детали фасонные</x:v>
      </x:c>
      <x:c r="E119" s="16" t="str">
        <x:v>ШТ</x:v>
      </x:c>
      <x:c r="F119" s="21" t="n">
        <x:v>50</x:v>
      </x:c>
      <x:c r="G119" s="17" t="n">
        <x:v>748.0186</x:v>
      </x:c>
      <x:c r="H119" s="17" t="n">
        <x:f>G119*F119</x:f>
        <x:v>37400.93</x:v>
      </x:c>
      <x:c r="I119" s="22" t="str">
        <x:f>HYPERLINK("https://etp-aktiv.ru/catalog/materialy/truboprovody/2000472086-U117/","Открыть позицию")</x:f>
        <x:v>Открыть позицию</x:v>
      </x:c>
    </x:row>
    <x:row r="120" ht="28" customHeight="1">
      <x:c r="A120" s="16" t="str">
        <x:v>Приморская ГРЭС</x:v>
      </x:c>
      <x:c r="B120" s="16" t="str">
        <x:v>2000472083-U117</x:v>
      </x:c>
      <x:c r="C120" s="16" t="str">
        <x:v>ОТВОД 45° ПЭ100 SDR11 DN225</x:v>
      </x:c>
      <x:c r="D120" s="16" t="str">
        <x:v>Детали фасонные</x:v>
      </x:c>
      <x:c r="E120" s="16" t="str">
        <x:v>ШТ</x:v>
      </x:c>
      <x:c r="F120" s="21" t="n">
        <x:v>44</x:v>
      </x:c>
      <x:c r="G120" s="17" t="n">
        <x:v>1503.9428</x:v>
      </x:c>
      <x:c r="H120" s="17" t="n">
        <x:f>G120*F120</x:f>
        <x:v>66173.4832</x:v>
      </x:c>
      <x:c r="I120" s="22" t="str">
        <x:f>HYPERLINK("https://etp-aktiv.ru/catalog/materialy/truboprovody/2000472083-U117/","Открыть позицию")</x:f>
        <x:v>Открыть позицию</x:v>
      </x:c>
    </x:row>
    <x:row r="121" ht="28" customHeight="1">
      <x:c r="A121" s="16" t="str">
        <x:v>Приморская ГРЭС</x:v>
      </x:c>
      <x:c r="B121" s="16" t="str">
        <x:v>2000258643-U117</x:v>
      </x:c>
      <x:c r="C121" s="16" t="str">
        <x:v>ОТВОД 45° СТ20 DN426 9 ГОСТ17375-01</x:v>
      </x:c>
      <x:c r="D121" s="16" t="str">
        <x:v>Детали фасонные</x:v>
      </x:c>
      <x:c r="E121" s="16" t="str">
        <x:v>ШТ</x:v>
      </x:c>
      <x:c r="F121" s="21" t="n">
        <x:v>3</x:v>
      </x:c>
      <x:c r="G121" s="17" t="n">
        <x:v>12909.5398</x:v>
      </x:c>
      <x:c r="H121" s="17" t="n">
        <x:f>G121*F121</x:f>
        <x:v>38728.6194</x:v>
      </x:c>
      <x:c r="I121" s="22" t="str">
        <x:f>HYPERLINK("https://etp-aktiv.ru/catalog/materialy/truboprovody/2000258643-U117/","Открыть позицию")</x:f>
        <x:v>Открыть позицию</x:v>
      </x:c>
    </x:row>
    <x:row r="122" ht="28" customHeight="1">
      <x:c r="A122" s="16" t="str">
        <x:v>Приморская ГРЭС</x:v>
      </x:c>
      <x:c r="B122" s="16" t="str">
        <x:v>2001002014-U117</x:v>
      </x:c>
      <x:c r="C122" s="16" t="str">
        <x:v>ОТВОД 75° 273*32 15Х1М1Ф 1294907</x:v>
      </x:c>
      <x:c r="D122" s="16" t="str">
        <x:v>Трубопроводы и элементы трубопроводов высокого давления</x:v>
      </x:c>
      <x:c r="E122" s="16" t="str">
        <x:v>ШТ</x:v>
      </x:c>
      <x:c r="F122" s="21" t="n">
        <x:v>1</x:v>
      </x:c>
      <x:c r="G122" s="17" t="n">
        <x:v>1091436.4</x:v>
      </x:c>
      <x:c r="H122" s="17" t="n">
        <x:f>G122*F122</x:f>
        <x:v>1091436.4</x:v>
      </x:c>
      <x:c r="I122" s="22" t="str">
        <x:f>HYPERLINK("https://etp-aktiv.ru/catalog/materialy/truboprovody/2001002014-U117/","Открыть позицию")</x:f>
        <x:v>Открыть позицию</x:v>
      </x:c>
    </x:row>
    <x:row r="123" ht="28" customHeight="1">
      <x:c r="A123" s="16" t="str">
        <x:v>Приморская ГРЭС</x:v>
      </x:c>
      <x:c r="B123" s="16" t="str">
        <x:v>2000716879-U117</x:v>
      </x:c>
      <x:c r="C123" s="16" t="str">
        <x:v>ОТВОД 90 09Г2С 1020*10 ОСТ34.10.752-97</x:v>
      </x:c>
      <x:c r="D123" s="16" t="str">
        <x:v>Детали фасонные</x:v>
      </x:c>
      <x:c r="E123" s="16" t="str">
        <x:v>ШТ</x:v>
      </x:c>
      <x:c r="F123" s="21" t="n">
        <x:v>3</x:v>
      </x:c>
      <x:c r="G123" s="17" t="n">
        <x:v>58629.356999999996</x:v>
      </x:c>
      <x:c r="H123" s="17" t="n">
        <x:f>G123*F123</x:f>
        <x:v>175888.071</x:v>
      </x:c>
      <x:c r="I123" s="22" t="str">
        <x:f>HYPERLINK("https://etp-aktiv.ru/catalog/materialy/truboprovody/2000716879-U117/","Открыть позицию")</x:f>
        <x:v>Открыть позицию</x:v>
      </x:c>
    </x:row>
    <x:row r="124" ht="28" customHeight="1">
      <x:c r="A124" s="16" t="str">
        <x:v>Приморская ГРЭС</x:v>
      </x:c>
      <x:c r="B124" s="16" t="str">
        <x:v>2000793963-U117</x:v>
      </x:c>
      <x:c r="C124" s="16" t="str">
        <x:v>ОТВОД 90 12Х1МФ DN57*4 ГОСТ17375-01</x:v>
      </x:c>
      <x:c r="D124" s="16" t="str">
        <x:v>Детали фасонные</x:v>
      </x:c>
      <x:c r="E124" s="16" t="str">
        <x:v>ШТ</x:v>
      </x:c>
      <x:c r="F124" s="21" t="n">
        <x:v>8</x:v>
      </x:c>
      <x:c r="G124" s="17" t="n">
        <x:v>5490</x:v>
      </x:c>
      <x:c r="H124" s="17" t="n">
        <x:f>G124*F124</x:f>
        <x:v>43920</x:v>
      </x:c>
      <x:c r="I124" s="22" t="str">
        <x:f>HYPERLINK("https://etp-aktiv.ru/catalog/materialy/truboprovody/2000793963-U117/","Открыть позицию")</x:f>
        <x:v>Открыть позицию</x:v>
      </x:c>
    </x:row>
    <x:row r="125" ht="28" customHeight="1">
      <x:c r="A125" s="16" t="str">
        <x:v>Приморская ГРЭС</x:v>
      </x:c>
      <x:c r="B125" s="16" t="str">
        <x:v>2000970168-U117</x:v>
      </x:c>
      <x:c r="C125" s="16" t="str">
        <x:v>ОТВОД 90 133*16-1942 12Х1МФ ОСТ24.321.04</x:v>
      </x:c>
      <x:c r="D125" s="16" t="str">
        <x:v>Трубопроводы и элементы трубопроводов высокого давления</x:v>
      </x:c>
      <x:c r="E125" s="16" t="str">
        <x:v>ШТ</x:v>
      </x:c>
      <x:c r="F125" s="21" t="n">
        <x:v>1</x:v>
      </x:c>
      <x:c r="G125" s="17" t="n">
        <x:v>98825.29479999999</x:v>
      </x:c>
      <x:c r="H125" s="17" t="n">
        <x:f>G125*F125</x:f>
        <x:v>98825.29479999999</x:v>
      </x:c>
      <x:c r="I125" s="22" t="str">
        <x:f>HYPERLINK("https://etp-aktiv.ru/catalog/materialy/truboprovody/2000970168-U117/","Открыть позицию")</x:f>
        <x:v>Открыть позицию</x:v>
      </x:c>
    </x:row>
    <x:row r="126" ht="28" customHeight="1">
      <x:c r="A126" s="16" t="str">
        <x:v>Приморская ГРЭС</x:v>
      </x:c>
      <x:c r="B126" s="16" t="str">
        <x:v>2000970167-U117</x:v>
      </x:c>
      <x:c r="C126" s="16" t="str">
        <x:v>ОТВОД 90 219*25-2335 12Х1МФ ОСТ24.321.04</x:v>
      </x:c>
      <x:c r="D126" s="16" t="str">
        <x:v>Трубопроводы и элементы трубопроводов высокого давления</x:v>
      </x:c>
      <x:c r="E126" s="16" t="str">
        <x:v>ШТ</x:v>
      </x:c>
      <x:c r="F126" s="21" t="n">
        <x:v>1</x:v>
      </x:c>
      <x:c r="G126" s="17" t="n">
        <x:v>270094.763</x:v>
      </x:c>
      <x:c r="H126" s="17" t="n">
        <x:f>G126*F126</x:f>
        <x:v>270094.763</x:v>
      </x:c>
      <x:c r="I126" s="22" t="str">
        <x:f>HYPERLINK("https://etp-aktiv.ru/catalog/materialy/truboprovody/2000970167-U117/","Открыть позицию")</x:f>
        <x:v>Открыть позицию</x:v>
      </x:c>
    </x:row>
    <x:row r="127" ht="28" customHeight="1">
      <x:c r="A127" s="16" t="str">
        <x:v>Приморская ГРЭС</x:v>
      </x:c>
      <x:c r="B127" s="16" t="str">
        <x:v>2000577616-U117</x:v>
      </x:c>
      <x:c r="C127" s="16" t="str">
        <x:v>ОТВОД 90 325 38 800 800 3751 1370 12Х1МФ</x:v>
      </x:c>
      <x:c r="D127" s="16" t="str">
        <x:v>Трубопроводы и элементы трубопроводов высокого давления</x:v>
      </x:c>
      <x:c r="E127" s="16" t="str">
        <x:v>ШТ</x:v>
      </x:c>
      <x:c r="F127" s="21" t="n">
        <x:v>2</x:v>
      </x:c>
      <x:c r="G127" s="17" t="n">
        <x:v>774434.3694</x:v>
      </x:c>
      <x:c r="H127" s="17" t="n">
        <x:f>G127*F127</x:f>
        <x:v>1548868.7388</x:v>
      </x:c>
      <x:c r="I127" s="22" t="str">
        <x:f>HYPERLINK("https://etp-aktiv.ru/catalog/materialy/truboprovody/2000577616-U117/","Открыть позицию")</x:f>
        <x:v>Открыть позицию</x:v>
      </x:c>
    </x:row>
    <x:row r="128" ht="28" customHeight="1">
      <x:c r="A128" s="16" t="str">
        <x:v>Приморская ГРЭС</x:v>
      </x:c>
      <x:c r="B128" s="16" t="str">
        <x:v>2000945532-U117</x:v>
      </x:c>
      <x:c r="C128" s="16" t="str">
        <x:v>ОТВОД 90 426*18-4470 12Х1МФ ОСТ24.321.04</x:v>
      </x:c>
      <x:c r="D128" s="16" t="str">
        <x:v>Трубопроводы и элементы трубопроводов высокого давления</x:v>
      </x:c>
      <x:c r="E128" s="16" t="str">
        <x:v>ШТ</x:v>
      </x:c>
      <x:c r="F128" s="21" t="n">
        <x:v>11</x:v>
      </x:c>
      <x:c r="G128" s="17" t="n">
        <x:v>479750.92120000004</x:v>
      </x:c>
      <x:c r="H128" s="17" t="n">
        <x:f>G128*F128</x:f>
        <x:v>5277260.1332</x:v>
      </x:c>
      <x:c r="I128" s="22" t="str">
        <x:f>HYPERLINK("https://etp-aktiv.ru/catalog/materialy/truboprovody/2000945532-U117/","Открыть позицию")</x:f>
        <x:v>Открыть позицию</x:v>
      </x:c>
    </x:row>
    <x:row r="129" ht="28" customHeight="1">
      <x:c r="A129" s="16" t="str">
        <x:v>Приморская ГРЭС</x:v>
      </x:c>
      <x:c r="B129" s="16" t="str">
        <x:v>2000559201-U117</x:v>
      </x:c>
      <x:c r="C129" s="16" t="str">
        <x:v>ОТВОД 90 60*5-715 СТ20 К-2480.11КМД</x:v>
      </x:c>
      <x:c r="D129" s="16" t="str">
        <x:v>Трубопроводы и элементы трубопроводов высокого давления</x:v>
      </x:c>
      <x:c r="E129" s="16" t="str">
        <x:v>ШТ</x:v>
      </x:c>
      <x:c r="F129" s="21" t="n">
        <x:v>8</x:v>
      </x:c>
      <x:c r="G129" s="17" t="n">
        <x:v>6328.4328</x:v>
      </x:c>
      <x:c r="H129" s="17" t="n">
        <x:f>G129*F129</x:f>
        <x:v>50627.4624</x:v>
      </x:c>
      <x:c r="I129" s="22" t="str">
        <x:f>HYPERLINK("https://etp-aktiv.ru/catalog/materialy/truboprovody/2000559201-U117/","Открыть позицию")</x:f>
        <x:v>Открыть позицию</x:v>
      </x:c>
    </x:row>
    <x:row r="130" ht="28" customHeight="1">
      <x:c r="A130" s="16" t="str">
        <x:v>Приморская ГРЭС</x:v>
      </x:c>
      <x:c r="B130" s="16" t="str">
        <x:v>2001056972-U117</x:v>
      </x:c>
      <x:c r="C130" s="16" t="str">
        <x:v>ОТВОД 90° 108*4,5-5442 12Х1МФ ТУ-7017</x:v>
      </x:c>
      <x:c r="D130" s="16" t="str">
        <x:v>Трубопроводы и элементы трубопроводов высокого давления</x:v>
      </x:c>
      <x:c r="E130" s="16" t="str">
        <x:v>ШТ</x:v>
      </x:c>
      <x:c r="F130" s="21" t="n">
        <x:v>2</x:v>
      </x:c>
      <x:c r="G130" s="17" t="n">
        <x:v>88198.5702</x:v>
      </x:c>
      <x:c r="H130" s="17" t="n">
        <x:f>G130*F130</x:f>
        <x:v>176397.1404</x:v>
      </x:c>
      <x:c r="I130" s="22" t="str">
        <x:f>HYPERLINK("https://etp-aktiv.ru/catalog/materialy/truboprovody/2001056972-U117/","Открыть позицию")</x:f>
        <x:v>Открыть позицию</x:v>
      </x:c>
    </x:row>
    <x:row r="131" ht="28" customHeight="1">
      <x:c r="A131" s="16" t="str">
        <x:v>Приморская ГРЭС</x:v>
      </x:c>
      <x:c r="B131" s="16" t="str">
        <x:v>2000863683-U117</x:v>
      </x:c>
      <x:c r="C131" s="16" t="str">
        <x:v>ОТВОД 90° 12Х1МФ DN133*10 ГОСТ17375-01</x:v>
      </x:c>
      <x:c r="D131" s="16" t="str">
        <x:v>Детали фасонные</x:v>
      </x:c>
      <x:c r="E131" s="16" t="str">
        <x:v>ШТ</x:v>
      </x:c>
      <x:c r="F131" s="21" t="n">
        <x:v>3</x:v>
      </x:c>
      <x:c r="G131" s="17" t="n">
        <x:v>7434.741</x:v>
      </x:c>
      <x:c r="H131" s="17" t="n">
        <x:f>G131*F131</x:f>
        <x:v>22304.222999999998</x:v>
      </x:c>
      <x:c r="I131" s="22" t="str">
        <x:f>HYPERLINK("https://etp-aktiv.ru/catalog/materialy/truboprovody/2000863683-U117/","Открыть позицию")</x:f>
        <x:v>Открыть позицию</x:v>
      </x:c>
    </x:row>
    <x:row r="132" ht="28" customHeight="1">
      <x:c r="A132" s="16" t="str">
        <x:v>Приморская ГРЭС</x:v>
      </x:c>
      <x:c r="B132" s="16" t="str">
        <x:v>2000558971-U117</x:v>
      </x:c>
      <x:c r="C132" s="16" t="str">
        <x:v>ОТВОД 90° 159*7-2020 15 ОСТ108.321.15</x:v>
      </x:c>
      <x:c r="D132" s="16" t="str">
        <x:v>Трубопроводы и элементы трубопроводов высокого давления</x:v>
      </x:c>
      <x:c r="E132" s="16" t="str">
        <x:v>ШТ</x:v>
      </x:c>
      <x:c r="F132" s="21" t="n">
        <x:v>4</x:v>
      </x:c>
      <x:c r="G132" s="17" t="n">
        <x:v>23387.399999999998</x:v>
      </x:c>
      <x:c r="H132" s="17" t="n">
        <x:f>G132*F132</x:f>
        <x:v>93549.59999999999</x:v>
      </x:c>
      <x:c r="I132" s="22" t="str">
        <x:f>HYPERLINK("https://etp-aktiv.ru/catalog/materialy/truboprovody/2000558971-U117/","Открыть позицию")</x:f>
        <x:v>Открыть позицию</x:v>
      </x:c>
    </x:row>
    <x:row r="133" ht="28" customHeight="1">
      <x:c r="A133" s="16" t="str">
        <x:v>Приморская ГРЭС</x:v>
      </x:c>
      <x:c r="B133" s="16" t="str">
        <x:v>2001017758-U117</x:v>
      </x:c>
      <x:c r="C133" s="16" t="str">
        <x:v>ОТВОД 90° 159*7-2220 12Х1МФ 200-К-2749</x:v>
      </x:c>
      <x:c r="D133" s="16" t="str">
        <x:v>Трубопроводы и элементы трубопроводов высокого давления</x:v>
      </x:c>
      <x:c r="E133" s="16" t="str">
        <x:v>ШТ</x:v>
      </x:c>
      <x:c r="F133" s="21" t="n">
        <x:v>1</x:v>
      </x:c>
      <x:c r="G133" s="17" t="n">
        <x:v>210988.935</x:v>
      </x:c>
      <x:c r="H133" s="17" t="n">
        <x:f>G133*F133</x:f>
        <x:v>210988.935</x:v>
      </x:c>
      <x:c r="I133" s="22" t="str">
        <x:f>HYPERLINK("https://etp-aktiv.ru/catalog/materialy/truboprovody/2001017758-U117/","Открыть позицию")</x:f>
        <x:v>Открыть позицию</x:v>
      </x:c>
    </x:row>
    <x:row r="134" ht="28" customHeight="1">
      <x:c r="A134" s="16" t="str">
        <x:v>Приморская ГРЭС</x:v>
      </x:c>
      <x:c r="B134" s="16" t="str">
        <x:v>2000712784-U117</x:v>
      </x:c>
      <x:c r="C134" s="16" t="str">
        <x:v>ОТВОД 90° ПЭ100 160*9,5 SDR17</x:v>
      </x:c>
      <x:c r="D134" s="16" t="str">
        <x:v>Детали фасонные</x:v>
      </x:c>
      <x:c r="E134" s="16" t="str">
        <x:v>ШТ</x:v>
      </x:c>
      <x:c r="F134" s="21" t="n">
        <x:v>18</x:v>
      </x:c>
      <x:c r="G134" s="17" t="n">
        <x:v>844.0692</x:v>
      </x:c>
      <x:c r="H134" s="17" t="n">
        <x:f>G134*F134</x:f>
        <x:v>15193.2456</x:v>
      </x:c>
      <x:c r="I134" s="22" t="str">
        <x:f>HYPERLINK("https://etp-aktiv.ru/catalog/materialy/truboprovody/2000712784-U117/","Открыть позицию")</x:f>
        <x:v>Открыть позицию</x:v>
      </x:c>
    </x:row>
    <x:row r="135" ht="28" customHeight="1">
      <x:c r="A135" s="16" t="str">
        <x:v>Приморская ГРЭС</x:v>
      </x:c>
      <x:c r="B135" s="16" t="str">
        <x:v>2000199057-U117</x:v>
      </x:c>
      <x:c r="C135" s="16" t="str">
        <x:v>ОТВОД 90° ПЭ100 DN160 SDR11</x:v>
      </x:c>
      <x:c r="D135" s="16" t="str">
        <x:v>Детали фасонные</x:v>
      </x:c>
      <x:c r="E135" s="16" t="str">
        <x:v>ШТ</x:v>
      </x:c>
      <x:c r="F135" s="21" t="n">
        <x:v>100</x:v>
      </x:c>
      <x:c r="G135" s="17" t="n">
        <x:v>961.2379999999999</x:v>
      </x:c>
      <x:c r="H135" s="17" t="n">
        <x:f>G135*F135</x:f>
        <x:v>96123.79999999999</x:v>
      </x:c>
      <x:c r="I135" s="22" t="str">
        <x:f>HYPERLINK("https://etp-aktiv.ru/catalog/materialy/truboprovody/2000199057-U117/","Открыть позицию")</x:f>
        <x:v>Открыть позицию</x:v>
      </x:c>
    </x:row>
    <x:row r="136" ht="28" customHeight="1">
      <x:c r="A136" s="16" t="str">
        <x:v>Приморская ГРЭС</x:v>
      </x:c>
      <x:c r="B136" s="16" t="str">
        <x:v>2000712787-U117</x:v>
      </x:c>
      <x:c r="C136" s="16" t="str">
        <x:v>ОТВОД 90° ПЭ100 DN200 SDR17</x:v>
      </x:c>
      <x:c r="D136" s="16" t="str">
        <x:v>Детали фасонные</x:v>
      </x:c>
      <x:c r="E136" s="16" t="str">
        <x:v>ШТ</x:v>
      </x:c>
      <x:c r="F136" s="21" t="n">
        <x:v>26</x:v>
      </x:c>
      <x:c r="G136" s="17" t="n">
        <x:v>1113.1768</x:v>
      </x:c>
      <x:c r="H136" s="17" t="n">
        <x:f>G136*F136</x:f>
        <x:v>28942.5968</x:v>
      </x:c>
      <x:c r="I136" s="22" t="str">
        <x:f>HYPERLINK("https://etp-aktiv.ru/catalog/materialy/truboprovody/2000712787-U117/","Открыть позицию")</x:f>
        <x:v>Открыть позицию</x:v>
      </x:c>
    </x:row>
    <x:row r="137" ht="28" customHeight="1">
      <x:c r="A137" s="16" t="str">
        <x:v>Приморская ГРЭС</x:v>
      </x:c>
      <x:c r="B137" s="16" t="str">
        <x:v>2000286669-U117</x:v>
      </x:c>
      <x:c r="C137" s="16" t="str">
        <x:v>ОТВОД 90° ПЭ100 DN355 SDR17</x:v>
      </x:c>
      <x:c r="D137" s="16" t="str">
        <x:v>Детали фасонные</x:v>
      </x:c>
      <x:c r="E137" s="16" t="str">
        <x:v>ШТ</x:v>
      </x:c>
      <x:c r="F137" s="21" t="n">
        <x:v>4</x:v>
      </x:c>
      <x:c r="G137" s="17" t="n">
        <x:v>6374.6098</x:v>
      </x:c>
      <x:c r="H137" s="17" t="n">
        <x:f>G137*F137</x:f>
        <x:v>25498.4392</x:v>
      </x:c>
      <x:c r="I137" s="22" t="str">
        <x:f>HYPERLINK("https://etp-aktiv.ru/catalog/materialy/truboprovody/2000286669-U117/","Открыть позицию")</x:f>
        <x:v>Открыть позицию</x:v>
      </x:c>
    </x:row>
    <x:row r="138" ht="28" customHeight="1">
      <x:c r="A138" s="16" t="str">
        <x:v>Приморская ГРЭС</x:v>
      </x:c>
      <x:c r="B138" s="16" t="str">
        <x:v>2000712788-U117</x:v>
      </x:c>
      <x:c r="C138" s="16" t="str">
        <x:v>ОТВОД 90° ПЭ100 DN90 SDR17</x:v>
      </x:c>
      <x:c r="D138" s="16" t="str">
        <x:v>Детали фасонные</x:v>
      </x:c>
      <x:c r="E138" s="16" t="str">
        <x:v>ШТ</x:v>
      </x:c>
      <x:c r="F138" s="21" t="n">
        <x:v>4</x:v>
      </x:c>
      <x:c r="G138" s="17" t="n">
        <x:v>208.6566</x:v>
      </x:c>
      <x:c r="H138" s="17" t="n">
        <x:f>G138*F138</x:f>
        <x:v>834.6264</x:v>
      </x:c>
      <x:c r="I138" s="22" t="str">
        <x:f>HYPERLINK("https://etp-aktiv.ru/catalog/materialy/truboprovody/2000712788-U117/","Открыть позицию")</x:f>
        <x:v>Открыть позицию</x:v>
      </x:c>
    </x:row>
    <x:row r="139" ht="28" customHeight="1">
      <x:c r="A139" s="16" t="str">
        <x:v>Приморская ГРЭС</x:v>
      </x:c>
      <x:c r="B139" s="16" t="str">
        <x:v>2000472090-U117</x:v>
      </x:c>
      <x:c r="C139" s="16" t="str">
        <x:v>ОТВОД 90° ПЭ100 SDR11 DN110</x:v>
      </x:c>
      <x:c r="D139" s="16" t="str">
        <x:v>Детали фасонные</x:v>
      </x:c>
      <x:c r="E139" s="16" t="str">
        <x:v>ШТ</x:v>
      </x:c>
      <x:c r="F139" s="21" t="n">
        <x:v>78</x:v>
      </x:c>
      <x:c r="G139" s="17" t="n">
        <x:v>287.82239999999996</x:v>
      </x:c>
      <x:c r="H139" s="17" t="n">
        <x:f>G139*F139</x:f>
        <x:v>22450.147199999996</x:v>
      </x:c>
      <x:c r="I139" s="22" t="str">
        <x:f>HYPERLINK("https://etp-aktiv.ru/catalog/materialy/truboprovody/2000472090-U117/","Открыть позицию")</x:f>
        <x:v>Открыть позицию</x:v>
      </x:c>
    </x:row>
    <x:row r="140" ht="28" customHeight="1">
      <x:c r="A140" s="16" t="str">
        <x:v>Приморская ГРЭС</x:v>
      </x:c>
      <x:c r="B140" s="16" t="str">
        <x:v>2000472084-U117</x:v>
      </x:c>
      <x:c r="C140" s="16" t="str">
        <x:v>ОТВОД 90° ПЭ100 SDR11 DN225</x:v>
      </x:c>
      <x:c r="D140" s="16" t="str">
        <x:v>Детали фасонные</x:v>
      </x:c>
      <x:c r="E140" s="16" t="str">
        <x:v>ШТ</x:v>
      </x:c>
      <x:c r="F140" s="21" t="n">
        <x:v>77</x:v>
      </x:c>
      <x:c r="G140" s="17" t="n">
        <x:v>2241.6646</x:v>
      </x:c>
      <x:c r="H140" s="17" t="n">
        <x:f>G140*F140</x:f>
        <x:v>172608.1742</x:v>
      </x:c>
      <x:c r="I140" s="22" t="str">
        <x:f>HYPERLINK("https://etp-aktiv.ru/catalog/materialy/truboprovody/2000472084-U117/","Открыть позицию")</x:f>
        <x:v>Открыть позицию</x:v>
      </x:c>
    </x:row>
    <x:row r="141" ht="28" customHeight="1">
      <x:c r="A141" s="16" t="str">
        <x:v>Приморская ГРЭС</x:v>
      </x:c>
      <x:c r="B141" s="16" t="str">
        <x:v>2000235880-U117</x:v>
      </x:c>
      <x:c r="C141" s="16" t="str">
        <x:v>ОТВОД 90° СТ20 DN426 10 ГОСТ17375-01</x:v>
      </x:c>
      <x:c r="D141" s="16" t="str">
        <x:v>Детали фасонные</x:v>
      </x:c>
      <x:c r="E141" s="16" t="str">
        <x:v>ШТ</x:v>
      </x:c>
      <x:c r="F141" s="21" t="n">
        <x:v>1</x:v>
      </x:c>
      <x:c r="G141" s="17" t="n">
        <x:v>20069.6832</x:v>
      </x:c>
      <x:c r="H141" s="17" t="n">
        <x:f>G141*F141</x:f>
        <x:v>20069.6832</x:v>
      </x:c>
      <x:c r="I141" s="22" t="str">
        <x:f>HYPERLINK("https://etp-aktiv.ru/catalog/materialy/truboprovody/2000235880-U117/","Открыть позицию")</x:f>
        <x:v>Открыть позицию</x:v>
      </x:c>
    </x:row>
    <x:row r="142" ht="28" customHeight="1">
      <x:c r="A142" s="16" t="str">
        <x:v>Приморская ГРЭС</x:v>
      </x:c>
      <x:c r="B142" s="16" t="str">
        <x:v>2000152414-U117</x:v>
      </x:c>
      <x:c r="C142" s="16" t="str">
        <x:v>ОТВОД 90° СТ20 DN45 3 ГОСТ17375-01</x:v>
      </x:c>
      <x:c r="D142" s="16" t="str">
        <x:v>Детали фасонные</x:v>
      </x:c>
      <x:c r="E142" s="16" t="str">
        <x:v>ШТ</x:v>
      </x:c>
      <x:c r="F142" s="21" t="n">
        <x:v>11</x:v>
      </x:c>
      <x:c r="G142" s="17" t="n">
        <x:v>69.2716</x:v>
      </x:c>
      <x:c r="H142" s="17" t="n">
        <x:f>G142*F142</x:f>
        <x:v>761.9876</x:v>
      </x:c>
      <x:c r="I142" s="22" t="str">
        <x:f>HYPERLINK("https://etp-aktiv.ru/catalog/materialy/truboprovody/2000152414-U117/","Открыть позицию")</x:f>
        <x:v>Открыть позицию</x:v>
      </x:c>
    </x:row>
    <x:row r="143" ht="28" customHeight="1">
      <x:c r="A143" s="16" t="str">
        <x:v>Приморская ГРЭС</x:v>
      </x:c>
      <x:c r="B143" s="16" t="str">
        <x:v>2000151356-U117</x:v>
      </x:c>
      <x:c r="C143" s="16" t="str">
        <x:v>ОТВОД 90° СТ20 DN530 12 ГОСТ17375-01</x:v>
      </x:c>
      <x:c r="D143" s="16" t="str">
        <x:v>Детали фасонные</x:v>
      </x:c>
      <x:c r="E143" s="16" t="str">
        <x:v>ШТ</x:v>
      </x:c>
      <x:c r="F143" s="21" t="n">
        <x:v>3</x:v>
      </x:c>
      <x:c r="G143" s="17" t="n">
        <x:v>49099.10739999999</x:v>
      </x:c>
      <x:c r="H143" s="17" t="n">
        <x:f>G143*F143</x:f>
        <x:v>147297.3222</x:v>
      </x:c>
      <x:c r="I143" s="22" t="str">
        <x:f>HYPERLINK("https://etp-aktiv.ru/catalog/materialy/truboprovody/2000151356-U117/","Открыть позицию")</x:f>
        <x:v>Открыть позицию</x:v>
      </x:c>
    </x:row>
    <x:row r="144" ht="28" customHeight="1">
      <x:c r="A144" s="16" t="str">
        <x:v>Приморская ГРЭС</x:v>
      </x:c>
      <x:c r="B144" s="16" t="str">
        <x:v>2000245781-U117</x:v>
      </x:c>
      <x:c r="C144" s="16" t="str">
        <x:v>ОТВОД 90° СТ3 DN325 12 К-2498-13</x:v>
      </x:c>
      <x:c r="D144" s="16" t="str">
        <x:v>Детали фасонные</x:v>
      </x:c>
      <x:c r="E144" s="16" t="str">
        <x:v>ШТ</x:v>
      </x:c>
      <x:c r="F144" s="21" t="n">
        <x:v>3</x:v>
      </x:c>
      <x:c r="G144" s="17" t="n">
        <x:v>16459.1054</x:v>
      </x:c>
      <x:c r="H144" s="17" t="n">
        <x:f>G144*F144</x:f>
        <x:v>49377.3162</x:v>
      </x:c>
      <x:c r="I144" s="22" t="str">
        <x:f>HYPERLINK("https://etp-aktiv.ru/catalog/materialy/truboprovody/2000245781-U117/","Открыть позицию")</x:f>
        <x:v>Открыть позицию</x:v>
      </x:c>
    </x:row>
    <x:row r="145" ht="28" customHeight="1">
      <x:c r="A145" s="16" t="str">
        <x:v>Приморская ГРЭС</x:v>
      </x:c>
      <x:c r="B145" s="16" t="str">
        <x:v>2000993959-U117</x:v>
      </x:c>
      <x:c r="C145" s="16" t="str">
        <x:v>ОТВОД П 90° 17Г1С 530*9 ГОСТ17375-2001</x:v>
      </x:c>
      <x:c r="D145" s="16" t="str">
        <x:v>Детали фасонные</x:v>
      </x:c>
      <x:c r="E145" s="16" t="str">
        <x:v>ШТ</x:v>
      </x:c>
      <x:c r="F145" s="21" t="n">
        <x:v>5</x:v>
      </x:c>
      <x:c r="G145" s="17" t="n">
        <x:v>33037.6</x:v>
      </x:c>
      <x:c r="H145" s="17" t="n">
        <x:f>G145*F145</x:f>
        <x:v>165188</x:v>
      </x:c>
      <x:c r="I145" s="22" t="str">
        <x:f>HYPERLINK("https://etp-aktiv.ru/catalog/materialy/truboprovody/2000993959-U117/","Открыть позицию")</x:f>
        <x:v>Открыть позицию</x:v>
      </x:c>
    </x:row>
    <x:row r="146" ht="28" customHeight="1">
      <x:c r="A146" s="16" t="str">
        <x:v>Приморская ГРЭС</x:v>
      </x:c>
      <x:c r="B146" s="16" t="str">
        <x:v>2000115864-U117</x:v>
      </x:c>
      <x:c r="C146" s="16" t="str">
        <x:v>ОТВОД ПП ПОЛИТЕК 45° ПХВ DN110</x:v>
      </x:c>
      <x:c r="D146" s="16" t="str">
        <x:v>Детали фасонные</x:v>
      </x:c>
      <x:c r="E146" s="16" t="str">
        <x:v>ШТ</x:v>
      </x:c>
      <x:c r="F146" s="21" t="n">
        <x:v>1</x:v>
      </x:c>
      <x:c r="G146" s="17" t="n">
        <x:v>603.9</x:v>
      </x:c>
      <x:c r="H146" s="17" t="n">
        <x:f>G146*F146</x:f>
        <x:v>603.9</x:v>
      </x:c>
      <x:c r="I146" s="22" t="str">
        <x:f>HYPERLINK("https://etp-aktiv.ru/catalog/materialy/truboprovody/2000115864-U117/","Открыть позицию")</x:f>
        <x:v>Открыть позицию</x:v>
      </x:c>
    </x:row>
    <x:row r="147" ht="28" customHeight="1">
      <x:c r="A147" s="16" t="str">
        <x:v>Приморская ГРЭС</x:v>
      </x:c>
      <x:c r="B147" s="16" t="str">
        <x:v>2000554946-U117</x:v>
      </x:c>
      <x:c r="C147" s="16" t="str">
        <x:v>ПЕРЕХОД К СТ20 273*7-159*4,5 ГОСТ17378</x:v>
      </x:c>
      <x:c r="D147" s="16" t="str">
        <x:v>Детали фасонные</x:v>
      </x:c>
      <x:c r="E147" s="16" t="str">
        <x:v>ШТ</x:v>
      </x:c>
      <x:c r="F147" s="21" t="n">
        <x:v>1</x:v>
      </x:c>
      <x:c r="G147" s="17" t="n">
        <x:v>1476.9930000000002</x:v>
      </x:c>
      <x:c r="H147" s="17" t="n">
        <x:f>G147*F147</x:f>
        <x:v>1476.9930000000002</x:v>
      </x:c>
      <x:c r="I147" s="22" t="str">
        <x:f>HYPERLINK("https://etp-aktiv.ru/catalog/materialy/truboprovody/2000554946-U117/","Открыть позицию")</x:f>
        <x:v>Открыть позицию</x:v>
      </x:c>
    </x:row>
    <x:row r="148" ht="28" customHeight="1">
      <x:c r="A148" s="16" t="str">
        <x:v>Приморская ГРЭС</x:v>
      </x:c>
      <x:c r="B148" s="16" t="str">
        <x:v>2000554956-U117</x:v>
      </x:c>
      <x:c r="C148" s="16" t="str">
        <x:v>ПЕРЕХОД К СТ20 325*10-273*10 ГОСТ17378</x:v>
      </x:c>
      <x:c r="D148" s="16" t="str">
        <x:v>Детали фасонные</x:v>
      </x:c>
      <x:c r="E148" s="16" t="str">
        <x:v>ШТ</x:v>
      </x:c>
      <x:c r="F148" s="21" t="n">
        <x:v>2</x:v>
      </x:c>
      <x:c r="G148" s="17" t="n">
        <x:v>3848.3313999999996</x:v>
      </x:c>
      <x:c r="H148" s="17" t="n">
        <x:f>G148*F148</x:f>
        <x:v>7696.662799999999</x:v>
      </x:c>
      <x:c r="I148" s="22" t="str">
        <x:f>HYPERLINK("https://etp-aktiv.ru/catalog/materialy/truboprovody/2000554956-U117/","Открыть позицию")</x:f>
        <x:v>Открыть позицию</x:v>
      </x:c>
    </x:row>
    <x:row r="149" ht="28" customHeight="1">
      <x:c r="A149" s="16" t="str">
        <x:v>Приморская ГРЭС</x:v>
      </x:c>
      <x:c r="B149" s="16" t="str">
        <x:v>2000986362-U117</x:v>
      </x:c>
      <x:c r="C149" s="16" t="str">
        <x:v>ПЕРЕХОД ПК СТ20 377*26-325*22 ГОСТ17378</x:v>
      </x:c>
      <x:c r="D149" s="16" t="str">
        <x:v>Детали фасонные</x:v>
      </x:c>
      <x:c r="E149" s="16" t="str">
        <x:v>ШТ</x:v>
      </x:c>
      <x:c r="F149" s="21" t="n">
        <x:v>1</x:v>
      </x:c>
      <x:c r="G149" s="17" t="n">
        <x:v>210447.438</x:v>
      </x:c>
      <x:c r="H149" s="17" t="n">
        <x:f>G149*F149</x:f>
        <x:v>210447.438</x:v>
      </x:c>
      <x:c r="I149" s="22" t="str">
        <x:f>HYPERLINK("https://etp-aktiv.ru/catalog/materialy/truboprovody/2000986362-U117/","Открыть позицию")</x:f>
        <x:v>Открыть позицию</x:v>
      </x:c>
    </x:row>
    <x:row r="150" ht="28" customHeight="1">
      <x:c r="A150" s="16" t="str">
        <x:v>Приморская ГРЭС</x:v>
      </x:c>
      <x:c r="B150" s="16" t="str">
        <x:v>2000723578-U117</x:v>
      </x:c>
      <x:c r="C150" s="16" t="str">
        <x:v>ПЕРЕХОД ПЭ SDR 11 110*108 ГОСТ32415-2013</x:v>
      </x:c>
      <x:c r="D150" s="16" t="str">
        <x:v>Фитинги труб полимерных</x:v>
      </x:c>
      <x:c r="E150" s="16" t="str">
        <x:v>ШТ</x:v>
      </x:c>
      <x:c r="F150" s="21" t="n">
        <x:v>18</x:v>
      </x:c>
      <x:c r="G150" s="17" t="n">
        <x:v>800.9909999999999</x:v>
      </x:c>
      <x:c r="H150" s="17" t="n">
        <x:f>G150*F150</x:f>
        <x:v>14417.837999999998</x:v>
      </x:c>
      <x:c r="I150" s="22" t="str">
        <x:f>HYPERLINK("https://etp-aktiv.ru/catalog/materialy/truboprovody/2000723578-U117/","Открыть позицию")</x:f>
        <x:v>Открыть позицию</x:v>
      </x:c>
    </x:row>
    <x:row r="151" ht="28" customHeight="1">
      <x:c r="A151" s="16" t="str">
        <x:v>Приморская ГРЭС</x:v>
      </x:c>
      <x:c r="B151" s="16" t="str">
        <x:v>2000723572-U117</x:v>
      </x:c>
      <x:c r="C151" s="16" t="str">
        <x:v>ПЕРЕХОД ПЭ SDR 11 160*110 ГОСТ32415-2013</x:v>
      </x:c>
      <x:c r="D151" s="16" t="str">
        <x:v>Фитинги труб полимерных</x:v>
      </x:c>
      <x:c r="E151" s="16" t="str">
        <x:v>ШТ</x:v>
      </x:c>
      <x:c r="F151" s="21" t="n">
        <x:v>20</x:v>
      </x:c>
      <x:c r="G151" s="17" t="n">
        <x:v>377.1752</x:v>
      </x:c>
      <x:c r="H151" s="17" t="n">
        <x:f>G151*F151</x:f>
        <x:v>7543.504000000001</x:v>
      </x:c>
      <x:c r="I151" s="22" t="str">
        <x:f>HYPERLINK("https://etp-aktiv.ru/catalog/materialy/truboprovody/2000723572-U117/","Открыть позицию")</x:f>
        <x:v>Открыть позицию</x:v>
      </x:c>
    </x:row>
    <x:row r="152" ht="28" customHeight="1">
      <x:c r="A152" s="16" t="str">
        <x:v>Приморская ГРЭС</x:v>
      </x:c>
      <x:c r="B152" s="16" t="str">
        <x:v>2000723579-U117</x:v>
      </x:c>
      <x:c r="C152" s="16" t="str">
        <x:v>ПЕРЕХОД ПЭ SDR 11 160*159 ГОСТ32415-2013</x:v>
      </x:c>
      <x:c r="D152" s="16" t="str">
        <x:v>Фитинги труб полимерных</x:v>
      </x:c>
      <x:c r="E152" s="16" t="str">
        <x:v>ШТ</x:v>
      </x:c>
      <x:c r="F152" s="21" t="n">
        <x:v>20</x:v>
      </x:c>
      <x:c r="G152" s="17" t="n">
        <x:v>1830</x:v>
      </x:c>
      <x:c r="H152" s="17" t="n">
        <x:f>G152*F152</x:f>
        <x:v>36600</x:v>
      </x:c>
      <x:c r="I152" s="22" t="str">
        <x:f>HYPERLINK("https://etp-aktiv.ru/catalog/materialy/truboprovody/2000723579-U117/","Открыть позицию")</x:f>
        <x:v>Открыть позицию</x:v>
      </x:c>
    </x:row>
    <x:row r="153" ht="28" customHeight="1">
      <x:c r="A153" s="16" t="str">
        <x:v>Приморская ГРЭС</x:v>
      </x:c>
      <x:c r="B153" s="16" t="str">
        <x:v>2000723573-U117</x:v>
      </x:c>
      <x:c r="C153" s="16" t="str">
        <x:v>ПЕРЕХОД ПЭ SDR 11 225*110 ГОСТ32415-2013</x:v>
      </x:c>
      <x:c r="D153" s="16" t="str">
        <x:v>Фитинги труб полимерных</x:v>
      </x:c>
      <x:c r="E153" s="16" t="str">
        <x:v>ШТ</x:v>
      </x:c>
      <x:c r="F153" s="21" t="n">
        <x:v>15</x:v>
      </x:c>
      <x:c r="G153" s="17" t="n">
        <x:v>1679.4763999999998</x:v>
      </x:c>
      <x:c r="H153" s="17" t="n">
        <x:f>G153*F153</x:f>
        <x:v>25192.145999999997</x:v>
      </x:c>
      <x:c r="I153" s="22" t="str">
        <x:f>HYPERLINK("https://etp-aktiv.ru/catalog/materialy/truboprovody/2000723573-U117/","Открыть позицию")</x:f>
        <x:v>Открыть позицию</x:v>
      </x:c>
    </x:row>
    <x:row r="154" ht="28" customHeight="1">
      <x:c r="A154" s="16" t="str">
        <x:v>Приморская ГРЭС</x:v>
      </x:c>
      <x:c r="B154" s="16" t="str">
        <x:v>2000723574-U117</x:v>
      </x:c>
      <x:c r="C154" s="16" t="str">
        <x:v>ПЕРЕХОД ПЭ SDR 11 225*160 ГОСТ32415-2013</x:v>
      </x:c>
      <x:c r="D154" s="16" t="str">
        <x:v>Фитинги труб полимерных</x:v>
      </x:c>
      <x:c r="E154" s="16" t="str">
        <x:v>ШТ</x:v>
      </x:c>
      <x:c r="F154" s="21" t="n">
        <x:v>15</x:v>
      </x:c>
      <x:c r="G154" s="17" t="n">
        <x:v>1017.6508</x:v>
      </x:c>
      <x:c r="H154" s="17" t="n">
        <x:f>G154*F154</x:f>
        <x:v>15264.762</x:v>
      </x:c>
      <x:c r="I154" s="22" t="str">
        <x:f>HYPERLINK("https://etp-aktiv.ru/catalog/materialy/truboprovody/2000723574-U117/","Открыть позицию")</x:f>
        <x:v>Открыть позицию</x:v>
      </x:c>
    </x:row>
    <x:row r="155" ht="28" customHeight="1">
      <x:c r="A155" s="16" t="str">
        <x:v>Приморская ГРЭС</x:v>
      </x:c>
      <x:c r="B155" s="16" t="str">
        <x:v>2000723580-U117</x:v>
      </x:c>
      <x:c r="C155" s="16" t="str">
        <x:v>ПЕРЕХОД ПЭ SDR 11 225*219 ГОСТ32415-2013</x:v>
      </x:c>
      <x:c r="D155" s="16" t="str">
        <x:v>Фитинги труб полимерных</x:v>
      </x:c>
      <x:c r="E155" s="16" t="str">
        <x:v>ШТ</x:v>
      </x:c>
      <x:c r="F155" s="21" t="n">
        <x:v>4</x:v>
      </x:c>
      <x:c r="G155" s="17" t="n">
        <x:v>4880</x:v>
      </x:c>
      <x:c r="H155" s="17" t="n">
        <x:f>G155*F155</x:f>
        <x:v>19520</x:v>
      </x:c>
      <x:c r="I155" s="22" t="str">
        <x:f>HYPERLINK("https://etp-aktiv.ru/catalog/materialy/truboprovody/2000723580-U117/","Открыть позицию")</x:f>
        <x:v>Открыть позицию</x:v>
      </x:c>
    </x:row>
    <x:row r="156" ht="28" customHeight="1">
      <x:c r="A156" s="16" t="str">
        <x:v>Приморская ГРЭС</x:v>
      </x:c>
      <x:c r="B156" s="16" t="str">
        <x:v>2000248589-U117</x:v>
      </x:c>
      <x:c r="C156" s="16" t="str">
        <x:v>ПЕРЕХОД СТ20 325*10 273 10 ГОСТ17378-01</x:v>
      </x:c>
      <x:c r="D156" s="16" t="str">
        <x:v>Детали фасонные</x:v>
      </x:c>
      <x:c r="E156" s="16" t="str">
        <x:v>ШТ</x:v>
      </x:c>
      <x:c r="F156" s="21" t="n">
        <x:v>2</x:v>
      </x:c>
      <x:c r="G156" s="17" t="n">
        <x:v>2278.35</x:v>
      </x:c>
      <x:c r="H156" s="17" t="n">
        <x:f>G156*F156</x:f>
        <x:v>4556.7</x:v>
      </x:c>
      <x:c r="I156" s="22" t="str">
        <x:f>HYPERLINK("https://etp-aktiv.ru/catalog/materialy/truboprovody/2000248589-U117/","Открыть позицию")</x:f>
        <x:v>Открыть позицию</x:v>
      </x:c>
    </x:row>
    <x:row r="157" ht="28" customHeight="1">
      <x:c r="A157" s="16" t="str">
        <x:v>Приморская ГРЭС</x:v>
      </x:c>
      <x:c r="B157" s="16" t="str">
        <x:v>2000731725-U117</x:v>
      </x:c>
      <x:c r="C157" s="16" t="str">
        <x:v>ПРОКЛАДКА EPDM 50 16 PVC-U ФЛ RGRGQP0500</x:v>
      </x:c>
      <x:c r="D157" s="16" t="str">
        <x:v>Фитинги труб полимерных</x:v>
      </x:c>
      <x:c r="E157" s="16" t="str">
        <x:v>ШТ</x:v>
      </x:c>
      <x:c r="F157" s="21" t="n">
        <x:v>100</x:v>
      </x:c>
      <x:c r="G157" s="17" t="n">
        <x:v>114.9972</x:v>
      </x:c>
      <x:c r="H157" s="17" t="n">
        <x:f>G157*F157</x:f>
        <x:v>11499.720000000001</x:v>
      </x:c>
      <x:c r="I157" s="22" t="str">
        <x:f>HYPERLINK("https://etp-aktiv.ru/catalog/materialy/truboprovody/2000731725-U117/","Открыть позицию")</x:f>
        <x:v>Открыть позицию</x:v>
      </x:c>
    </x:row>
    <x:row r="158" ht="28" customHeight="1">
      <x:c r="A158" s="16" t="str">
        <x:v>Приморская ГРЭС</x:v>
      </x:c>
      <x:c r="B158" s="16" t="str">
        <x:v>2000729799-U117</x:v>
      </x:c>
      <x:c r="C158" s="16" t="str">
        <x:v>ПРОКЛАДКА НПВХ D110 PN16 RGRGQP1100</x:v>
      </x:c>
      <x:c r="D158" s="16" t="str">
        <x:v>Фитинги труб полимерных</x:v>
      </x:c>
      <x:c r="E158" s="16" t="str">
        <x:v>ШТ</x:v>
      </x:c>
      <x:c r="F158" s="21" t="n">
        <x:v>96</x:v>
      </x:c>
      <x:c r="G158" s="17" t="n">
        <x:v>256.4318</x:v>
      </x:c>
      <x:c r="H158" s="17" t="n">
        <x:f>G158*F158</x:f>
        <x:v>24617.4528</x:v>
      </x:c>
      <x:c r="I158" s="22" t="str">
        <x:f>HYPERLINK("https://etp-aktiv.ru/catalog/materialy/truboprovody/2000729799-U117/","Открыть позицию")</x:f>
        <x:v>Открыть позицию</x:v>
      </x:c>
    </x:row>
    <x:row r="159" ht="28" customHeight="1">
      <x:c r="A159" s="16" t="str">
        <x:v>Приморская ГРЭС</x:v>
      </x:c>
      <x:c r="B159" s="16" t="str">
        <x:v>2000729798-U117</x:v>
      </x:c>
      <x:c r="C159" s="16" t="str">
        <x:v>ПРОКЛАДКА НПВХ D75 PN16 RGRGQP0750</x:v>
      </x:c>
      <x:c r="D159" s="16" t="str">
        <x:v>Фитинги труб полимерных</x:v>
      </x:c>
      <x:c r="E159" s="16" t="str">
        <x:v>ШТ</x:v>
      </x:c>
      <x:c r="F159" s="21" t="n">
        <x:v>98</x:v>
      </x:c>
      <x:c r="G159" s="17" t="n">
        <x:v>179.95</x:v>
      </x:c>
      <x:c r="H159" s="17" t="n">
        <x:f>G159*F159</x:f>
        <x:v>17635.1</x:v>
      </x:c>
      <x:c r="I159" s="22" t="str">
        <x:f>HYPERLINK("https://etp-aktiv.ru/catalog/materialy/truboprovody/2000729798-U117/","Открыть позицию")</x:f>
        <x:v>Открыть позицию</x:v>
      </x:c>
    </x:row>
    <x:row r="160" ht="28" customHeight="1">
      <x:c r="A160" s="16" t="str">
        <x:v>Приморская ГРЭС</x:v>
      </x:c>
      <x:c r="B160" s="16" t="str">
        <x:v>2000539318-U117</x:v>
      </x:c>
      <x:c r="C160" s="16" t="str">
        <x:v>ПРОКЛАДКА ПУТГм-01 160*130-3,0-11</x:v>
      </x:c>
      <x:c r="D160" s="16" t="str">
        <x:v>Детали фасонные</x:v>
      </x:c>
      <x:c r="E160" s="16" t="str">
        <x:v>ШТ</x:v>
      </x:c>
      <x:c r="F160" s="21" t="n">
        <x:v>4</x:v>
      </x:c>
      <x:c r="G160" s="17" t="n">
        <x:v>5697.778200000001</x:v>
      </x:c>
      <x:c r="H160" s="17" t="n">
        <x:f>G160*F160</x:f>
        <x:v>22791.112800000003</x:v>
      </x:c>
      <x:c r="I160" s="22" t="str">
        <x:f>HYPERLINK("https://etp-aktiv.ru/catalog/materialy/truboprovody/2000539318-U117/","Открыть позицию")</x:f>
        <x:v>Открыть позицию</x:v>
      </x:c>
    </x:row>
    <x:row r="161" ht="28" customHeight="1">
      <x:c r="A161" s="16" t="str">
        <x:v>Приморская ГРЭС</x:v>
      </x:c>
      <x:c r="B161" s="16" t="str">
        <x:v>2000553341-U117</x:v>
      </x:c>
      <x:c r="C161" s="16" t="str">
        <x:v>ПРУЖИНА 04 ОСТ108.764.01-80</x:v>
      </x:c>
      <x:c r="D161" s="16" t="str">
        <x:v>Система опорно-подвесная</x:v>
      </x:c>
      <x:c r="E161" s="16" t="str">
        <x:v>ШТ</x:v>
      </x:c>
      <x:c r="F161" s="21" t="n">
        <x:v>7</x:v>
      </x:c>
      <x:c r="G161" s="17" t="n">
        <x:v>1883.7531999999999</x:v>
      </x:c>
      <x:c r="H161" s="17" t="n">
        <x:f>G161*F161</x:f>
        <x:v>13186.2724</x:v>
      </x:c>
      <x:c r="I161" s="22" t="str">
        <x:f>HYPERLINK("https://etp-aktiv.ru/catalog/materialy/truboprovody/2000553341-U117/","Открыть позицию")</x:f>
        <x:v>Открыть позицию</x:v>
      </x:c>
    </x:row>
    <x:row r="162" ht="28" customHeight="1">
      <x:c r="A162" s="16" t="str">
        <x:v>Приморская ГРЭС</x:v>
      </x:c>
      <x:c r="B162" s="16" t="str">
        <x:v>2000553342-U117</x:v>
      </x:c>
      <x:c r="C162" s="16" t="str">
        <x:v>ПРУЖИНА 05 ОСТ108.764.01-80</x:v>
      </x:c>
      <x:c r="D162" s="16" t="str">
        <x:v>Система опорно-подвесная</x:v>
      </x:c>
      <x:c r="E162" s="16" t="str">
        <x:v>ШТ</x:v>
      </x:c>
      <x:c r="F162" s="21" t="n">
        <x:v>2</x:v>
      </x:c>
      <x:c r="G162" s="17" t="n">
        <x:v>2266.3452</x:v>
      </x:c>
      <x:c r="H162" s="17" t="n">
        <x:f>G162*F162</x:f>
        <x:v>4532.6904</x:v>
      </x:c>
      <x:c r="I162" s="22" t="str">
        <x:f>HYPERLINK("https://etp-aktiv.ru/catalog/materialy/truboprovody/2000553342-U117/","Открыть позицию")</x:f>
        <x:v>Открыть позицию</x:v>
      </x:c>
    </x:row>
    <x:row r="163" ht="28" customHeight="1">
      <x:c r="A163" s="16" t="str">
        <x:v>Приморская ГРЭС</x:v>
      </x:c>
      <x:c r="B163" s="16" t="str">
        <x:v>2000553358-U117</x:v>
      </x:c>
      <x:c r="C163" s="16" t="str">
        <x:v>ПРУЖИНА 20 МВН049-63</x:v>
      </x:c>
      <x:c r="D163" s="16" t="str">
        <x:v>Система опорно-подвесная</x:v>
      </x:c>
      <x:c r="E163" s="16" t="str">
        <x:v>ШТ</x:v>
      </x:c>
      <x:c r="F163" s="21" t="n">
        <x:v>18</x:v>
      </x:c>
      <x:c r="G163" s="17" t="n">
        <x:v>12568.744999999999</x:v>
      </x:c>
      <x:c r="H163" s="17" t="n">
        <x:f>G163*F163</x:f>
        <x:v>226237.40999999997</x:v>
      </x:c>
      <x:c r="I163" s="22" t="str">
        <x:f>HYPERLINK("https://etp-aktiv.ru/catalog/materialy/truboprovody/2000553358-U117/","Открыть позицию")</x:f>
        <x:v>Открыть позицию</x:v>
      </x:c>
    </x:row>
    <x:row r="164" ht="28" customHeight="1">
      <x:c r="A164" s="16" t="str">
        <x:v>Приморская ГРЭС</x:v>
      </x:c>
      <x:c r="B164" s="16" t="str">
        <x:v>2000938816-U117</x:v>
      </x:c>
      <x:c r="C164" s="16" t="str">
        <x:v>ПРУЖИНА 21 МВН049-63</x:v>
      </x:c>
      <x:c r="D164" s="16" t="str">
        <x:v>Система опорно-подвесная</x:v>
      </x:c>
      <x:c r="E164" s="16" t="str">
        <x:v>ШТ</x:v>
      </x:c>
      <x:c r="F164" s="21" t="n">
        <x:v>17</x:v>
      </x:c>
      <x:c r="G164" s="17" t="n">
        <x:v>11826.2896</x:v>
      </x:c>
      <x:c r="H164" s="17" t="n">
        <x:f>G164*F164</x:f>
        <x:v>201046.9232</x:v>
      </x:c>
      <x:c r="I164" s="22" t="str">
        <x:f>HYPERLINK("https://etp-aktiv.ru/catalog/materialy/truboprovody/2000938816-U117/","Открыть позицию")</x:f>
        <x:v>Открыть позицию</x:v>
      </x:c>
    </x:row>
    <x:row r="165" ht="28" customHeight="1">
      <x:c r="A165" s="16" t="str">
        <x:v>Приморская ГРЭС</x:v>
      </x:c>
      <x:c r="B165" s="16" t="str">
        <x:v>2000553360-U117</x:v>
      </x:c>
      <x:c r="C165" s="16" t="str">
        <x:v>ПРУЖИНА 21 ОСТ108.764.01-80</x:v>
      </x:c>
      <x:c r="D165" s="16" t="str">
        <x:v>Система опорно-подвесная</x:v>
      </x:c>
      <x:c r="E165" s="16" t="str">
        <x:v>ШТ</x:v>
      </x:c>
      <x:c r="F165" s="21" t="n">
        <x:v>10</x:v>
      </x:c>
      <x:c r="G165" s="17" t="n">
        <x:v>6094.1074</x:v>
      </x:c>
      <x:c r="H165" s="17" t="n">
        <x:f>G165*F165</x:f>
        <x:v>60941.074</x:v>
      </x:c>
      <x:c r="I165" s="22" t="str">
        <x:f>HYPERLINK("https://etp-aktiv.ru/catalog/materialy/truboprovody/2000553360-U117/","Открыть позицию")</x:f>
        <x:v>Открыть позицию</x:v>
      </x:c>
    </x:row>
    <x:row r="166" ht="28" customHeight="1">
      <x:c r="A166" s="16" t="str">
        <x:v>Приморская ГРЭС</x:v>
      </x:c>
      <x:c r="B166" s="16" t="str">
        <x:v>2000624527-U117</x:v>
      </x:c>
      <x:c r="C166" s="16" t="str">
        <x:v>ПРУЖИНА 23 ОСТ108.764.01-80</x:v>
      </x:c>
      <x:c r="D166" s="16" t="str">
        <x:v>Система опорно-подвесная</x:v>
      </x:c>
      <x:c r="E166" s="16" t="str">
        <x:v>ШТ</x:v>
      </x:c>
      <x:c r="F166" s="21" t="n">
        <x:v>20</x:v>
      </x:c>
      <x:c r="G166" s="17" t="n">
        <x:v>7965.660599999999</x:v>
      </x:c>
      <x:c r="H166" s="17" t="n">
        <x:f>G166*F166</x:f>
        <x:v>159313.212</x:v>
      </x:c>
      <x:c r="I166" s="22" t="str">
        <x:f>HYPERLINK("https://etp-aktiv.ru/catalog/materialy/truboprovody/2000624527-U117/","Открыть позицию")</x:f>
        <x:v>Открыть позицию</x:v>
      </x:c>
    </x:row>
    <x:row r="167" ht="28" customHeight="1">
      <x:c r="A167" s="16" t="str">
        <x:v>Приморская ГРЭС</x:v>
      </x:c>
      <x:c r="B167" s="16" t="str">
        <x:v>2000704198-U117</x:v>
      </x:c>
      <x:c r="C167" s="16" t="str">
        <x:v>ПРУЖИНА 24 ОСТ108.764.01-80</x:v>
      </x:c>
      <x:c r="D167" s="16" t="str">
        <x:v>Система опорно-подвесная</x:v>
      </x:c>
      <x:c r="E167" s="16" t="str">
        <x:v>ШТ</x:v>
      </x:c>
      <x:c r="F167" s="21" t="n">
        <x:v>10</x:v>
      </x:c>
      <x:c r="G167" s="17" t="n">
        <x:v>11662.6876</x:v>
      </x:c>
      <x:c r="H167" s="17" t="n">
        <x:f>G167*F167</x:f>
        <x:v>116626.87599999999</x:v>
      </x:c>
      <x:c r="I167" s="22" t="str">
        <x:f>HYPERLINK("https://etp-aktiv.ru/catalog/materialy/truboprovody/2000704198-U117/","Открыть позицию")</x:f>
        <x:v>Открыть позицию</x:v>
      </x:c>
    </x:row>
    <x:row r="168" ht="28" customHeight="1">
      <x:c r="A168" s="16" t="str">
        <x:v>Приморская ГРЭС</x:v>
      </x:c>
      <x:c r="B168" s="16" t="str">
        <x:v>2000527632-U117</x:v>
      </x:c>
      <x:c r="C168" s="16" t="str">
        <x:v>ПРУЖИНА 880-325-8А ЗАДВИЖЕК 850, 880-885</x:v>
      </x:c>
      <x:c r="D168" s="16" t="str">
        <x:v>Запасные части к трубопроводной арматуре</x:v>
      </x:c>
      <x:c r="E168" s="16" t="str">
        <x:v>ШТ</x:v>
      </x:c>
      <x:c r="F168" s="21" t="n">
        <x:v>10</x:v>
      </x:c>
      <x:c r="G168" s="17" t="n">
        <x:v>4117.5</x:v>
      </x:c>
      <x:c r="H168" s="17" t="n">
        <x:f>G168*F168</x:f>
        <x:v>41175</x:v>
      </x:c>
      <x:c r="I168" s="22" t="str">
        <x:f>HYPERLINK("https://etp-aktiv.ru/catalog/materialy/truboprovodnaya-armatura-i-komplektuyushchie/2000527632-U117/","Открыть позицию")</x:f>
        <x:v>Открыть позицию</x:v>
      </x:c>
    </x:row>
    <x:row r="169" ht="28" customHeight="1">
      <x:c r="A169" s="16" t="str">
        <x:v>Приморская ГРЭС</x:v>
      </x:c>
      <x:c r="B169" s="16" t="str">
        <x:v>2000553343-U117</x:v>
      </x:c>
      <x:c r="C169" s="16" t="str">
        <x:v>ПРУЖИНА ИСП.06 МВН049-63</x:v>
      </x:c>
      <x:c r="D169" s="16" t="str">
        <x:v>Система опорно-подвесная</x:v>
      </x:c>
      <x:c r="E169" s="16" t="str">
        <x:v>ШТ</x:v>
      </x:c>
      <x:c r="F169" s="21" t="n">
        <x:v>5</x:v>
      </x:c>
      <x:c r="G169" s="17" t="n">
        <x:v>6053.639999999999</x:v>
      </x:c>
      <x:c r="H169" s="17" t="n">
        <x:f>G169*F169</x:f>
        <x:v>30268.199999999997</x:v>
      </x:c>
      <x:c r="I169" s="22" t="str">
        <x:f>HYPERLINK("https://etp-aktiv.ru/catalog/materialy/truboprovody/2000553343-U117/","Открыть позицию")</x:f>
        <x:v>Открыть позицию</x:v>
      </x:c>
    </x:row>
    <x:row r="170" ht="28" customHeight="1">
      <x:c r="A170" s="16" t="str">
        <x:v>Приморская ГРЭС</x:v>
      </x:c>
      <x:c r="B170" s="16" t="str">
        <x:v>2000553348-U117</x:v>
      </x:c>
      <x:c r="C170" s="16" t="str">
        <x:v>ПРУЖИНА ИСП.09 МВН049-63</x:v>
      </x:c>
      <x:c r="D170" s="16" t="str">
        <x:v>Система опорно-подвесная</x:v>
      </x:c>
      <x:c r="E170" s="16" t="str">
        <x:v>ШТ</x:v>
      </x:c>
      <x:c r="F170" s="21" t="n">
        <x:v>4</x:v>
      </x:c>
      <x:c r="G170" s="17" t="n">
        <x:v>21507.136</x:v>
      </x:c>
      <x:c r="H170" s="17" t="n">
        <x:f>G170*F170</x:f>
        <x:v>86028.544</x:v>
      </x:c>
      <x:c r="I170" s="22" t="str">
        <x:f>HYPERLINK("https://etp-aktiv.ru/catalog/materialy/truboprovody/2000553348-U117/","Открыть позицию")</x:f>
        <x:v>Открыть позицию</x:v>
      </x:c>
    </x:row>
    <x:row r="171" ht="28" customHeight="1">
      <x:c r="A171" s="16" t="str">
        <x:v>Приморская ГРЭС</x:v>
      </x:c>
      <x:c r="B171" s="16" t="str">
        <x:v>2000483208-U117</x:v>
      </x:c>
      <x:c r="C171" s="16" t="str">
        <x:v>РАСТРУБ С ВЫКИДНОЙ ТРУБОЙ ОУ-1/2/3/5/10</x:v>
      </x:c>
      <x:c r="D171" s="16" t="str">
        <x:v>Запасные части к противопожарному оборудованию</x:v>
      </x:c>
      <x:c r="E171" s="16" t="str">
        <x:v>ШТ</x:v>
      </x:c>
      <x:c r="F171" s="21" t="n">
        <x:v>17</x:v>
      </x:c>
      <x:c r="G171" s="17" t="n">
        <x:v>356.6182</x:v>
      </x:c>
      <x:c r="H171" s="17" t="n">
        <x:f>G171*F171</x:f>
        <x:v>6062.5094</x:v>
      </x:c>
      <x:c r="I171" s="22" t="str">
        <x:f>HYPERLINK("https://etp-aktiv.ru/catalog/materialy/protivopozharnye-materialy/2000483208-U117/","Открыть позицию")</x:f>
        <x:v>Открыть позицию</x:v>
      </x:c>
    </x:row>
    <x:row r="172" ht="28" customHeight="1">
      <x:c r="A172" s="16" t="str">
        <x:v>Приморская ГРЭС</x:v>
      </x:c>
      <x:c r="B172" s="16" t="str">
        <x:v>2000040047-U117</x:v>
      </x:c>
      <x:c r="C172" s="16" t="str">
        <x:v>СГОН DN50 ГОСТ8969-75</x:v>
      </x:c>
      <x:c r="D172" s="16" t="str">
        <x:v>Детали фасонные</x:v>
      </x:c>
      <x:c r="E172" s="16" t="str">
        <x:v>ШТ</x:v>
      </x:c>
      <x:c r="F172" s="21" t="n">
        <x:v>247</x:v>
      </x:c>
      <x:c r="G172" s="17" t="n">
        <x:v>189.1</x:v>
      </x:c>
      <x:c r="H172" s="17" t="n">
        <x:f>G172*F172</x:f>
        <x:v>46707.7</x:v>
      </x:c>
      <x:c r="I172" s="22" t="str">
        <x:f>HYPERLINK("https://etp-aktiv.ru/catalog/materialy/truboprovody/2000040047-U117/","Открыть позицию")</x:f>
        <x:v>Открыть позицию</x:v>
      </x:c>
    </x:row>
    <x:row r="173" ht="28" customHeight="1">
      <x:c r="A173" s="16" t="str">
        <x:v>Приморская ГРЭС</x:v>
      </x:c>
      <x:c r="B173" s="16" t="str">
        <x:v>2000710772-U117</x:v>
      </x:c>
      <x:c r="C173" s="16" t="str">
        <x:v>СМАЗКА АРМАТУРНАЯ ТОМФЛОН САГ 230 10КГ</x:v>
      </x:c>
      <x:c r="D173" s="16" t="str">
        <x:v>Масла и смазки различного назначения и типа</x:v>
      </x:c>
      <x:c r="E173" s="16" t="str">
        <x:v>КГ</x:v>
      </x:c>
      <x:c r="F173" s="21" t="n">
        <x:v>3</x:v>
      </x:c>
      <x:c r="G173" s="17" t="n">
        <x:v>3172</x:v>
      </x:c>
      <x:c r="H173" s="17" t="n">
        <x:f>G173*F173</x:f>
        <x:v>9516</x:v>
      </x:c>
      <x:c r="I173" s="22" t="str">
        <x:f>HYPERLINK("https://etp-aktiv.ru/catalog/materialy/gsm/2000710772-U117/","Открыть позицию")</x:f>
        <x:v>Открыть позицию</x:v>
      </x:c>
    </x:row>
    <x:row r="174" ht="28" customHeight="1">
      <x:c r="A174" s="16" t="str">
        <x:v>Приморская ГРЭС</x:v>
      </x:c>
      <x:c r="B174" s="16" t="str">
        <x:v>2000255202-U117</x:v>
      </x:c>
      <x:c r="C174" s="16" t="str">
        <x:v>ТРОЙНИК PPRC ПЕРЕХ DN50*32*50 PN16</x:v>
      </x:c>
      <x:c r="D174" s="16" t="str">
        <x:v>Детали фасонные</x:v>
      </x:c>
      <x:c r="E174" s="16" t="str">
        <x:v>ШТ</x:v>
      </x:c>
      <x:c r="F174" s="21" t="n">
        <x:v>7</x:v>
      </x:c>
      <x:c r="G174" s="17" t="n">
        <x:v>47.0676</x:v>
      </x:c>
      <x:c r="H174" s="17" t="n">
        <x:f>G174*F174</x:f>
        <x:v>329.4732</x:v>
      </x:c>
      <x:c r="I174" s="22" t="str">
        <x:f>HYPERLINK("https://etp-aktiv.ru/catalog/materialy/truboprovody/2000255202-U117/","Открыть позицию")</x:f>
        <x:v>Открыть позицию</x:v>
      </x:c>
    </x:row>
    <x:row r="175" ht="28" customHeight="1">
      <x:c r="A175" s="16" t="str">
        <x:v>Приморская ГРЭС</x:v>
      </x:c>
      <x:c r="B175" s="16" t="str">
        <x:v>2000729822-U117</x:v>
      </x:c>
      <x:c r="C175" s="16" t="str">
        <x:v>ТРОЙНИК НПВХ 110*50 PN16 RDRTRD110F</x:v>
      </x:c>
      <x:c r="D175" s="16" t="str">
        <x:v>Фитинги труб полимерных</x:v>
      </x:c>
      <x:c r="E175" s="16" t="str">
        <x:v>ШТ</x:v>
      </x:c>
      <x:c r="F175" s="21" t="n">
        <x:v>5</x:v>
      </x:c>
      <x:c r="G175" s="17" t="n">
        <x:v>1007.72</x:v>
      </x:c>
      <x:c r="H175" s="17" t="n">
        <x:f>G175*F175</x:f>
        <x:v>5038.6</x:v>
      </x:c>
      <x:c r="I175" s="22" t="str">
        <x:f>HYPERLINK("https://etp-aktiv.ru/catalog/materialy/truboprovody/2000729822-U117/","Открыть позицию")</x:f>
        <x:v>Открыть позицию</x:v>
      </x:c>
    </x:row>
    <x:row r="176" ht="28" customHeight="1">
      <x:c r="A176" s="16" t="str">
        <x:v>Приморская ГРЭС</x:v>
      </x:c>
      <x:c r="B176" s="16" t="str">
        <x:v>2000729821-U117</x:v>
      </x:c>
      <x:c r="C176" s="16" t="str">
        <x:v>ТРОЙНИК НПВХ D75 PN16 RDRTID0750</x:v>
      </x:c>
      <x:c r="D176" s="16" t="str">
        <x:v>Фитинги труб полимерных</x:v>
      </x:c>
      <x:c r="E176" s="16" t="str">
        <x:v>ШТ</x:v>
      </x:c>
      <x:c r="F176" s="21" t="n">
        <x:v>15</x:v>
      </x:c>
      <x:c r="G176" s="17" t="n">
        <x:v>278.9164</x:v>
      </x:c>
      <x:c r="H176" s="17" t="n">
        <x:f>G176*F176</x:f>
        <x:v>4183.746</x:v>
      </x:c>
      <x:c r="I176" s="22" t="str">
        <x:f>HYPERLINK("https://etp-aktiv.ru/catalog/materialy/truboprovody/2000729821-U117/","Открыть позицию")</x:f>
        <x:v>Открыть позицию</x:v>
      </x:c>
    </x:row>
    <x:row r="177" ht="28" customHeight="1">
      <x:c r="A177" s="16" t="str">
        <x:v>Приморская ГРЭС</x:v>
      </x:c>
      <x:c r="B177" s="16" t="str">
        <x:v>2000723571-U117</x:v>
      </x:c>
      <x:c r="C177" s="16" t="str">
        <x:v>ТРОЙНИК ПЭ SDR 11 110*110 ГОСТ32415-2013</x:v>
      </x:c>
      <x:c r="D177" s="16" t="str">
        <x:v>Фитинги труб полимерных</x:v>
      </x:c>
      <x:c r="E177" s="16" t="str">
        <x:v>ШТ</x:v>
      </x:c>
      <x:c r="F177" s="21" t="n">
        <x:v>12</x:v>
      </x:c>
      <x:c r="G177" s="17" t="n">
        <x:v>525.0025999999999</x:v>
      </x:c>
      <x:c r="H177" s="17" t="n">
        <x:f>G177*F177</x:f>
        <x:v>6300.031199999999</x:v>
      </x:c>
      <x:c r="I177" s="22" t="str">
        <x:f>HYPERLINK("https://etp-aktiv.ru/catalog/materialy/truboprovody/2000723571-U117/","Открыть позицию")</x:f>
        <x:v>Открыть позицию</x:v>
      </x:c>
    </x:row>
    <x:row r="178" ht="28" customHeight="1">
      <x:c r="A178" s="16" t="str">
        <x:v>Приморская ГРЭС</x:v>
      </x:c>
      <x:c r="B178" s="16" t="str">
        <x:v>2000393897-U117</x:v>
      </x:c>
      <x:c r="C178" s="16" t="str">
        <x:v>ТРОЙНИК ПЭ100 SDR11 160*14,6 160</x:v>
      </x:c>
      <x:c r="D178" s="16" t="str">
        <x:v>Детали фасонные</x:v>
      </x:c>
      <x:c r="E178" s="16" t="str">
        <x:v>ШТ</x:v>
      </x:c>
      <x:c r="F178" s="21" t="n">
        <x:v>18</x:v>
      </x:c>
      <x:c r="G178" s="17" t="n">
        <x:v>1233.9934</x:v>
      </x:c>
      <x:c r="H178" s="17" t="n">
        <x:f>G178*F178</x:f>
        <x:v>22211.8812</x:v>
      </x:c>
      <x:c r="I178" s="22" t="str">
        <x:f>HYPERLINK("https://etp-aktiv.ru/catalog/materialy/truboprovody/2000393897-U117/","Открыть позицию")</x:f>
        <x:v>Открыть позицию</x:v>
      </x:c>
    </x:row>
    <x:row r="179" ht="28" customHeight="1">
      <x:c r="A179" s="16" t="str">
        <x:v>Приморская ГРЭС</x:v>
      </x:c>
      <x:c r="B179" s="16" t="str">
        <x:v>2000472173-U117</x:v>
      </x:c>
      <x:c r="C179" s="16" t="str">
        <x:v>ТРОЙНИК ПЭ100 SDR11 90*63</x:v>
      </x:c>
      <x:c r="D179" s="16" t="str">
        <x:v>Детали фасонные</x:v>
      </x:c>
      <x:c r="E179" s="16" t="str">
        <x:v>ШТ</x:v>
      </x:c>
      <x:c r="F179" s="21" t="n">
        <x:v>24</x:v>
      </x:c>
      <x:c r="G179" s="17" t="n">
        <x:v>206.19219999999999</x:v>
      </x:c>
      <x:c r="H179" s="17" t="n">
        <x:f>G179*F179</x:f>
        <x:v>4948.6128</x:v>
      </x:c>
      <x:c r="I179" s="22" t="str">
        <x:f>HYPERLINK("https://etp-aktiv.ru/catalog/materialy/truboprovody/2000472173-U117/","Открыть позицию")</x:f>
        <x:v>Открыть позицию</x:v>
      </x:c>
    </x:row>
    <x:row r="180" ht="28" customHeight="1">
      <x:c r="A180" s="16" t="str">
        <x:v>Приморская ГРЭС</x:v>
      </x:c>
      <x:c r="B180" s="16" t="str">
        <x:v>2000712867-U117</x:v>
      </x:c>
      <x:c r="C180" s="16" t="str">
        <x:v>ТРОЙНИК ПЭ100 SDR17 160*9,5ММ</x:v>
      </x:c>
      <x:c r="D180" s="16" t="str">
        <x:v>Фитинги труб полимерных</x:v>
      </x:c>
      <x:c r="E180" s="16" t="str">
        <x:v>ШТ</x:v>
      </x:c>
      <x:c r="F180" s="21" t="n">
        <x:v>10</x:v>
      </x:c>
      <x:c r="G180" s="17" t="n">
        <x:v>1399.9987999999998</x:v>
      </x:c>
      <x:c r="H180" s="17" t="n">
        <x:f>G180*F180</x:f>
        <x:v>13999.987999999998</x:v>
      </x:c>
      <x:c r="I180" s="22" t="str">
        <x:f>HYPERLINK("https://etp-aktiv.ru/catalog/materialy/truboprovody/2000712867-U117/","Открыть позицию")</x:f>
        <x:v>Открыть позицию</x:v>
      </x:c>
    </x:row>
    <x:row r="181" ht="28" customHeight="1">
      <x:c r="A181" s="16" t="str">
        <x:v>Приморская ГРЭС</x:v>
      </x:c>
      <x:c r="B181" s="16" t="str">
        <x:v>2000712877-U117</x:v>
      </x:c>
      <x:c r="C181" s="16" t="str">
        <x:v>ТРОЙНИК ПЭ100 SDR17 DN110</x:v>
      </x:c>
      <x:c r="D181" s="16" t="str">
        <x:v>Фитинги труб полимерных</x:v>
      </x:c>
      <x:c r="E181" s="16" t="str">
        <x:v>ШТ</x:v>
      </x:c>
      <x:c r="F181" s="21" t="n">
        <x:v>1</x:v>
      </x:c>
      <x:c r="G181" s="17" t="n">
        <x:v>689.422</x:v>
      </x:c>
      <x:c r="H181" s="17" t="n">
        <x:f>G181*F181</x:f>
        <x:v>689.422</x:v>
      </x:c>
      <x:c r="I181" s="22" t="str">
        <x:f>HYPERLINK("https://etp-aktiv.ru/catalog/materialy/truboprovody/2000712877-U117/","Открыть позицию")</x:f>
        <x:v>Открыть позицию</x:v>
      </x:c>
    </x:row>
    <x:row r="182" ht="28" customHeight="1">
      <x:c r="A182" s="16" t="str">
        <x:v>Приморская ГРЭС</x:v>
      </x:c>
      <x:c r="B182" s="16" t="str">
        <x:v>2000177064-U117</x:v>
      </x:c>
      <x:c r="C182" s="16" t="str">
        <x:v>ТРОЙНИК СТ20 108*6 ГОСТ17376-01</x:v>
      </x:c>
      <x:c r="D182" s="16" t="str">
        <x:v>Детали фасонные</x:v>
      </x:c>
      <x:c r="E182" s="16" t="str">
        <x:v>ШТ</x:v>
      </x:c>
      <x:c r="F182" s="21" t="n">
        <x:v>4</x:v>
      </x:c>
      <x:c r="G182" s="17" t="n">
        <x:v>1457.8999999999999</x:v>
      </x:c>
      <x:c r="H182" s="17" t="n">
        <x:f>G182*F182</x:f>
        <x:v>5831.599999999999</x:v>
      </x:c>
      <x:c r="I182" s="22" t="str">
        <x:f>HYPERLINK("https://etp-aktiv.ru/catalog/materialy/truboprovody/2000177064-U117/","Открыть позицию")</x:f>
        <x:v>Открыть позицию</x:v>
      </x:c>
    </x:row>
    <x:row r="183" ht="28" customHeight="1">
      <x:c r="A183" s="16" t="str">
        <x:v>Приморская ГРЭС</x:v>
      </x:c>
      <x:c r="B183" s="16" t="str">
        <x:v>2000876952-U117</x:v>
      </x:c>
      <x:c r="C183" s="16" t="str">
        <x:v>ТРОЙНИК СТ20 219*6-108*4 ГОСТ17376-2001</x:v>
      </x:c>
      <x:c r="D183" s="16" t="str">
        <x:v>Детали фасонные</x:v>
      </x:c>
      <x:c r="E183" s="16" t="str">
        <x:v>ШТ</x:v>
      </x:c>
      <x:c r="F183" s="21" t="n">
        <x:v>4</x:v>
      </x:c>
      <x:c r="G183" s="17" t="n">
        <x:v>7313.9</x:v>
      </x:c>
      <x:c r="H183" s="17" t="n">
        <x:f>G183*F183</x:f>
        <x:v>29255.6</x:v>
      </x:c>
      <x:c r="I183" s="22" t="str">
        <x:f>HYPERLINK("https://etp-aktiv.ru/catalog/materialy/truboprovody/2000876952-U117/","Открыть позицию")</x:f>
        <x:v>Открыть позицию</x:v>
      </x:c>
    </x:row>
    <x:row r="184" ht="28" customHeight="1">
      <x:c r="A184" s="16" t="str">
        <x:v>Приморская ГРЭС</x:v>
      </x:c>
      <x:c r="B184" s="16" t="str">
        <x:v>2000555213-U117</x:v>
      </x:c>
      <x:c r="C184" s="16" t="str">
        <x:v>ТРОЙНИК СТ20 325*10-325 ГОСТ17376-01</x:v>
      </x:c>
      <x:c r="D184" s="16" t="str">
        <x:v>Детали фасонные</x:v>
      </x:c>
      <x:c r="E184" s="16" t="str">
        <x:v>ШТ</x:v>
      </x:c>
      <x:c r="F184" s="21" t="n">
        <x:v>1</x:v>
      </x:c>
      <x:c r="G184" s="17" t="n">
        <x:v>8667.3436</x:v>
      </x:c>
      <x:c r="H184" s="17" t="n">
        <x:f>G184*F184</x:f>
        <x:v>8667.3436</x:v>
      </x:c>
      <x:c r="I184" s="22" t="str">
        <x:f>HYPERLINK("https://etp-aktiv.ru/catalog/materialy/truboprovody/2000555213-U117/","Открыть позицию")</x:f>
        <x:v>Открыть позицию</x:v>
      </x:c>
    </x:row>
    <x:row r="185" ht="28" customHeight="1">
      <x:c r="A185" s="16" t="str">
        <x:v>Приморская ГРЭС</x:v>
      </x:c>
      <x:c r="B185" s="16" t="str">
        <x:v>2000984547-U117</x:v>
      </x:c>
      <x:c r="C185" s="16" t="str">
        <x:v>ТРУБА 09Г2С 108*4 ГОСТ8734-75</x:v>
      </x:c>
      <x:c r="D185" s="16" t="str">
        <x:v>@Трубы прочие</x:v>
      </x:c>
      <x:c r="E185" s="16" t="str">
        <x:v>Т</x:v>
      </x:c>
      <x:c r="F185" s="26" t="n">
        <x:v>0.076</x:v>
      </x:c>
      <x:c r="G185" s="17" t="n">
        <x:v>269620</x:v>
      </x:c>
      <x:c r="H185" s="17" t="n">
        <x:f>G185*F185</x:f>
        <x:v>20491.12</x:v>
      </x:c>
      <x:c r="I185" s="22" t="str">
        <x:f>HYPERLINK("https://etp-aktiv.ru/catalog/materialy/truby-stalnye-i-polimernye/2000984547-U117/","Открыть позицию")</x:f>
        <x:v>Открыть позицию</x:v>
      </x:c>
    </x:row>
    <x:row r="186" ht="28" customHeight="1">
      <x:c r="A186" s="16" t="str">
        <x:v>Приморская ГРЭС</x:v>
      </x:c>
      <x:c r="B186" s="16" t="str">
        <x:v>2000560218-U117</x:v>
      </x:c>
      <x:c r="C186" s="16" t="str">
        <x:v>ТРУБА 09Г2С 32*4 ГОСТ8733-74</x:v>
      </x:c>
      <x:c r="D186" s="16" t="str">
        <x:v>Трубы черные бесшовные</x:v>
      </x:c>
      <x:c r="E186" s="16" t="str">
        <x:v>Т</x:v>
      </x:c>
      <x:c r="F186" s="30" t="n">
        <x:v>3.672</x:v>
      </x:c>
      <x:c r="G186" s="17" t="n">
        <x:v>145963.3864</x:v>
      </x:c>
      <x:c r="H186" s="17" t="n">
        <x:f>G186*F186</x:f>
        <x:v>535977.5548607999</x:v>
      </x:c>
      <x:c r="I186" s="22" t="str">
        <x:f>HYPERLINK("https://etp-aktiv.ru/catalog/materialy/truby-stalnye-i-polimernye/2000560218-U117/","Открыть позицию")</x:f>
        <x:v>Открыть позицию</x:v>
      </x:c>
    </x:row>
    <x:row r="187" ht="28" customHeight="1">
      <x:c r="A187" s="16" t="str">
        <x:v>Приморская ГРЭС</x:v>
      </x:c>
      <x:c r="B187" s="16" t="str">
        <x:v>2000712879-U117</x:v>
      </x:c>
      <x:c r="C187" s="16" t="str">
        <x:v>ТРУБА 09Г2С 325*9 ГОСТ8732-78</x:v>
      </x:c>
      <x:c r="D187" s="16" t="str">
        <x:v>Трубы черные бесшовные</x:v>
      </x:c>
      <x:c r="E187" s="16" t="str">
        <x:v>Т</x:v>
      </x:c>
      <x:c r="F187" s="30" t="n">
        <x:v>1.651</x:v>
      </x:c>
      <x:c r="G187" s="17" t="n">
        <x:v>97600</x:v>
      </x:c>
      <x:c r="H187" s="17" t="n">
        <x:f>G187*F187</x:f>
        <x:v>161137.6</x:v>
      </x:c>
      <x:c r="I187" s="22" t="str">
        <x:f>HYPERLINK("https://etp-aktiv.ru/catalog/materialy/truby-stalnye-i-polimernye/2000712879-U117/","Открыть позицию")</x:f>
        <x:v>Открыть позицию</x:v>
      </x:c>
    </x:row>
    <x:row r="188" ht="28" customHeight="1">
      <x:c r="A188" s="16" t="str">
        <x:v>Приморская ГРЭС</x:v>
      </x:c>
      <x:c r="B188" s="16" t="str">
        <x:v>2000566578-U117</x:v>
      </x:c>
      <x:c r="C188" s="16" t="str">
        <x:v>ТРУБА 09Г2С 38*2,5 ГОСТ8731-74</x:v>
      </x:c>
      <x:c r="D188" s="16" t="str">
        <x:v>Трубы черные бесшовные</x:v>
      </x:c>
      <x:c r="E188" s="16" t="str">
        <x:v>Т</x:v>
      </x:c>
      <x:c r="F188" s="26" t="n">
        <x:v>0.045</x:v>
      </x:c>
      <x:c r="G188" s="17" t="n">
        <x:v>215436.53040000002</x:v>
      </x:c>
      <x:c r="H188" s="17" t="n">
        <x:f>G188*F188</x:f>
        <x:v>9694.643868000001</x:v>
      </x:c>
      <x:c r="I188" s="22" t="str">
        <x:f>HYPERLINK("https://etp-aktiv.ru/catalog/materialy/truby-stalnye-i-polimernye/2000566578-U117/","Открыть позицию")</x:f>
        <x:v>Открыть позицию</x:v>
      </x:c>
    </x:row>
    <x:row r="189" ht="28" customHeight="1">
      <x:c r="A189" s="16" t="str">
        <x:v>Приморская ГРЭС</x:v>
      </x:c>
      <x:c r="B189" s="16" t="str">
        <x:v>2000699253-U117</x:v>
      </x:c>
      <x:c r="C189" s="16" t="str">
        <x:v>ТРУБА 09Г2С 60*4 ГОСТ8732-78</x:v>
      </x:c>
      <x:c r="D189" s="16" t="str">
        <x:v>Трубы черные бесшовные</x:v>
      </x:c>
      <x:c r="E189" s="16" t="str">
        <x:v>Т</x:v>
      </x:c>
      <x:c r="F189" s="26" t="n">
        <x:v>0.059</x:v>
      </x:c>
      <x:c r="G189" s="17" t="n">
        <x:v>78079.90239999999</x:v>
      </x:c>
      <x:c r="H189" s="17" t="n">
        <x:f>G189*F189</x:f>
        <x:v>4606.7142416</x:v>
      </x:c>
      <x:c r="I189" s="22" t="str">
        <x:f>HYPERLINK("https://etp-aktiv.ru/catalog/materialy/truby-stalnye-i-polimernye/2000699253-U117/","Открыть позицию")</x:f>
        <x:v>Открыть позицию</x:v>
      </x:c>
    </x:row>
    <x:row r="190" ht="28" customHeight="1">
      <x:c r="A190" s="16" t="str">
        <x:v>Приморская ГРЭС</x:v>
      </x:c>
      <x:c r="B190" s="16" t="str">
        <x:v>2000148475-U117</x:v>
      </x:c>
      <x:c r="C190" s="16" t="str">
        <x:v>ТРУБА 12Х18Н10Т 12*1 ГОСТ9941-81</x:v>
      </x:c>
      <x:c r="D190" s="16" t="str">
        <x:v>Трубы нержавеющ(сварные и бесшовн) кроме котельн выс.давл</x:v>
      </x:c>
      <x:c r="E190" s="16" t="str">
        <x:v>Т</x:v>
      </x:c>
      <x:c r="F190" s="26" t="n">
        <x:v>0.001</x:v>
      </x:c>
      <x:c r="G190" s="17" t="n">
        <x:v>715530</x:v>
      </x:c>
      <x:c r="H190" s="17" t="n">
        <x:f>G190*F190</x:f>
        <x:v>715.53</x:v>
      </x:c>
      <x:c r="I190" s="22" t="str">
        <x:f>HYPERLINK("https://etp-aktiv.ru/catalog/materialy/truby-stalnye-i-polimernye/2000148475-U117/","Открыть позицию")</x:f>
        <x:v>Открыть позицию</x:v>
      </x:c>
    </x:row>
    <x:row r="191" ht="28" customHeight="1">
      <x:c r="A191" s="16" t="str">
        <x:v>Приморская ГРЭС</x:v>
      </x:c>
      <x:c r="B191" s="16" t="str">
        <x:v>2000560638-U117</x:v>
      </x:c>
      <x:c r="C191" s="16" t="str">
        <x:v>ТРУБА 12Х18Н10Т 12*2 ГОСТ9941-81</x:v>
      </x:c>
      <x:c r="D191" s="16" t="str">
        <x:v>Трубы нержавеющ(сварные и бесшовн) кроме котельн выс.давл</x:v>
      </x:c>
      <x:c r="E191" s="16" t="str">
        <x:v>Т</x:v>
      </x:c>
      <x:c r="F191" s="26" t="n">
        <x:v>0.012</x:v>
      </x:c>
      <x:c r="G191" s="17" t="n">
        <x:v>715530</x:v>
      </x:c>
      <x:c r="H191" s="17" t="n">
        <x:f>G191*F191</x:f>
        <x:v>8586.36</x:v>
      </x:c>
      <x:c r="I191" s="22" t="str">
        <x:f>HYPERLINK("https://etp-aktiv.ru/catalog/materialy/truby-stalnye-i-polimernye/2000560638-U117/","Открыть позицию")</x:f>
        <x:v>Открыть позицию</x:v>
      </x:c>
    </x:row>
    <x:row r="192" ht="28" customHeight="1">
      <x:c r="A192" s="16" t="str">
        <x:v>Приморская ГРЭС</x:v>
      </x:c>
      <x:c r="B192" s="16" t="str">
        <x:v>2000560669-U117</x:v>
      </x:c>
      <x:c r="C192" s="16" t="str">
        <x:v>ТРУБА 12Х18Н10Т 25*3 ГОСТ9941-81</x:v>
      </x:c>
      <x:c r="D192" s="16" t="str">
        <x:v>Трубы нержавеющ(сварные и бесшовн) кроме котельн выс.давл</x:v>
      </x:c>
      <x:c r="E192" s="16" t="str">
        <x:v>Т</x:v>
      </x:c>
      <x:c r="F192" s="26" t="n">
        <x:v>0.066</x:v>
      </x:c>
      <x:c r="G192" s="17" t="n">
        <x:v>569369.2786</x:v>
      </x:c>
      <x:c r="H192" s="17" t="n">
        <x:f>G192*F192</x:f>
        <x:v>37578.3723876</x:v>
      </x:c>
      <x:c r="I192" s="22" t="str">
        <x:f>HYPERLINK("https://etp-aktiv.ru/catalog/materialy/truby-stalnye-i-polimernye/2000560669-U117/","Открыть позицию")</x:f>
        <x:v>Открыть позицию</x:v>
      </x:c>
    </x:row>
    <x:row r="193" ht="28" customHeight="1">
      <x:c r="A193" s="16" t="str">
        <x:v>Приморская ГРЭС</x:v>
      </x:c>
      <x:c r="B193" s="16" t="str">
        <x:v>2000560690-U117</x:v>
      </x:c>
      <x:c r="C193" s="16" t="str">
        <x:v>ТРУБА 12Х18Н10Т 42*4 ГОСТ9941-81</x:v>
      </x:c>
      <x:c r="D193" s="16" t="str">
        <x:v>Трубы нержавеющ(сварные и бесшовн) кроме котельн выс.давл</x:v>
      </x:c>
      <x:c r="E193" s="16" t="str">
        <x:v>Т</x:v>
      </x:c>
      <x:c r="F193" s="30" t="n">
        <x:v>4.209</x:v>
      </x:c>
      <x:c r="G193" s="17" t="n">
        <x:v>703115.4874</x:v>
      </x:c>
      <x:c r="H193" s="17" t="n">
        <x:f>G193*F193</x:f>
        <x:v>2959413.0864665997</x:v>
      </x:c>
      <x:c r="I193" s="22" t="str">
        <x:f>HYPERLINK("https://etp-aktiv.ru/catalog/materialy/truby-stalnye-i-polimernye/2000560690-U117/","Открыть позицию")</x:f>
        <x:v>Открыть позицию</x:v>
      </x:c>
    </x:row>
    <x:row r="194" ht="28" customHeight="1">
      <x:c r="A194" s="16" t="str">
        <x:v>Приморская ГРЭС</x:v>
      </x:c>
      <x:c r="B194" s="16" t="str">
        <x:v>2000560711-U117</x:v>
      </x:c>
      <x:c r="C194" s="16" t="str">
        <x:v>ТРУБА 12Х18Н10Т 89*4,5 ГОСТ9941-81</x:v>
      </x:c>
      <x:c r="D194" s="16" t="str">
        <x:v>Трубы нержавеющ(сварные и бесшовн) кроме котельн выс.давл</x:v>
      </x:c>
      <x:c r="E194" s="16" t="str">
        <x:v>Т</x:v>
      </x:c>
      <x:c r="F194" s="26" t="n">
        <x:v>0.05</x:v>
      </x:c>
      <x:c r="G194" s="17" t="n">
        <x:v>643332.84</x:v>
      </x:c>
      <x:c r="H194" s="17" t="n">
        <x:f>G194*F194</x:f>
        <x:v>32166.642</x:v>
      </x:c>
      <x:c r="I194" s="22" t="str">
        <x:f>HYPERLINK("https://etp-aktiv.ru/catalog/materialy/truby-stalnye-i-polimernye/2000560711-U117/","Открыть позицию")</x:f>
        <x:v>Открыть позицию</x:v>
      </x:c>
    </x:row>
    <x:row r="195" ht="28" customHeight="1">
      <x:c r="A195" s="16" t="str">
        <x:v>Приморская ГРЭС</x:v>
      </x:c>
      <x:c r="B195" s="16" t="str">
        <x:v>2000977412-U117</x:v>
      </x:c>
      <x:c r="C195" s="16" t="str">
        <x:v>ТРУБА 12Х18Н12Т 10*2 ТУ14-3Р-55-2001</x:v>
      </x:c>
      <x:c r="D195" s="16" t="str">
        <x:v>Трубы котельные высокого давления</x:v>
      </x:c>
      <x:c r="E195" s="16" t="str">
        <x:v>Т</x:v>
      </x:c>
      <x:c r="F195" s="26" t="n">
        <x:v>0.012</x:v>
      </x:c>
      <x:c r="G195" s="17" t="n">
        <x:v>6533100</x:v>
      </x:c>
      <x:c r="H195" s="17" t="n">
        <x:f>G195*F195</x:f>
        <x:v>78397.2</x:v>
      </x:c>
      <x:c r="I195" s="22" t="str">
        <x:f>HYPERLINK("https://etp-aktiv.ru/catalog/materialy/truby-stalnye-i-polimernye/2000977412-U117/","Открыть позицию")</x:f>
        <x:v>Открыть позицию</x:v>
      </x:c>
    </x:row>
    <x:row r="196" ht="28" customHeight="1">
      <x:c r="A196" s="16" t="str">
        <x:v>Приморская ГРЭС</x:v>
      </x:c>
      <x:c r="B196" s="16" t="str">
        <x:v>2000545955-U117</x:v>
      </x:c>
      <x:c r="C196" s="16" t="str">
        <x:v>ТРУБА 12Х1МФ 108*4,5 ТУ14-3Р-55-01</x:v>
      </x:c>
      <x:c r="D196" s="16" t="str">
        <x:v>Трубы котельные высокого давления</x:v>
      </x:c>
      <x:c r="E196" s="16" t="str">
        <x:v>Т</x:v>
      </x:c>
      <x:c r="F196" s="26" t="n">
        <x:v>0.323</x:v>
      </x:c>
      <x:c r="G196" s="17" t="n">
        <x:v>514687.5</x:v>
      </x:c>
      <x:c r="H196" s="17" t="n">
        <x:f>G196*F196</x:f>
        <x:v>166244.0625</x:v>
      </x:c>
      <x:c r="I196" s="22" t="str">
        <x:f>HYPERLINK("https://etp-aktiv.ru/catalog/materialy/truby-stalnye-i-polimernye/2000545955-U117/","Открыть позицию")</x:f>
        <x:v>Открыть позицию</x:v>
      </x:c>
    </x:row>
    <x:row r="197" ht="28" customHeight="1">
      <x:c r="A197" s="16" t="str">
        <x:v>Приморская ГРЭС</x:v>
      </x:c>
      <x:c r="B197" s="16" t="str">
        <x:v>2000546003-U117</x:v>
      </x:c>
      <x:c r="C197" s="16" t="str">
        <x:v>ТРУБА 12Х1МФ 133*13 ТУ14-3Р-55-01</x:v>
      </x:c>
      <x:c r="D197" s="16" t="str">
        <x:v>Трубы котельные высокого давления</x:v>
      </x:c>
      <x:c r="E197" s="16" t="str">
        <x:v>Т</x:v>
      </x:c>
      <x:c r="F197" s="26" t="n">
        <x:v>0.24</x:v>
      </x:c>
      <x:c r="G197" s="17" t="n">
        <x:v>401380</x:v>
      </x:c>
      <x:c r="H197" s="17" t="n">
        <x:f>G197*F197</x:f>
        <x:v>96331.2</x:v>
      </x:c>
      <x:c r="I197" s="22" t="str">
        <x:f>HYPERLINK("https://etp-aktiv.ru/catalog/materialy/truby-stalnye-i-polimernye/2000546003-U117/","Открыть позицию")</x:f>
        <x:v>Открыть позицию</x:v>
      </x:c>
    </x:row>
    <x:row r="198" ht="28" customHeight="1">
      <x:c r="A198" s="16" t="str">
        <x:v>Приморская ГРЭС</x:v>
      </x:c>
      <x:c r="B198" s="16" t="str">
        <x:v>2000546006-U117</x:v>
      </x:c>
      <x:c r="C198" s="16" t="str">
        <x:v>ТРУБА 12Х1МФ 133*16 ТУ14-3Р-55-01</x:v>
      </x:c>
      <x:c r="D198" s="16" t="str">
        <x:v>Трубы котельные высокого давления</x:v>
      </x:c>
      <x:c r="E198" s="16" t="str">
        <x:v>Т</x:v>
      </x:c>
      <x:c r="F198" s="26" t="n">
        <x:v>0.27</x:v>
      </x:c>
      <x:c r="G198" s="17" t="n">
        <x:v>457500</x:v>
      </x:c>
      <x:c r="H198" s="17" t="n">
        <x:f>G198*F198</x:f>
        <x:v>123525.00000000001</x:v>
      </x:c>
      <x:c r="I198" s="22" t="str">
        <x:f>HYPERLINK("https://etp-aktiv.ru/catalog/materialy/truby-stalnye-i-polimernye/2000546006-U117/","Открыть позицию")</x:f>
        <x:v>Открыть позицию</x:v>
      </x:c>
    </x:row>
    <x:row r="199" ht="28" customHeight="1">
      <x:c r="A199" s="16" t="str">
        <x:v>Приморская ГРЭС</x:v>
      </x:c>
      <x:c r="B199" s="16" t="str">
        <x:v>2000545960-U117</x:v>
      </x:c>
      <x:c r="C199" s="16" t="str">
        <x:v>ТРУБА 12Х1МФ 133*17 ТУ14-3Р-55-01</x:v>
      </x:c>
      <x:c r="D199" s="16" t="str">
        <x:v>Трубы котельные высокого давления</x:v>
      </x:c>
      <x:c r="E199" s="16" t="str">
        <x:v>Т</x:v>
      </x:c>
      <x:c r="F199" s="26" t="n">
        <x:v>0.207</x:v>
      </x:c>
      <x:c r="G199" s="17" t="n">
        <x:v>187998.3766</x:v>
      </x:c>
      <x:c r="H199" s="17" t="n">
        <x:f>G199*F199</x:f>
        <x:v>38915.6639562</x:v>
      </x:c>
      <x:c r="I199" s="22" t="str">
        <x:f>HYPERLINK("https://etp-aktiv.ru/catalog/materialy/truby-stalnye-i-polimernye/2000545960-U117/","Открыть позицию")</x:f>
        <x:v>Открыть позицию</x:v>
      </x:c>
    </x:row>
    <x:row r="200" ht="28" customHeight="1">
      <x:c r="A200" s="16" t="str">
        <x:v>Приморская ГРЭС</x:v>
      </x:c>
      <x:c r="B200" s="16" t="str">
        <x:v>2000698857-U117</x:v>
      </x:c>
      <x:c r="C200" s="16" t="str">
        <x:v>ТРУБА 12Х1МФ 159*10 ТУ14-3Р-55-2001</x:v>
      </x:c>
      <x:c r="D200" s="16" t="str">
        <x:v>Трубы котельные высокого давления</x:v>
      </x:c>
      <x:c r="E200" s="16" t="str">
        <x:v>Т</x:v>
      </x:c>
      <x:c r="F200" s="26" t="n">
        <x:v>0.262</x:v>
      </x:c>
      <x:c r="G200" s="17" t="n">
        <x:v>388875</x:v>
      </x:c>
      <x:c r="H200" s="17" t="n">
        <x:f>G200*F200</x:f>
        <x:v>101885.25</x:v>
      </x:c>
      <x:c r="I200" s="22" t="str">
        <x:f>HYPERLINK("https://etp-aktiv.ru/catalog/materialy/truby-stalnye-i-polimernye/2000698857-U117/","Открыть позицию")</x:f>
        <x:v>Открыть позицию</x:v>
      </x:c>
    </x:row>
    <x:row r="201" ht="28" customHeight="1">
      <x:c r="A201" s="16" t="str">
        <x:v>Приморская ГРЭС</x:v>
      </x:c>
      <x:c r="B201" s="16" t="str">
        <x:v>2000546109-U117</x:v>
      </x:c>
      <x:c r="C201" s="16" t="str">
        <x:v>ТРУБА 12Х1МФ 194*16 ТУ14-3Р-55-01</x:v>
      </x:c>
      <x:c r="D201" s="16" t="str">
        <x:v>Трубы котельные высокого давления</x:v>
      </x:c>
      <x:c r="E201" s="16" t="str">
        <x:v>Т</x:v>
      </x:c>
      <x:c r="F201" s="26" t="n">
        <x:v>0.059</x:v>
      </x:c>
      <x:c r="G201" s="17" t="n">
        <x:v>550443.7358</x:v>
      </x:c>
      <x:c r="H201" s="17" t="n">
        <x:f>G201*F201</x:f>
        <x:v>32476.1804122</x:v>
      </x:c>
      <x:c r="I201" s="22" t="str">
        <x:f>HYPERLINK("https://etp-aktiv.ru/catalog/materialy/truby-stalnye-i-polimernye/2000546109-U117/","Открыть позицию")</x:f>
        <x:v>Открыть позицию</x:v>
      </x:c>
    </x:row>
    <x:row r="202" ht="28" customHeight="1">
      <x:c r="A202" s="16" t="str">
        <x:v>Приморская ГРЭС</x:v>
      </x:c>
      <x:c r="B202" s="16" t="str">
        <x:v>2000698852-U117</x:v>
      </x:c>
      <x:c r="C202" s="16" t="str">
        <x:v>ТРУБА 12Х1МФ 219*16 ТУ14-3Р-55-2001</x:v>
      </x:c>
      <x:c r="D202" s="16" t="str">
        <x:v>Трубы котельные высокого давления</x:v>
      </x:c>
      <x:c r="E202" s="16" t="str">
        <x:v>Т</x:v>
      </x:c>
      <x:c r="F202" s="26" t="n">
        <x:v>0.378</x:v>
      </x:c>
      <x:c r="G202" s="17" t="n">
        <x:v>303856.2378</x:v>
      </x:c>
      <x:c r="H202" s="17" t="n">
        <x:f>G202*F202</x:f>
        <x:v>114857.6578884</x:v>
      </x:c>
      <x:c r="I202" s="22" t="str">
        <x:f>HYPERLINK("https://etp-aktiv.ru/catalog/materialy/truby-stalnye-i-polimernye/2000698852-U117/","Открыть позицию")</x:f>
        <x:v>Открыть позицию</x:v>
      </x:c>
    </x:row>
    <x:row r="203" ht="28" customHeight="1">
      <x:c r="A203" s="16" t="str">
        <x:v>Приморская ГРЭС</x:v>
      </x:c>
      <x:c r="B203" s="16" t="str">
        <x:v>2000712881-U117</x:v>
      </x:c>
      <x:c r="C203" s="16" t="str">
        <x:v>ТРУБА 12Х1МФ 32*3,5 ТУ14-3Р-55-2001</x:v>
      </x:c>
      <x:c r="D203" s="16" t="str">
        <x:v>Трубы котельные высокого давления</x:v>
      </x:c>
      <x:c r="E203" s="16" t="str">
        <x:v>Т</x:v>
      </x:c>
      <x:c r="F203" s="26" t="n">
        <x:v>0.063</x:v>
      </x:c>
      <x:c r="G203" s="17" t="n">
        <x:v>757620</x:v>
      </x:c>
      <x:c r="H203" s="17" t="n">
        <x:f>G203*F203</x:f>
        <x:v>47730.06</x:v>
      </x:c>
      <x:c r="I203" s="22" t="str">
        <x:f>HYPERLINK("https://etp-aktiv.ru/catalog/materialy/truby-stalnye-i-polimernye/2000712881-U117/","Открыть позицию")</x:f>
        <x:v>Открыть позицию</x:v>
      </x:c>
    </x:row>
    <x:row r="204" ht="28" customHeight="1">
      <x:c r="A204" s="16" t="str">
        <x:v>Приморская ГРЭС</x:v>
      </x:c>
      <x:c r="B204" s="16" t="str">
        <x:v>2000546072-U117</x:v>
      </x:c>
      <x:c r="C204" s="16" t="str">
        <x:v>ТРУБА 12Х1МФ 325*38 ТУ14-3Р-55-01</x:v>
      </x:c>
      <x:c r="D204" s="16" t="str">
        <x:v>Трубы котельные высокого давления</x:v>
      </x:c>
      <x:c r="E204" s="16" t="str">
        <x:v>Т</x:v>
      </x:c>
      <x:c r="F204" s="30" t="n">
        <x:v>2.688</x:v>
      </x:c>
      <x:c r="G204" s="17" t="n">
        <x:v>245906.23779999997</x:v>
      </x:c>
      <x:c r="H204" s="17" t="n">
        <x:f>G204*F204</x:f>
        <x:v>660995.9672064</x:v>
      </x:c>
      <x:c r="I204" s="22" t="str">
        <x:f>HYPERLINK("https://etp-aktiv.ru/catalog/materialy/truby-stalnye-i-polimernye/2000546072-U117/","Открыть позицию")</x:f>
        <x:v>Открыть позицию</x:v>
      </x:c>
    </x:row>
    <x:row r="205" ht="28" customHeight="1">
      <x:c r="A205" s="16" t="str">
        <x:v>Приморская ГРЭС</x:v>
      </x:c>
      <x:c r="B205" s="16" t="str">
        <x:v>2000546050-U117</x:v>
      </x:c>
      <x:c r="C205" s="16" t="str">
        <x:v>ТРУБА 12Х1МФ 38*6 ТУ14-3Р-55-01</x:v>
      </x:c>
      <x:c r="D205" s="16" t="str">
        <x:v>Трубы котельные высокого давления</x:v>
      </x:c>
      <x:c r="E205" s="16" t="str">
        <x:v>Т</x:v>
      </x:c>
      <x:c r="F205" s="26" t="n">
        <x:v>0.003</x:v>
      </x:c>
      <x:c r="G205" s="17" t="n">
        <x:v>523583.33739999996</x:v>
      </x:c>
      <x:c r="H205" s="17" t="n">
        <x:f>G205*F205</x:f>
        <x:v>1570.7500122</x:v>
      </x:c>
      <x:c r="I205" s="22" t="str">
        <x:f>HYPERLINK("https://etp-aktiv.ru/catalog/materialy/truby-stalnye-i-polimernye/2000546050-U117/","Открыть позицию")</x:f>
        <x:v>Открыть позицию</x:v>
      </x:c>
    </x:row>
    <x:row r="206" ht="28" customHeight="1">
      <x:c r="A206" s="16" t="str">
        <x:v>Приморская ГРЭС</x:v>
      </x:c>
      <x:c r="B206" s="16" t="str">
        <x:v>2000545988-U117</x:v>
      </x:c>
      <x:c r="C206" s="16" t="str">
        <x:v>ТРУБА 12Х1МФ 42*4,5 ТУ14-3Р-55-01</x:v>
      </x:c>
      <x:c r="D206" s="16" t="str">
        <x:v>Трубы котельные высокого давления</x:v>
      </x:c>
      <x:c r="E206" s="16" t="str">
        <x:v>Т</x:v>
      </x:c>
      <x:c r="F206" s="26" t="n">
        <x:v>0.016</x:v>
      </x:c>
      <x:c r="G206" s="17" t="n">
        <x:v>488000</x:v>
      </x:c>
      <x:c r="H206" s="17" t="n">
        <x:f>G206*F206</x:f>
        <x:v>7808</x:v>
      </x:c>
      <x:c r="I206" s="22" t="str">
        <x:f>HYPERLINK("https://etp-aktiv.ru/catalog/materialy/truby-stalnye-i-polimernye/2000545988-U117/","Открыть позицию")</x:f>
        <x:v>Открыть позицию</x:v>
      </x:c>
    </x:row>
    <x:row r="207" ht="28" customHeight="1">
      <x:c r="A207" s="16" t="str">
        <x:v>Приморская ГРЭС</x:v>
      </x:c>
      <x:c r="B207" s="16" t="str">
        <x:v>2000712883-U117</x:v>
      </x:c>
      <x:c r="C207" s="16" t="str">
        <x:v>ТРУБА 12Х1МФ 426*16 ТУ14-3Р-55-2001</x:v>
      </x:c>
      <x:c r="D207" s="16" t="str">
        <x:v>Трубы котельные высокого давления</x:v>
      </x:c>
      <x:c r="E207" s="16" t="str">
        <x:v>Т</x:v>
      </x:c>
      <x:c r="F207" s="30" t="n">
        <x:v>1.094</x:v>
      </x:c>
      <x:c r="G207" s="17" t="n">
        <x:v>211940.9254</x:v>
      </x:c>
      <x:c r="H207" s="17" t="n">
        <x:f>G207*F207</x:f>
        <x:v>231863.37238760001</x:v>
      </x:c>
      <x:c r="I207" s="22" t="str">
        <x:f>HYPERLINK("https://etp-aktiv.ru/catalog/materialy/truby-stalnye-i-polimernye/2000712883-U117/","Открыть позицию")</x:f>
        <x:v>Открыть позицию</x:v>
      </x:c>
    </x:row>
    <x:row r="208" ht="28" customHeight="1">
      <x:c r="A208" s="16" t="str">
        <x:v>Приморская ГРЭС</x:v>
      </x:c>
      <x:c r="B208" s="16" t="str">
        <x:v>2000545992-U117</x:v>
      </x:c>
      <x:c r="C208" s="16" t="str">
        <x:v>ТРУБА 12Х1МФ 426*18 ТУ14-3Р-55-01</x:v>
      </x:c>
      <x:c r="D208" s="16" t="str">
        <x:v>Трубы котельные высокого давления</x:v>
      </x:c>
      <x:c r="E208" s="16" t="str">
        <x:v>Т</x:v>
      </x:c>
      <x:c r="F208" s="30" t="n">
        <x:v>3.634</x:v>
      </x:c>
      <x:c r="G208" s="17" t="n">
        <x:v>443761.51900000003</x:v>
      </x:c>
      <x:c r="H208" s="17" t="n">
        <x:f>G208*F208</x:f>
        <x:v>1612629.360046</x:v>
      </x:c>
      <x:c r="I208" s="22" t="str">
        <x:f>HYPERLINK("https://etp-aktiv.ru/catalog/materialy/truby-stalnye-i-polimernye/2000545992-U117/","Открыть позицию")</x:f>
        <x:v>Открыть позицию</x:v>
      </x:c>
    </x:row>
    <x:row r="209" ht="28" customHeight="1">
      <x:c r="A209" s="16" t="str">
        <x:v>Приморская ГРЭС</x:v>
      </x:c>
      <x:c r="B209" s="16" t="str">
        <x:v>2000545971-U117</x:v>
      </x:c>
      <x:c r="C209" s="16" t="str">
        <x:v>ТРУБА 12Х1МФ 45*3,5 ТУ14-3Р-55-01</x:v>
      </x:c>
      <x:c r="D209" s="16" t="str">
        <x:v>Трубы котельные высокого давления</x:v>
      </x:c>
      <x:c r="E209" s="16" t="str">
        <x:v>Т</x:v>
      </x:c>
      <x:c r="F209" s="26" t="n">
        <x:v>0.715</x:v>
      </x:c>
      <x:c r="G209" s="17" t="n">
        <x:v>332488.125</x:v>
      </x:c>
      <x:c r="H209" s="17" t="n">
        <x:f>G209*F209</x:f>
        <x:v>237729.009375</x:v>
      </x:c>
      <x:c r="I209" s="22" t="str">
        <x:f>HYPERLINK("https://etp-aktiv.ru/catalog/materialy/truby-stalnye-i-polimernye/2000545971-U117/","Открыть позицию")</x:f>
        <x:v>Открыть позицию</x:v>
      </x:c>
    </x:row>
    <x:row r="210" ht="28" customHeight="1">
      <x:c r="A210" s="16" t="str">
        <x:v>Приморская ГРЭС</x:v>
      </x:c>
      <x:c r="B210" s="16" t="str">
        <x:v>2000712884-U117</x:v>
      </x:c>
      <x:c r="C210" s="16" t="str">
        <x:v>ТРУБА 12Х1МФ 465*19 ТУ14-3Р-55-2001</x:v>
      </x:c>
      <x:c r="D210" s="16" t="str">
        <x:v>Трубы котельные высокого давления</x:v>
      </x:c>
      <x:c r="E210" s="16" t="str">
        <x:v>Т</x:v>
      </x:c>
      <x:c r="F210" s="30" t="n">
        <x:v>1.962</x:v>
      </x:c>
      <x:c r="G210" s="17" t="n">
        <x:v>246240.774</x:v>
      </x:c>
      <x:c r="H210" s="17" t="n">
        <x:f>G210*F210</x:f>
        <x:v>483124.398588</x:v>
      </x:c>
      <x:c r="I210" s="22" t="str">
        <x:f>HYPERLINK("https://etp-aktiv.ru/catalog/materialy/truby-stalnye-i-polimernye/2000712884-U117/","Открыть позицию")</x:f>
        <x:v>Открыть позицию</x:v>
      </x:c>
    </x:row>
    <x:row r="211" ht="28" customHeight="1">
      <x:c r="A211" s="16" t="str">
        <x:v>Приморская ГРЭС</x:v>
      </x:c>
      <x:c r="B211" s="16" t="str">
        <x:v>2000545984-U117</x:v>
      </x:c>
      <x:c r="C211" s="16" t="str">
        <x:v>ТРУБА 12Х1МФ 57*4 ТУ14-3Р-55-01</x:v>
      </x:c>
      <x:c r="D211" s="16" t="str">
        <x:v>Трубы котельные высокого давления</x:v>
      </x:c>
      <x:c r="E211" s="16" t="str">
        <x:v>Т</x:v>
      </x:c>
      <x:c r="F211" s="26" t="n">
        <x:v>0.312</x:v>
      </x:c>
      <x:c r="G211" s="17" t="n">
        <x:v>326530.9504</x:v>
      </x:c>
      <x:c r="H211" s="17" t="n">
        <x:f>G211*F211</x:f>
        <x:v>101877.6565248</x:v>
      </x:c>
      <x:c r="I211" s="22" t="str">
        <x:f>HYPERLINK("https://etp-aktiv.ru/catalog/materialy/truby-stalnye-i-polimernye/2000545984-U117/","Открыть позицию")</x:f>
        <x:v>Открыть позицию</x:v>
      </x:c>
    </x:row>
    <x:row r="212" ht="28" customHeight="1">
      <x:c r="A212" s="16" t="str">
        <x:v>Приморская ГРЭС</x:v>
      </x:c>
      <x:c r="B212" s="16" t="str">
        <x:v>2000560281-U117</x:v>
      </x:c>
      <x:c r="C212" s="16" t="str">
        <x:v>ТРУБА 12Х1МФ 57*9 ГОСТ8731-74</x:v>
      </x:c>
      <x:c r="D212" s="16" t="str">
        <x:v>Трубы черные бесшовные</x:v>
      </x:c>
      <x:c r="E212" s="16" t="str">
        <x:v>Т</x:v>
      </x:c>
      <x:c r="F212" s="26" t="n">
        <x:v>0.041</x:v>
      </x:c>
      <x:c r="G212" s="17" t="n">
        <x:v>297832.5</x:v>
      </x:c>
      <x:c r="H212" s="17" t="n">
        <x:f>G212*F212</x:f>
        <x:v>12211.1325</x:v>
      </x:c>
      <x:c r="I212" s="22" t="str">
        <x:f>HYPERLINK("https://etp-aktiv.ru/catalog/materialy/truby-stalnye-i-polimernye/2000560281-U117/","Открыть позицию")</x:f>
        <x:v>Открыть позицию</x:v>
      </x:c>
    </x:row>
    <x:row r="213" ht="28" customHeight="1">
      <x:c r="A213" s="16" t="str">
        <x:v>Приморская ГРЭС</x:v>
      </x:c>
      <x:c r="B213" s="16" t="str">
        <x:v>2000545853-U117</x:v>
      </x:c>
      <x:c r="C213" s="16" t="str">
        <x:v>ТРУБА 12Х1МФ 76*6 ТУ14-3Р-55-01</x:v>
      </x:c>
      <x:c r="D213" s="16" t="str">
        <x:v>Трубы котельные высокого давления</x:v>
      </x:c>
      <x:c r="E213" s="16" t="str">
        <x:v>Т</x:v>
      </x:c>
      <x:c r="F213" s="26" t="n">
        <x:v>0.127</x:v>
      </x:c>
      <x:c r="G213" s="17" t="n">
        <x:v>294515.5884</x:v>
      </x:c>
      <x:c r="H213" s="17" t="n">
        <x:f>G213*F213</x:f>
        <x:v>37403.479726800004</x:v>
      </x:c>
      <x:c r="I213" s="22" t="str">
        <x:f>HYPERLINK("https://etp-aktiv.ru/catalog/materialy/truby-stalnye-i-polimernye/2000545853-U117/","Открыть позицию")</x:f>
        <x:v>Открыть позицию</x:v>
      </x:c>
    </x:row>
    <x:row r="214" ht="28" customHeight="1">
      <x:c r="A214" s="16" t="str">
        <x:v>Приморская ГРЭС</x:v>
      </x:c>
      <x:c r="B214" s="16" t="str">
        <x:v>2000261433-U117</x:v>
      </x:c>
      <x:c r="C214" s="16" t="str">
        <x:v>ТРУБА 15ГС 133*13 ТУ14-3Р-55-01</x:v>
      </x:c>
      <x:c r="D214" s="16" t="str">
        <x:v>Трубы котельные высокого давления</x:v>
      </x:c>
      <x:c r="E214" s="16" t="str">
        <x:v>Т</x:v>
      </x:c>
      <x:c r="F214" s="26" t="n">
        <x:v>0.003</x:v>
      </x:c>
      <x:c r="G214" s="17" t="n">
        <x:v>350597.5</x:v>
      </x:c>
      <x:c r="H214" s="17" t="n">
        <x:f>G214*F214</x:f>
        <x:v>1051.7925</x:v>
      </x:c>
      <x:c r="I214" s="22" t="str">
        <x:f>HYPERLINK("https://etp-aktiv.ru/catalog/materialy/truby-stalnye-i-polimernye/2000261433-U117/","Открыть позицию")</x:f>
        <x:v>Открыть позицию</x:v>
      </x:c>
    </x:row>
    <x:row r="215" ht="28" customHeight="1">
      <x:c r="A215" s="16" t="str">
        <x:v>Приморская ГРЭС</x:v>
      </x:c>
      <x:c r="B215" s="16" t="str">
        <x:v>2000546082-U117</x:v>
      </x:c>
      <x:c r="C215" s="16" t="str">
        <x:v>ТРУБА 15ГС 325*28 ТУ14-3Р-55-01</x:v>
      </x:c>
      <x:c r="D215" s="16" t="str">
        <x:v>Трубы котельные высокого давления</x:v>
      </x:c>
      <x:c r="E215" s="16" t="str">
        <x:v>Т</x:v>
      </x:c>
      <x:c r="F215" s="30" t="n">
        <x:v>1.202</x:v>
      </x:c>
      <x:c r="G215" s="17" t="n">
        <x:v>262948.125</x:v>
      </x:c>
      <x:c r="H215" s="17" t="n">
        <x:f>G215*F215</x:f>
        <x:v>316063.64625</x:v>
      </x:c>
      <x:c r="I215" s="22" t="str">
        <x:f>HYPERLINK("https://etp-aktiv.ru/catalog/materialy/truby-stalnye-i-polimernye/2000546082-U117/","Открыть позицию")</x:f>
        <x:v>Открыть позицию</x:v>
      </x:c>
    </x:row>
    <x:row r="216" ht="28" customHeight="1">
      <x:c r="A216" s="16" t="str">
        <x:v>Приморская ГРЭС</x:v>
      </x:c>
      <x:c r="B216" s="16" t="str">
        <x:v>2000546081-U117</x:v>
      </x:c>
      <x:c r="C216" s="16" t="str">
        <x:v>ТРУБА 15ГС 377*32 ТУ14-3Р-55-01</x:v>
      </x:c>
      <x:c r="D216" s="16" t="str">
        <x:v>Трубы котельные высокого давления</x:v>
      </x:c>
      <x:c r="E216" s="16" t="str">
        <x:v>Т</x:v>
      </x:c>
      <x:c r="F216" s="26" t="n">
        <x:v>0.47</x:v>
      </x:c>
      <x:c r="G216" s="17" t="n">
        <x:v>362404.05</x:v>
      </x:c>
      <x:c r="H216" s="17" t="n">
        <x:f>G216*F216</x:f>
        <x:v>170329.9035</x:v>
      </x:c>
      <x:c r="I216" s="22" t="str">
        <x:f>HYPERLINK("https://etp-aktiv.ru/catalog/materialy/truby-stalnye-i-polimernye/2000546081-U117/","Открыть позицию")</x:f>
        <x:v>Открыть позицию</x:v>
      </x:c>
    </x:row>
    <x:row r="217" ht="28" customHeight="1">
      <x:c r="A217" s="16" t="str">
        <x:v>Приморская ГРЭС</x:v>
      </x:c>
      <x:c r="B217" s="16" t="str">
        <x:v>2001001941-U117</x:v>
      </x:c>
      <x:c r="C217" s="16" t="str">
        <x:v>ТРУБА 15Х1М1Ф 219*25 ТУ14-3Р-55-2001</x:v>
      </x:c>
      <x:c r="D217" s="16" t="str">
        <x:v>Трубы котельные высокого давления</x:v>
      </x:c>
      <x:c r="E217" s="16" t="str">
        <x:v>Т</x:v>
      </x:c>
      <x:c r="F217" s="26" t="n">
        <x:v>0.028</x:v>
      </x:c>
      <x:c r="G217" s="17" t="n">
        <x:v>1525000</x:v>
      </x:c>
      <x:c r="H217" s="17" t="n">
        <x:f>G217*F217</x:f>
        <x:v>42700</x:v>
      </x:c>
      <x:c r="I217" s="22" t="str">
        <x:f>HYPERLINK("https://etp-aktiv.ru/catalog/materialy/truby-stalnye-i-polimernye/2001001941-U117/","Открыть позицию")</x:f>
        <x:v>Открыть позицию</x:v>
      </x:c>
    </x:row>
    <x:row r="218" ht="28" customHeight="1">
      <x:c r="A218" s="16" t="str">
        <x:v>Приморская ГРЭС</x:v>
      </x:c>
      <x:c r="B218" s="16" t="str">
        <x:v>2000546084-U117</x:v>
      </x:c>
      <x:c r="C218" s="16" t="str">
        <x:v>ТРУБА 15Х1М1Ф 273*32 ТУ14-3Р-55-01</x:v>
      </x:c>
      <x:c r="D218" s="16" t="str">
        <x:v>Трубы котельные высокого давления</x:v>
      </x:c>
      <x:c r="E218" s="16" t="str">
        <x:v>Т</x:v>
      </x:c>
      <x:c r="F218" s="26" t="n">
        <x:v>0.8</x:v>
      </x:c>
      <x:c r="G218" s="17" t="n">
        <x:v>397993.52400000003</x:v>
      </x:c>
      <x:c r="H218" s="17" t="n">
        <x:f>G218*F218</x:f>
        <x:v>318394.8192</x:v>
      </x:c>
      <x:c r="I218" s="22" t="str">
        <x:f>HYPERLINK("https://etp-aktiv.ru/catalog/materialy/truby-stalnye-i-polimernye/2000546084-U117/","Открыть позицию")</x:f>
        <x:v>Открыть позицию</x:v>
      </x:c>
    </x:row>
    <x:row r="219" ht="28" customHeight="1">
      <x:c r="A219" s="16" t="str">
        <x:v>Приморская ГРЭС</x:v>
      </x:c>
      <x:c r="B219" s="16" t="str">
        <x:v>2000970386-U117</x:v>
      </x:c>
      <x:c r="C219" s="16" t="str">
        <x:v>ТРУБА 90° 219*25-3178 12Х1МФ БК-1419639</x:v>
      </x:c>
      <x:c r="D219" s="16" t="str">
        <x:v>Трубопроводы и элементы трубопроводов высокого давления</x:v>
      </x:c>
      <x:c r="E219" s="16" t="str">
        <x:v>ШТ</x:v>
      </x:c>
      <x:c r="F219" s="21" t="n">
        <x:v>1</x:v>
      </x:c>
      <x:c r="G219" s="17" t="n">
        <x:v>341555.05519999994</x:v>
      </x:c>
      <x:c r="H219" s="17" t="n">
        <x:f>G219*F219</x:f>
        <x:v>341555.05519999994</x:v>
      </x:c>
      <x:c r="I219" s="22" t="str">
        <x:f>HYPERLINK("https://etp-aktiv.ru/catalog/materialy/truboprovody/2000970386-U117/","Открыть позицию")</x:f>
        <x:v>Открыть позицию</x:v>
      </x:c>
    </x:row>
    <x:row r="220" ht="28" customHeight="1">
      <x:c r="A220" s="16" t="str">
        <x:v>Приморская ГРЭС</x:v>
      </x:c>
      <x:c r="B220" s="16" t="str">
        <x:v>2000449333-U117</x:v>
      </x:c>
      <x:c r="C220" s="16" t="str">
        <x:v>ТРУБА AQUAPIPE ПОЛИПРОПИЛЕНОВАЯ 32*4,4</x:v>
      </x:c>
      <x:c r="D220" s="16" t="str">
        <x:v>Трубы прочие полимерные</x:v>
      </x:c>
      <x:c r="E220" s="16" t="str">
        <x:v>М</x:v>
      </x:c>
      <x:c r="F220" s="21" t="n">
        <x:v>8</x:v>
      </x:c>
      <x:c r="G220" s="17" t="n">
        <x:v>0.9516</x:v>
      </x:c>
      <x:c r="H220" s="17" t="n">
        <x:f>G220*F220</x:f>
        <x:v>7.6128</x:v>
      </x:c>
      <x:c r="I220" s="22" t="str">
        <x:f>HYPERLINK("https://etp-aktiv.ru/catalog/materialy/truby-stalnye-i-polimernye/2000449333-U117/","Открыть позицию")</x:f>
        <x:v>Открыть позицию</x:v>
      </x:c>
    </x:row>
    <x:row r="221" ht="28" customHeight="1">
      <x:c r="A221" s="16" t="str">
        <x:v>Приморская ГРЭС</x:v>
      </x:c>
      <x:c r="B221" s="16" t="str">
        <x:v>2000331930-U117</x:v>
      </x:c>
      <x:c r="C221" s="16" t="str">
        <x:v>ТРУБА PPR-C 40*6,7 ГОСТ52134-2003</x:v>
      </x:c>
      <x:c r="D221" s="16" t="str">
        <x:v>Трубы полимерные армированные</x:v>
      </x:c>
      <x:c r="E221" s="16" t="str">
        <x:v>М</x:v>
      </x:c>
      <x:c r="F221" s="21" t="n">
        <x:v>20</x:v>
      </x:c>
      <x:c r="G221" s="17" t="n">
        <x:v>823.5</x:v>
      </x:c>
      <x:c r="H221" s="17" t="n">
        <x:f>G221*F221</x:f>
        <x:v>16470</x:v>
      </x:c>
      <x:c r="I221" s="22" t="str">
        <x:f>HYPERLINK("https://etp-aktiv.ru/catalog/materialy/truby-stalnye-i-polimernye/2000331930-U117/","Открыть позицию")</x:f>
        <x:v>Открыть позицию</x:v>
      </x:c>
    </x:row>
    <x:row r="222" ht="28" customHeight="1">
      <x:c r="A222" s="16" t="str">
        <x:v>Приморская ГРЭС</x:v>
      </x:c>
      <x:c r="B222" s="16" t="str">
        <x:v>2000331929-U117</x:v>
      </x:c>
      <x:c r="C222" s="16" t="str">
        <x:v>ТРУБА PPR-C 50*8,3 ГОСТ52134-2003</x:v>
      </x:c>
      <x:c r="D222" s="16" t="str">
        <x:v>Трубы полимерные армированные</x:v>
      </x:c>
      <x:c r="E222" s="16" t="str">
        <x:v>М</x:v>
      </x:c>
      <x:c r="F222" s="21" t="n">
        <x:v>2</x:v>
      </x:c>
      <x:c r="G222" s="17" t="n">
        <x:v>390.4</x:v>
      </x:c>
      <x:c r="H222" s="17" t="n">
        <x:f>G222*F222</x:f>
        <x:v>780.8</x:v>
      </x:c>
      <x:c r="I222" s="22" t="str">
        <x:f>HYPERLINK("https://etp-aktiv.ru/catalog/materialy/truby-stalnye-i-polimernye/2000331929-U117/","Открыть позицию")</x:f>
        <x:v>Открыть позицию</x:v>
      </x:c>
    </x:row>
    <x:row r="223" ht="28" customHeight="1">
      <x:c r="A223" s="16" t="str">
        <x:v>Приморская ГРЭС</x:v>
      </x:c>
      <x:c r="B223" s="16" t="str">
        <x:v>2000519804-U117</x:v>
      </x:c>
      <x:c r="C223" s="16" t="str">
        <x:v>ТРУБА PPRC SDR 6 32*5,4 L=4М ГОСТ32415</x:v>
      </x:c>
      <x:c r="D223" s="16" t="str">
        <x:v>Трубы прочие полимерные</x:v>
      </x:c>
      <x:c r="E223" s="16" t="str">
        <x:v>ШТ</x:v>
      </x:c>
      <x:c r="F223" s="21" t="n">
        <x:v>64</x:v>
      </x:c>
      <x:c r="G223" s="17" t="n">
        <x:v>1124.4862</x:v>
      </x:c>
      <x:c r="H223" s="17" t="n">
        <x:f>G223*F223</x:f>
        <x:v>71967.1168</x:v>
      </x:c>
      <x:c r="I223" s="22" t="str">
        <x:f>HYPERLINK("https://etp-aktiv.ru/catalog/materialy/truby-stalnye-i-polimernye/2000519804-U117/","Открыть позицию")</x:f>
        <x:v>Открыть позицию</x:v>
      </x:c>
    </x:row>
    <x:row r="224" ht="28" customHeight="1">
      <x:c r="A224" s="16" t="str">
        <x:v>Приморская ГРЭС</x:v>
      </x:c>
      <x:c r="B224" s="16" t="str">
        <x:v>2000650878-U117</x:v>
      </x:c>
      <x:c r="C224" s="16" t="str">
        <x:v>ТРУБА VALTEC PEX-AL-PEX 16*2 V1620</x:v>
      </x:c>
      <x:c r="D224" s="16" t="str">
        <x:v>Трубы прочие стальные</x:v>
      </x:c>
      <x:c r="E224" s="16" t="str">
        <x:v>М</x:v>
      </x:c>
      <x:c r="F224" s="21" t="n">
        <x:v>50</x:v>
      </x:c>
      <x:c r="G224" s="17" t="n">
        <x:v>172.569</x:v>
      </x:c>
      <x:c r="H224" s="17" t="n">
        <x:f>G224*F224</x:f>
        <x:v>8628.449999999999</x:v>
      </x:c>
      <x:c r="I224" s="22" t="str">
        <x:f>HYPERLINK("https://etp-aktiv.ru/catalog/materialy/truby-stalnye-i-polimernye/2000650878-U117/","Открыть позицию")</x:f>
        <x:v>Открыть позицию</x:v>
      </x:c>
    </x:row>
    <x:row r="225" ht="28" customHeight="1">
      <x:c r="A225" s="16" t="str">
        <x:v>Приморская ГРЭС</x:v>
      </x:c>
      <x:c r="B225" s="16" t="str">
        <x:v>2000560389-U117</x:v>
      </x:c>
      <x:c r="C225" s="16" t="str">
        <x:v>ТРУБА VALTEC V3230 PEX-AL-PEX 32*3</x:v>
      </x:c>
      <x:c r="D225" s="16" t="str">
        <x:v>Трубы прочие полимерные</x:v>
      </x:c>
      <x:c r="E225" s="16" t="str">
        <x:v>М</x:v>
      </x:c>
      <x:c r="F225" s="21" t="n">
        <x:v>450</x:v>
      </x:c>
      <x:c r="G225" s="17" t="n">
        <x:v>655.1034</x:v>
      </x:c>
      <x:c r="H225" s="17" t="n">
        <x:f>G225*F225</x:f>
        <x:v>294796.52999999997</x:v>
      </x:c>
      <x:c r="I225" s="22" t="str">
        <x:f>HYPERLINK("https://etp-aktiv.ru/catalog/materialy/truby-stalnye-i-polimernye/2000560389-U117/","Открыть позицию")</x:f>
        <x:v>Открыть позицию</x:v>
      </x:c>
    </x:row>
    <x:row r="226" ht="28" customHeight="1">
      <x:c r="A226" s="16" t="str">
        <x:v>Приморская ГРЭС</x:v>
      </x:c>
      <x:c r="B226" s="16" t="str">
        <x:v>2000881532-U117</x:v>
      </x:c>
      <x:c r="C226" s="16" t="str">
        <x:v>ТРУБА Б/Ш 09Г2С 89*4 ГОСТ8734-75</x:v>
      </x:c>
      <x:c r="D226" s="16" t="str">
        <x:v>Трубы черные бесшовные</x:v>
      </x:c>
      <x:c r="E226" s="16" t="str">
        <x:v>Т</x:v>
      </x:c>
      <x:c r="F226" s="26" t="n">
        <x:v>0.029</x:v>
      </x:c>
      <x:c r="G226" s="17" t="n">
        <x:v>475800</x:v>
      </x:c>
      <x:c r="H226" s="17" t="n">
        <x:f>G226*F226</x:f>
        <x:v>13798.2</x:v>
      </x:c>
      <x:c r="I226" s="22" t="str">
        <x:f>HYPERLINK("https://etp-aktiv.ru/catalog/materialy/truby-stalnye-i-polimernye/2000881532-U117/","Открыть позицию")</x:f>
        <x:v>Открыть позицию</x:v>
      </x:c>
    </x:row>
    <x:row r="227" ht="28" customHeight="1">
      <x:c r="A227" s="16" t="str">
        <x:v>Приморская ГРЭС</x:v>
      </x:c>
      <x:c r="B227" s="16" t="str">
        <x:v>2000479395-U117</x:v>
      </x:c>
      <x:c r="C227" s="16" t="str">
        <x:v>ТРУБА Б/Ш СТ20 273*7 ГОСТ8732-78</x:v>
      </x:c>
      <x:c r="D227" s="16" t="str">
        <x:v>Трубы черные бесшовные</x:v>
      </x:c>
      <x:c r="E227" s="16" t="str">
        <x:v>Т</x:v>
      </x:c>
      <x:c r="F227" s="26" t="n">
        <x:v>0.355</x:v>
      </x:c>
      <x:c r="G227" s="17" t="n">
        <x:v>136838.5672</x:v>
      </x:c>
      <x:c r="H227" s="17" t="n">
        <x:f>G227*F227</x:f>
        <x:v>48577.691355999996</x:v>
      </x:c>
      <x:c r="I227" s="22" t="str">
        <x:f>HYPERLINK("https://etp-aktiv.ru/catalog/materialy/truby-stalnye-i-polimernye/2000479395-U117/","Открыть позицию")</x:f>
        <x:v>Открыть позицию</x:v>
      </x:c>
    </x:row>
    <x:row r="228" ht="28" customHeight="1">
      <x:c r="A228" s="16" t="str">
        <x:v>Приморская ГРЭС</x:v>
      </x:c>
      <x:c r="B228" s="16" t="str">
        <x:v>2000148484-U117</x:v>
      </x:c>
      <x:c r="C228" s="16" t="str">
        <x:v>ТРУБА Б/Ш СТ20 Г/Д 273*10 ГОСТ8732-78</x:v>
      </x:c>
      <x:c r="D228" s="16" t="str">
        <x:v>Трубы черные бесшовные</x:v>
      </x:c>
      <x:c r="E228" s="16" t="str">
        <x:v>Т</x:v>
      </x:c>
      <x:c r="F228" s="26" t="n">
        <x:v>0.027</x:v>
      </x:c>
      <x:c r="G228" s="17" t="n">
        <x:v>84065.625</x:v>
      </x:c>
      <x:c r="H228" s="17" t="n">
        <x:f>G228*F228</x:f>
        <x:v>2269.771875</x:v>
      </x:c>
      <x:c r="I228" s="22" t="str">
        <x:f>HYPERLINK("https://etp-aktiv.ru/catalog/materialy/truby-stalnye-i-polimernye/2000148484-U117/","Открыть позицию")</x:f>
        <x:v>Открыть позицию</x:v>
      </x:c>
    </x:row>
    <x:row r="229" ht="28" customHeight="1">
      <x:c r="A229" s="16" t="str">
        <x:v>Приморская ГРЭС</x:v>
      </x:c>
      <x:c r="B229" s="16" t="str">
        <x:v>2000246382-U117</x:v>
      </x:c>
      <x:c r="C229" s="16" t="str">
        <x:v>ТРУБА Б/Ш СТ20 Г/Д 273*14 ГОСТ8732-78</x:v>
      </x:c>
      <x:c r="D229" s="16" t="str">
        <x:v>Трубы черные бесшовные</x:v>
      </x:c>
      <x:c r="E229" s="16" t="str">
        <x:v>Т</x:v>
      </x:c>
      <x:c r="F229" s="26" t="n">
        <x:v>0.56</x:v>
      </x:c>
      <x:c r="G229" s="17" t="n">
        <x:v>54336.176999999996</x:v>
      </x:c>
      <x:c r="H229" s="17" t="n">
        <x:f>G229*F229</x:f>
        <x:v>30428.259120000002</x:v>
      </x:c>
      <x:c r="I229" s="22" t="str">
        <x:f>HYPERLINK("https://etp-aktiv.ru/catalog/materialy/truby-stalnye-i-polimernye/2000246382-U117/","Открыть позицию")</x:f>
        <x:v>Открыть позицию</x:v>
      </x:c>
    </x:row>
    <x:row r="230" ht="28" customHeight="1">
      <x:c r="A230" s="16" t="str">
        <x:v>Приморская ГРЭС</x:v>
      </x:c>
      <x:c r="B230" s="16" t="str">
        <x:v>2000145242-U117</x:v>
      </x:c>
      <x:c r="C230" s="16" t="str">
        <x:v>ТРУБА Б/Ш СТ20 Г/Д 325*10 ГОСТ8732-78</x:v>
      </x:c>
      <x:c r="D230" s="16" t="str">
        <x:v>Трубы черные бесшовные</x:v>
      </x:c>
      <x:c r="E230" s="16" t="str">
        <x:v>Т</x:v>
      </x:c>
      <x:c r="F230" s="30" t="n">
        <x:v>1.517</x:v>
      </x:c>
      <x:c r="G230" s="17" t="n">
        <x:v>102034.7244</x:v>
      </x:c>
      <x:c r="H230" s="17" t="n">
        <x:f>G230*F230</x:f>
        <x:v>154786.6769148</x:v>
      </x:c>
      <x:c r="I230" s="22" t="str">
        <x:f>HYPERLINK("https://etp-aktiv.ru/catalog/materialy/truby-stalnye-i-polimernye/2000145242-U117/","Открыть позицию")</x:f>
        <x:v>Открыть позицию</x:v>
      </x:c>
    </x:row>
    <x:row r="231" ht="28" customHeight="1">
      <x:c r="A231" s="16" t="str">
        <x:v>Приморская ГРЭС</x:v>
      </x:c>
      <x:c r="B231" s="16" t="str">
        <x:v>2000726241-U117</x:v>
      </x:c>
      <x:c r="C231" s="16" t="str">
        <x:v>ТРУБА Б/Ш СТ20 Г/Д 325*8 ГОСТ8732-78</x:v>
      </x:c>
      <x:c r="D231" s="16" t="str">
        <x:v>Трубы черные бесшовные</x:v>
      </x:c>
      <x:c r="E231" s="16" t="str">
        <x:v>Т</x:v>
      </x:c>
      <x:c r="F231" s="26" t="n">
        <x:v>0.685</x:v>
      </x:c>
      <x:c r="G231" s="17" t="n">
        <x:v>129930</x:v>
      </x:c>
      <x:c r="H231" s="17" t="n">
        <x:f>G231*F231</x:f>
        <x:v>89002.05</x:v>
      </x:c>
      <x:c r="I231" s="22" t="str">
        <x:f>HYPERLINK("https://etp-aktiv.ru/catalog/materialy/truby-stalnye-i-polimernye/2000726241-U117/","Открыть позицию")</x:f>
        <x:v>Открыть позицию</x:v>
      </x:c>
    </x:row>
    <x:row r="232" ht="28" customHeight="1">
      <x:c r="A232" s="16" t="str">
        <x:v>Приморская ГРЭС</x:v>
      </x:c>
      <x:c r="B232" s="16" t="str">
        <x:v>2000140843-U117</x:v>
      </x:c>
      <x:c r="C232" s="16" t="str">
        <x:v>ТРУБА Б/Ш СТ20 Г/Д 377*10 ГОСТ8732-78</x:v>
      </x:c>
      <x:c r="D232" s="16" t="str">
        <x:v>Трубы черные бесшовные</x:v>
      </x:c>
      <x:c r="E232" s="16" t="str">
        <x:v>Т</x:v>
      </x:c>
      <x:c r="F232" s="26" t="n">
        <x:v>0.826</x:v>
      </x:c>
      <x:c r="G232" s="17" t="n">
        <x:v>48052.7988</x:v>
      </x:c>
      <x:c r="H232" s="17" t="n">
        <x:f>G232*F232</x:f>
        <x:v>39691.61180879999</x:v>
      </x:c>
      <x:c r="I232" s="22" t="str">
        <x:f>HYPERLINK("https://etp-aktiv.ru/catalog/materialy/truby-stalnye-i-polimernye/2000140843-U117/","Открыть позицию")</x:f>
        <x:v>Открыть позицию</x:v>
      </x:c>
    </x:row>
    <x:row r="233" ht="28" customHeight="1">
      <x:c r="A233" s="16" t="str">
        <x:v>Приморская ГРЭС</x:v>
      </x:c>
      <x:c r="B233" s="16" t="str">
        <x:v>2000179903-U117</x:v>
      </x:c>
      <x:c r="C233" s="16" t="str">
        <x:v>ТРУБА Б/Ш СТ20 Г/Д 57*4,5 ГОСТ8732-78</x:v>
      </x:c>
      <x:c r="D233" s="16" t="str">
        <x:v>Трубы черные бесшовные</x:v>
      </x:c>
      <x:c r="E233" s="16" t="str">
        <x:v>Т</x:v>
      </x:c>
      <x:c r="F233" s="26" t="n">
        <x:v>0.007</x:v>
      </x:c>
      <x:c r="G233" s="17" t="n">
        <x:v>265883.31080000004</x:v>
      </x:c>
      <x:c r="H233" s="17" t="n">
        <x:f>G233*F233</x:f>
        <x:v>1861.1831756000004</x:v>
      </x:c>
      <x:c r="I233" s="22" t="str">
        <x:f>HYPERLINK("https://etp-aktiv.ru/catalog/materialy/truby-stalnye-i-polimernye/2000179903-U117/","Открыть позицию")</x:f>
        <x:v>Открыть позицию</x:v>
      </x:c>
    </x:row>
    <x:row r="234" ht="28" customHeight="1">
      <x:c r="A234" s="16" t="str">
        <x:v>Приморская ГРЭС</x:v>
      </x:c>
      <x:c r="B234" s="16" t="str">
        <x:v>2000984583-U117</x:v>
      </x:c>
      <x:c r="C234" s="16" t="str">
        <x:v>ТРУБА Б/Ш СТ20 Г/Д 57*7 ГОСТ8731-74</x:v>
      </x:c>
      <x:c r="D234" s="16" t="str">
        <x:v>@Трубы прочие</x:v>
      </x:c>
      <x:c r="E234" s="16" t="str">
        <x:v>Т</x:v>
      </x:c>
      <x:c r="F234" s="26" t="n">
        <x:v>0.665</x:v>
      </x:c>
      <x:c r="G234" s="17" t="n">
        <x:v>183000</x:v>
      </x:c>
      <x:c r="H234" s="17" t="n">
        <x:f>G234*F234</x:f>
        <x:v>121695</x:v>
      </x:c>
      <x:c r="I234" s="22" t="str">
        <x:f>HYPERLINK("https://etp-aktiv.ru/catalog/materialy/truby-stalnye-i-polimernye/2000984583-U117/","Открыть позицию")</x:f>
        <x:v>Открыть позицию</x:v>
      </x:c>
    </x:row>
    <x:row r="235" ht="28" customHeight="1">
      <x:c r="A235" s="16" t="str">
        <x:v>Приморская ГРЭС</x:v>
      </x:c>
      <x:c r="B235" s="16" t="str">
        <x:v>2000140858-U117</x:v>
      </x:c>
      <x:c r="C235" s="16" t="str">
        <x:v>ТРУБА Б/Ш СТ20 Г/Д 89*4 ГОСТ8732-78</x:v>
      </x:c>
      <x:c r="D235" s="16" t="str">
        <x:v>Трубы черные бесшовные</x:v>
      </x:c>
      <x:c r="E235" s="16" t="str">
        <x:v>Т</x:v>
      </x:c>
      <x:c r="F235" s="26" t="n">
        <x:v>0.015</x:v>
      </x:c>
      <x:c r="G235" s="17" t="n">
        <x:v>219600</x:v>
      </x:c>
      <x:c r="H235" s="17" t="n">
        <x:f>G235*F235</x:f>
        <x:v>3294</x:v>
      </x:c>
      <x:c r="I235" s="22" t="str">
        <x:f>HYPERLINK("https://etp-aktiv.ru/catalog/materialy/truby-stalnye-i-polimernye/2000140858-U117/","Открыть позицию")</x:f>
        <x:v>Открыть позицию</x:v>
      </x:c>
    </x:row>
    <x:row r="236" ht="28" customHeight="1">
      <x:c r="A236" s="16" t="str">
        <x:v>Приморская ГРЭС</x:v>
      </x:c>
      <x:c r="B236" s="16" t="str">
        <x:v>2000699709-U117</x:v>
      </x:c>
      <x:c r="C236" s="16" t="str">
        <x:v>ТРУБА Б/Ш Х/Д СТ20 16*2,5 ГОСТ8734-75</x:v>
      </x:c>
      <x:c r="D236" s="16" t="str">
        <x:v>Трубы черные бесшовные</x:v>
      </x:c>
      <x:c r="E236" s="16" t="str">
        <x:v>Т</x:v>
      </x:c>
      <x:c r="F236" s="26" t="n">
        <x:v>0.019</x:v>
      </x:c>
      <x:c r="G236" s="17" t="n">
        <x:v>411750</x:v>
      </x:c>
      <x:c r="H236" s="17" t="n">
        <x:f>G236*F236</x:f>
        <x:v>7823.25</x:v>
      </x:c>
      <x:c r="I236" s="22" t="str">
        <x:f>HYPERLINK("https://etp-aktiv.ru/catalog/materialy/truby-stalnye-i-polimernye/2000699709-U117/","Открыть позицию")</x:f>
        <x:v>Открыть позицию</x:v>
      </x:c>
    </x:row>
    <x:row r="237" ht="28" customHeight="1">
      <x:c r="A237" s="16" t="str">
        <x:v>Приморская ГРЭС</x:v>
      </x:c>
      <x:c r="B237" s="16" t="str">
        <x:v>2000560321-U117</x:v>
      </x:c>
      <x:c r="C237" s="16" t="str">
        <x:v>ТРУБА ВГП СТ10 32*3,2 ГОСТ3262-75</x:v>
      </x:c>
      <x:c r="D237" s="16" t="str">
        <x:v>Трубы черные сварные малого и среднего диаметра</x:v>
      </x:c>
      <x:c r="E237" s="16" t="str">
        <x:v>Т</x:v>
      </x:c>
      <x:c r="F237" s="26" t="n">
        <x:v>0.116</x:v>
      </x:c>
      <x:c r="G237" s="17" t="n">
        <x:v>54741.6196</x:v>
      </x:c>
      <x:c r="H237" s="17" t="n">
        <x:f>G237*F237</x:f>
        <x:v>6350.0278736</x:v>
      </x:c>
      <x:c r="I237" s="22" t="str">
        <x:f>HYPERLINK("https://etp-aktiv.ru/catalog/materialy/truby-stalnye-i-polimernye/2000560321-U117/","Открыть позицию")</x:f>
        <x:v>Открыть позицию</x:v>
      </x:c>
    </x:row>
    <x:row r="238" ht="28" customHeight="1">
      <x:c r="A238" s="16" t="str">
        <x:v>Приморская ГРЭС</x:v>
      </x:c>
      <x:c r="B238" s="16" t="str">
        <x:v>2000560324-U117</x:v>
      </x:c>
      <x:c r="C238" s="16" t="str">
        <x:v>ТРУБА ВГП СТ20 40*3,5 ГОСТ3262-75</x:v>
      </x:c>
      <x:c r="D238" s="16" t="str">
        <x:v>Трубы черные сварные малого и среднего диаметра</x:v>
      </x:c>
      <x:c r="E238" s="16" t="str">
        <x:v>Т</x:v>
      </x:c>
      <x:c r="F238" s="26" t="n">
        <x:v>0.056</x:v>
      </x:c>
      <x:c r="G238" s="17" t="n">
        <x:v>66642.5</x:v>
      </x:c>
      <x:c r="H238" s="17" t="n">
        <x:f>G238*F238</x:f>
        <x:v>3731.98</x:v>
      </x:c>
      <x:c r="I238" s="22" t="str">
        <x:f>HYPERLINK("https://etp-aktiv.ru/catalog/materialy/truby-stalnye-i-polimernye/2000560324-U117/","Открыть позицию")</x:f>
        <x:v>Открыть позицию</x:v>
      </x:c>
    </x:row>
    <x:row r="239" ht="28" customHeight="1">
      <x:c r="A239" s="16" t="str">
        <x:v>Приморская ГРЭС</x:v>
      </x:c>
      <x:c r="B239" s="16" t="str">
        <x:v>2000699341-U117</x:v>
      </x:c>
      <x:c r="C239" s="16" t="str">
        <x:v>ТРУБА ВГП СТ2ПС 32*3,2 ГОСТ3262-75</x:v>
      </x:c>
      <x:c r="D239" s="16" t="str">
        <x:v>Трубы черные сварные малого и среднего диаметра</x:v>
      </x:c>
      <x:c r="E239" s="16" t="str">
        <x:v>Т</x:v>
      </x:c>
      <x:c r="F239" s="26" t="n">
        <x:v>0.196</x:v>
      </x:c>
      <x:c r="G239" s="17" t="n">
        <x:v>51305.73359999999</x:v>
      </x:c>
      <x:c r="H239" s="17" t="n">
        <x:f>G239*F239</x:f>
        <x:v>10055.923785599998</x:v>
      </x:c>
      <x:c r="I239" s="22" t="str">
        <x:f>HYPERLINK("https://etp-aktiv.ru/catalog/materialy/truby-stalnye-i-polimernye/2000699341-U117/","Открыть позицию")</x:f>
        <x:v>Открыть позицию</x:v>
      </x:c>
    </x:row>
    <x:row r="240" ht="28" customHeight="1">
      <x:c r="A240" s="16" t="str">
        <x:v>Приморская ГРЭС</x:v>
      </x:c>
      <x:c r="B240" s="16" t="str">
        <x:v>2000675679-U117</x:v>
      </x:c>
      <x:c r="C240" s="16" t="str">
        <x:v>ТРУБА ДКРХХ МНЖ5-1 25*1*6700 ГОСТ17217</x:v>
      </x:c>
      <x:c r="D240" s="16" t="str">
        <x:v>Металлопрокат цветной</x:v>
      </x:c>
      <x:c r="E240" s="16" t="str">
        <x:v>КГ</x:v>
      </x:c>
      <x:c r="F240" s="21" t="n">
        <x:v>208</x:v>
      </x:c>
      <x:c r="G240" s="17" t="n">
        <x:v>854</x:v>
      </x:c>
      <x:c r="H240" s="17" t="n">
        <x:f>G240*F240</x:f>
        <x:v>177632</x:v>
      </x:c>
      <x:c r="I240" s="22" t="str">
        <x:f>HYPERLINK("https://etp-aktiv.ru/catalog/materialy/metalloprodukciya/2000675679-U117/","Открыть позицию")</x:f>
        <x:v>Открыть позицию</x:v>
      </x:c>
    </x:row>
    <x:row r="241" ht="28" customHeight="1">
      <x:c r="A241" s="16" t="str">
        <x:v>Приморская ГРЭС</x:v>
      </x:c>
      <x:c r="B241" s="16" t="str">
        <x:v>2000546060-U117</x:v>
      </x:c>
      <x:c r="C241" s="16" t="str">
        <x:v>ТРУБА КВД 12Х18Н12Т 38*5 ТУ14-3Р-55-01</x:v>
      </x:c>
      <x:c r="D241" s="16" t="str">
        <x:v>Трубы котельные высокого давления</x:v>
      </x:c>
      <x:c r="E241" s="16" t="str">
        <x:v>Т</x:v>
      </x:c>
      <x:c r="F241" s="26" t="n">
        <x:v>0.028</x:v>
      </x:c>
      <x:c r="G241" s="17" t="n">
        <x:v>4510918.950999999</x:v>
      </x:c>
      <x:c r="H241" s="17" t="n">
        <x:f>G241*F241</x:f>
        <x:v>126305.73062799999</x:v>
      </x:c>
      <x:c r="I241" s="22" t="str">
        <x:f>HYPERLINK("https://etp-aktiv.ru/catalog/materialy/truby-stalnye-i-polimernye/2000546060-U117/","Открыть позицию")</x:f>
        <x:v>Открыть позицию</x:v>
      </x:c>
    </x:row>
    <x:row r="242" ht="28" customHeight="1">
      <x:c r="A242" s="16" t="str">
        <x:v>Приморская ГРЭС</x:v>
      </x:c>
      <x:c r="B242" s="16" t="str">
        <x:v>2000609975-U117</x:v>
      </x:c>
      <x:c r="C242" s="16" t="str">
        <x:v>ТРУБА КВД 12Х1МФ 159*8 ТУ14-3Р-55-01</x:v>
      </x:c>
      <x:c r="D242" s="16" t="str">
        <x:v>Трубы котельные высокого давления</x:v>
      </x:c>
      <x:c r="E242" s="16" t="str">
        <x:v>Т</x:v>
      </x:c>
      <x:c r="F242" s="26" t="n">
        <x:v>0.206</x:v>
      </x:c>
      <x:c r="G242" s="17" t="n">
        <x:v>175240.17779999998</x:v>
      </x:c>
      <x:c r="H242" s="17" t="n">
        <x:f>G242*F242</x:f>
        <x:v>36099.476626799995</x:v>
      </x:c>
      <x:c r="I242" s="22" t="str">
        <x:f>HYPERLINK("https://etp-aktiv.ru/catalog/materialy/truby-stalnye-i-polimernye/2000609975-U117/","Открыть позицию")</x:f>
        <x:v>Открыть позицию</x:v>
      </x:c>
    </x:row>
    <x:row r="243" ht="28" customHeight="1">
      <x:c r="A243" s="16" t="str">
        <x:v>Приморская ГРЭС</x:v>
      </x:c>
      <x:c r="B243" s="16" t="str">
        <x:v>2000546190-U117</x:v>
      </x:c>
      <x:c r="C243" s="16" t="str">
        <x:v>ТРУБА КВД 12Х1МФ 219*25 ТУ14-3Р-55-01</x:v>
      </x:c>
      <x:c r="D243" s="16" t="str">
        <x:v>Трубы котельные высокого давления</x:v>
      </x:c>
      <x:c r="E243" s="16" t="str">
        <x:v>Т</x:v>
      </x:c>
      <x:c r="F243" s="30" t="n">
        <x:v>2.611</x:v>
      </x:c>
      <x:c r="G243" s="17" t="n">
        <x:v>320250</x:v>
      </x:c>
      <x:c r="H243" s="17" t="n">
        <x:f>G243*F243</x:f>
        <x:v>836172.7500000001</x:v>
      </x:c>
      <x:c r="I243" s="22" t="str">
        <x:f>HYPERLINK("https://etp-aktiv.ru/catalog/materialy/truby-stalnye-i-polimernye/2000546190-U117/","Открыть позицию")</x:f>
        <x:v>Открыть позицию</x:v>
      </x:c>
    </x:row>
    <x:row r="244" ht="28" customHeight="1">
      <x:c r="A244" s="16" t="str">
        <x:v>Приморская ГРЭС</x:v>
      </x:c>
      <x:c r="B244" s="16" t="str">
        <x:v>2000546230-U117</x:v>
      </x:c>
      <x:c r="C244" s="16" t="str">
        <x:v>ТРУБА КВД 12Х1МФ 273*32 ТУ14-3Р-55-01</x:v>
      </x:c>
      <x:c r="D244" s="16" t="str">
        <x:v>Трубы котельные высокого давления</x:v>
      </x:c>
      <x:c r="E244" s="16" t="str">
        <x:v>Т</x:v>
      </x:c>
      <x:c r="F244" s="30" t="n">
        <x:v>1.912</x:v>
      </x:c>
      <x:c r="G244" s="17" t="n">
        <x:v>285937.5</x:v>
      </x:c>
      <x:c r="H244" s="17" t="n">
        <x:f>G244*F244</x:f>
        <x:v>546712.5</x:v>
      </x:c>
      <x:c r="I244" s="22" t="str">
        <x:f>HYPERLINK("https://etp-aktiv.ru/catalog/materialy/truby-stalnye-i-polimernye/2000546230-U117/","Открыть позицию")</x:f>
        <x:v>Открыть позицию</x:v>
      </x:c>
    </x:row>
    <x:row r="245" ht="28" customHeight="1">
      <x:c r="A245" s="16" t="str">
        <x:v>Приморская ГРЭС</x:v>
      </x:c>
      <x:c r="B245" s="16" t="str">
        <x:v>2000546146-U117</x:v>
      </x:c>
      <x:c r="C245" s="16" t="str">
        <x:v>ТРУБА КВД 12Х1МФ 60*6 ТУ14-3Р-55-01</x:v>
      </x:c>
      <x:c r="D245" s="16" t="str">
        <x:v>Трубы котельные высокого давления</x:v>
      </x:c>
      <x:c r="E245" s="16" t="str">
        <x:v>КГ</x:v>
      </x:c>
      <x:c r="F245" s="21" t="n">
        <x:v>40</x:v>
      </x:c>
      <x:c r="G245" s="17" t="n">
        <x:v>411.75</x:v>
      </x:c>
      <x:c r="H245" s="17" t="n">
        <x:f>G245*F245</x:f>
        <x:v>16470</x:v>
      </x:c>
      <x:c r="I245" s="22" t="str">
        <x:f>HYPERLINK("https://etp-aktiv.ru/catalog/materialy/truby-stalnye-i-polimernye/2000546146-U117/","Открыть позицию")</x:f>
        <x:v>Открыть позицию</x:v>
      </x:c>
    </x:row>
    <x:row r="246" ht="28" customHeight="1">
      <x:c r="A246" s="16" t="str">
        <x:v>Приморская ГРЭС</x:v>
      </x:c>
      <x:c r="B246" s="16" t="str">
        <x:v>2000546172-U117</x:v>
      </x:c>
      <x:c r="C246" s="16" t="str">
        <x:v>ТРУБА КВД 15ГС 325*24 ТУ14-3Р-55-01</x:v>
      </x:c>
      <x:c r="D246" s="16" t="str">
        <x:v>Трубы котельные высокого давления</x:v>
      </x:c>
      <x:c r="E246" s="16" t="str">
        <x:v>Т</x:v>
      </x:c>
      <x:c r="F246" s="30" t="n">
        <x:v>1.654</x:v>
      </x:c>
      <x:c r="G246" s="17" t="n">
        <x:v>207765.5486</x:v>
      </x:c>
      <x:c r="H246" s="17" t="n">
        <x:f>G246*F246</x:f>
        <x:v>343644.2173844</x:v>
      </x:c>
      <x:c r="I246" s="22" t="str">
        <x:f>HYPERLINK("https://etp-aktiv.ru/catalog/materialy/truby-stalnye-i-polimernye/2000546172-U117/","Открыть позицию")</x:f>
        <x:v>Открыть позицию</x:v>
      </x:c>
    </x:row>
    <x:row r="247" ht="28" customHeight="1">
      <x:c r="A247" s="16" t="str">
        <x:v>Приморская ГРЭС</x:v>
      </x:c>
      <x:c r="B247" s="16" t="str">
        <x:v>2000972940-U117</x:v>
      </x:c>
      <x:c r="C247" s="16" t="str">
        <x:v>ТРУБА КВД 15ГС 377*28 ТУ14-3Р-55-01</x:v>
      </x:c>
      <x:c r="D247" s="16" t="str">
        <x:v>Трубы котельные высокого давления</x:v>
      </x:c>
      <x:c r="E247" s="16" t="str">
        <x:v>Т</x:v>
      </x:c>
      <x:c r="F247" s="30" t="n">
        <x:v>1.918</x:v>
      </x:c>
      <x:c r="G247" s="17" t="n">
        <x:v>343125</x:v>
      </x:c>
      <x:c r="H247" s="17" t="n">
        <x:f>G247*F247</x:f>
        <x:v>658113.75</x:v>
      </x:c>
      <x:c r="I247" s="22" t="str">
        <x:f>HYPERLINK("https://etp-aktiv.ru/catalog/materialy/truby-stalnye-i-polimernye/2000972940-U117/","Открыть позицию")</x:f>
        <x:v>Открыть позицию</x:v>
      </x:c>
    </x:row>
    <x:row r="248" ht="28" customHeight="1">
      <x:c r="A248" s="16" t="str">
        <x:v>Приморская ГРЭС</x:v>
      </x:c>
      <x:c r="B248" s="16" t="str">
        <x:v>2000546195-U117</x:v>
      </x:c>
      <x:c r="C248" s="16" t="str">
        <x:v>ТРУБА КВД СТ20 219*25 ТУ14-3Р-55-01</x:v>
      </x:c>
      <x:c r="D248" s="16" t="str">
        <x:v>Трубы котельные высокого давления</x:v>
      </x:c>
      <x:c r="E248" s="16" t="str">
        <x:v>Т</x:v>
      </x:c>
      <x:c r="F248" s="30" t="n">
        <x:v>1.706</x:v>
      </x:c>
      <x:c r="G248" s="17" t="n">
        <x:v>144875</x:v>
      </x:c>
      <x:c r="H248" s="17" t="n">
        <x:f>G248*F248</x:f>
        <x:v>247156.75</x:v>
      </x:c>
      <x:c r="I248" s="22" t="str">
        <x:f>HYPERLINK("https://etp-aktiv.ru/catalog/materialy/truby-stalnye-i-polimernye/2000546195-U117/","Открыть позицию")</x:f>
        <x:v>Открыть позицию</x:v>
      </x:c>
    </x:row>
    <x:row r="249" ht="28" customHeight="1">
      <x:c r="A249" s="16" t="str">
        <x:v>Приморская ГРЭС</x:v>
      </x:c>
      <x:c r="B249" s="16" t="str">
        <x:v>2000546142-U117</x:v>
      </x:c>
      <x:c r="C249" s="16" t="str">
        <x:v>ТРУБА КВД СТ20 273*8 ТУ14-3-190-04</x:v>
      </x:c>
      <x:c r="D249" s="16" t="str">
        <x:v>Трубы котельные высокого давления</x:v>
      </x:c>
      <x:c r="E249" s="16" t="str">
        <x:v>КГ</x:v>
      </x:c>
      <x:c r="F249" s="21" t="n">
        <x:v>38</x:v>
      </x:c>
      <x:c r="G249" s="17" t="n">
        <x:v>223.992</x:v>
      </x:c>
      <x:c r="H249" s="17" t="n">
        <x:f>G249*F249</x:f>
        <x:v>8511.696</x:v>
      </x:c>
      <x:c r="I249" s="22" t="str">
        <x:f>HYPERLINK("https://etp-aktiv.ru/catalog/materialy/truby-stalnye-i-polimernye/2000546142-U117/","Открыть позицию")</x:f>
        <x:v>Открыть позицию</x:v>
      </x:c>
    </x:row>
    <x:row r="250" ht="28" customHeight="1">
      <x:c r="A250" s="16" t="str">
        <x:v>Приморская ГРЭС</x:v>
      </x:c>
      <x:c r="B250" s="16" t="str">
        <x:v>2000220191-U117</x:v>
      </x:c>
      <x:c r="C250" s="16" t="str">
        <x:v>ТРУБА ОФЛ СТ20 159*4,5 L5850 ГОСТ10705</x:v>
      </x:c>
      <x:c r="D250" s="16" t="str">
        <x:v>Трубы стальные офланцованные</x:v>
      </x:c>
      <x:c r="E250" s="16" t="str">
        <x:v>ШТ</x:v>
      </x:c>
      <x:c r="F250" s="21" t="n">
        <x:v>4</x:v>
      </x:c>
      <x:c r="G250" s="17" t="n">
        <x:v>15884.4</x:v>
      </x:c>
      <x:c r="H250" s="17" t="n">
        <x:f>G250*F250</x:f>
        <x:v>63537.6</x:v>
      </x:c>
      <x:c r="I250" s="22" t="str">
        <x:f>HYPERLINK("https://etp-aktiv.ru/catalog/materialy/truby-stalnye-i-polimernye/2000220191-U117/","Открыть позицию")</x:f>
        <x:v>Открыть позицию</x:v>
      </x:c>
    </x:row>
    <x:row r="251" ht="28" customHeight="1">
      <x:c r="A251" s="16" t="str">
        <x:v>Приморская ГРЭС</x:v>
      </x:c>
      <x:c r="B251" s="16" t="str">
        <x:v>2000733791-U117</x:v>
      </x:c>
      <x:c r="C251" s="16" t="str">
        <x:v>ТРУБА ПВХ 50*3,7 ГОСТ Р51613-2000</x:v>
      </x:c>
      <x:c r="D251" s="16" t="str">
        <x:v>Трубы прочие полимерные</x:v>
      </x:c>
      <x:c r="E251" s="16" t="str">
        <x:v>М</x:v>
      </x:c>
      <x:c r="F251" s="21" t="n">
        <x:v>633</x:v>
      </x:c>
      <x:c r="G251" s="17" t="n">
        <x:v>176.94879999999998</x:v>
      </x:c>
      <x:c r="H251" s="17" t="n">
        <x:f>G251*F251</x:f>
        <x:v>112008.59039999999</x:v>
      </x:c>
      <x:c r="I251" s="22" t="str">
        <x:f>HYPERLINK("https://etp-aktiv.ru/catalog/materialy/truby-stalnye-i-polimernye/2000733791-U117/","Открыть позицию")</x:f>
        <x:v>Открыть позицию</x:v>
      </x:c>
    </x:row>
    <x:row r="252" ht="28" customHeight="1">
      <x:c r="A252" s="16" t="str">
        <x:v>Приморская ГРЭС</x:v>
      </x:c>
      <x:c r="B252" s="16" t="str">
        <x:v>2000734194-U117</x:v>
      </x:c>
      <x:c r="C252" s="16" t="str">
        <x:v>ТРУБА ПИТЬЕВАЯ AQV307556R 75*5,6</x:v>
      </x:c>
      <x:c r="D252" s="16" t="str">
        <x:v>Трубы прочие стальные</x:v>
      </x:c>
      <x:c r="E252" s="16" t="str">
        <x:v>М</x:v>
      </x:c>
      <x:c r="F252" s="21" t="n">
        <x:v>1623</x:v>
      </x:c>
      <x:c r="G252" s="17" t="n">
        <x:v>170.9342</x:v>
      </x:c>
      <x:c r="H252" s="17" t="n">
        <x:f>G252*F252</x:f>
        <x:v>277426.20660000003</x:v>
      </x:c>
      <x:c r="I252" s="22" t="str">
        <x:f>HYPERLINK("https://etp-aktiv.ru/catalog/materialy/truby-stalnye-i-polimernye/2000734194-U117/","Открыть позицию")</x:f>
        <x:v>Открыть позицию</x:v>
      </x:c>
    </x:row>
    <x:row r="253" ht="28" customHeight="1">
      <x:c r="A253" s="16" t="str">
        <x:v>Приморская ГРЭС</x:v>
      </x:c>
      <x:c r="B253" s="16" t="str">
        <x:v>2000734193-U117</x:v>
      </x:c>
      <x:c r="C253" s="16" t="str">
        <x:v>ТРУБА ПИТЬЕВАЯ AQV311066R 110*6,6</x:v>
      </x:c>
      <x:c r="D253" s="16" t="str">
        <x:v>Трубы прочие стальные</x:v>
      </x:c>
      <x:c r="E253" s="16" t="str">
        <x:v>М</x:v>
      </x:c>
      <x:c r="F253" s="21" t="n">
        <x:v>1446</x:v>
      </x:c>
      <x:c r="G253" s="17" t="n">
        <x:v>549</x:v>
      </x:c>
      <x:c r="H253" s="17" t="n">
        <x:f>G253*F253</x:f>
        <x:v>793854</x:v>
      </x:c>
      <x:c r="I253" s="22" t="str">
        <x:f>HYPERLINK("https://etp-aktiv.ru/catalog/materialy/truby-stalnye-i-polimernye/2000734193-U117/","Открыть позицию")</x:f>
        <x:v>Открыть позицию</x:v>
      </x:c>
    </x:row>
    <x:row r="254" ht="28" customHeight="1">
      <x:c r="A254" s="16" t="str">
        <x:v>Приморская ГРЭС</x:v>
      </x:c>
      <x:c r="B254" s="16" t="str">
        <x:v>2000560430-U117</x:v>
      </x:c>
      <x:c r="C254" s="16" t="str">
        <x:v>ТРУБА ПРЯМОУГ СТ3СП 60*40*4 ГОСТ13663-86</x:v>
      </x:c>
      <x:c r="D254" s="16" t="str">
        <x:v>Трубы профильные</x:v>
      </x:c>
      <x:c r="E254" s="16" t="str">
        <x:v>Т</x:v>
      </x:c>
      <x:c r="F254" s="30" t="n">
        <x:v>3.21</x:v>
      </x:c>
      <x:c r="G254" s="17" t="n">
        <x:v>61762.5</x:v>
      </x:c>
      <x:c r="H254" s="17" t="n">
        <x:f>G254*F254</x:f>
        <x:v>198257.625</x:v>
      </x:c>
      <x:c r="I254" s="22" t="str">
        <x:f>HYPERLINK("https://etp-aktiv.ru/catalog/materialy/truby-stalnye-i-polimernye/2000560430-U117/","Открыть позицию")</x:f>
        <x:v>Открыть позицию</x:v>
      </x:c>
    </x:row>
    <x:row r="255" ht="28" customHeight="1">
      <x:c r="A255" s="16" t="str">
        <x:v>Приморская ГРЭС</x:v>
      </x:c>
      <x:c r="B255" s="16" t="str">
        <x:v>2000312640-U117</x:v>
      </x:c>
      <x:c r="C255" s="16" t="str">
        <x:v>ТРУБА ПЭ100 SDR11 110*10 ГОСТ18599-2001</x:v>
      </x:c>
      <x:c r="D255" s="16" t="str">
        <x:v>Трубы полимерные</x:v>
      </x:c>
      <x:c r="E255" s="16" t="str">
        <x:v>М</x:v>
      </x:c>
      <x:c r="F255" s="30" t="n">
        <x:v>771.1</x:v>
      </x:c>
      <x:c r="G255" s="17" t="n">
        <x:v>312.7104</x:v>
      </x:c>
      <x:c r="H255" s="17" t="n">
        <x:f>G255*F255</x:f>
        <x:v>241130.98944</x:v>
      </x:c>
      <x:c r="I255" s="22" t="str">
        <x:f>HYPERLINK("https://etp-aktiv.ru/catalog/materialy/truby-stalnye-i-polimernye/2000312640-U117/","Открыть позицию")</x:f>
        <x:v>Открыть позицию</x:v>
      </x:c>
    </x:row>
    <x:row r="256" ht="28" customHeight="1">
      <x:c r="A256" s="16" t="str">
        <x:v>Приморская ГРЭС</x:v>
      </x:c>
      <x:c r="B256" s="16" t="str">
        <x:v>2000469846-U117</x:v>
      </x:c>
      <x:c r="C256" s="16" t="str">
        <x:v>ТРУБА ПЭ100 SDR11 160*14,6 ГОСТ18599-01</x:v>
      </x:c>
      <x:c r="D256" s="16" t="str">
        <x:v>Трубы полимерные</x:v>
      </x:c>
      <x:c r="E256" s="16" t="str">
        <x:v>М</x:v>
      </x:c>
      <x:c r="F256" s="30" t="n">
        <x:v>2227.8</x:v>
      </x:c>
      <x:c r="G256" s="17" t="n">
        <x:v>249.0996</x:v>
      </x:c>
      <x:c r="H256" s="17" t="n">
        <x:f>G256*F256</x:f>
        <x:v>554944.08888</x:v>
      </x:c>
      <x:c r="I256" s="22" t="str">
        <x:f>HYPERLINK("https://etp-aktiv.ru/catalog/materialy/truby-stalnye-i-polimernye/2000469846-U117/","Открыть позицию")</x:f>
        <x:v>Открыть позицию</x:v>
      </x:c>
    </x:row>
    <x:row r="257" ht="28" customHeight="1">
      <x:c r="A257" s="16" t="str">
        <x:v>Приморская ГРЭС</x:v>
      </x:c>
      <x:c r="B257" s="16" t="str">
        <x:v>2000326218-U117</x:v>
      </x:c>
      <x:c r="C257" s="16" t="str">
        <x:v>ТРУБА ПЭ100 SDR11 225*20,5 ГОСТ18599-01</x:v>
      </x:c>
      <x:c r="D257" s="16" t="str">
        <x:v>Трубы полимерные</x:v>
      </x:c>
      <x:c r="E257" s="16" t="str">
        <x:v>ПМ</x:v>
      </x:c>
      <x:c r="F257" s="30" t="n">
        <x:v>933.2</x:v>
      </x:c>
      <x:c r="G257" s="17" t="n">
        <x:v>1812.0782</x:v>
      </x:c>
      <x:c r="H257" s="17" t="n">
        <x:f>G257*F257</x:f>
        <x:v>1691031.37624</x:v>
      </x:c>
      <x:c r="I257" s="22" t="str">
        <x:f>HYPERLINK("https://etp-aktiv.ru/catalog/materialy/truby-stalnye-i-polimernye/2000326218-U117/","Открыть позицию")</x:f>
        <x:v>Открыть позицию</x:v>
      </x:c>
    </x:row>
    <x:row r="258" ht="28" customHeight="1">
      <x:c r="A258" s="16" t="str">
        <x:v>Приморская ГРЭС</x:v>
      </x:c>
      <x:c r="B258" s="16" t="str">
        <x:v>2000593529-U117</x:v>
      </x:c>
      <x:c r="C258" s="16" t="str">
        <x:v>ТРУБА ПЭ100 SDR11 63*5,8 ПИТ ГОСТ18599</x:v>
      </x:c>
      <x:c r="D258" s="16" t="str">
        <x:v>Трубы полимерные</x:v>
      </x:c>
      <x:c r="E258" s="16" t="str">
        <x:v>М</x:v>
      </x:c>
      <x:c r="F258" s="21" t="n">
        <x:v>42</x:v>
      </x:c>
      <x:c r="G258" s="17" t="n">
        <x:v>189.5026</x:v>
      </x:c>
      <x:c r="H258" s="17" t="n">
        <x:f>G258*F258</x:f>
        <x:v>7959.1092</x:v>
      </x:c>
      <x:c r="I258" s="22" t="str">
        <x:f>HYPERLINK("https://etp-aktiv.ru/catalog/materialy/truby-stalnye-i-polimernye/2000593529-U117/","Открыть позицию")</x:f>
        <x:v>Открыть позицию</x:v>
      </x:c>
    </x:row>
    <x:row r="259" ht="28" customHeight="1">
      <x:c r="A259" s="16" t="str">
        <x:v>Приморская ГРЭС</x:v>
      </x:c>
      <x:c r="B259" s="16" t="str">
        <x:v>2000469849-U117</x:v>
      </x:c>
      <x:c r="C259" s="16" t="str">
        <x:v>ТРУБА ПЭ100 SDR11 90*8,2 ГОСТ18599-2001</x:v>
      </x:c>
      <x:c r="D259" s="16" t="str">
        <x:v>Трубы полимерные</x:v>
      </x:c>
      <x:c r="E259" s="16" t="str">
        <x:v>М</x:v>
      </x:c>
      <x:c r="F259" s="30" t="n">
        <x:v>27.5</x:v>
      </x:c>
      <x:c r="G259" s="17" t="n">
        <x:v>289.8598</x:v>
      </x:c>
      <x:c r="H259" s="17" t="n">
        <x:f>G259*F259</x:f>
        <x:v>7971.1445</x:v>
      </x:c>
      <x:c r="I259" s="22" t="str">
        <x:f>HYPERLINK("https://etp-aktiv.ru/catalog/materialy/truby-stalnye-i-polimernye/2000469849-U117/","Открыть позицию")</x:f>
        <x:v>Открыть позицию</x:v>
      </x:c>
    </x:row>
    <x:row r="260" ht="28" customHeight="1">
      <x:c r="A260" s="16" t="str">
        <x:v>Приморская ГРЭС</x:v>
      </x:c>
      <x:c r="B260" s="16" t="str">
        <x:v>2000286665-U117</x:v>
      </x:c>
      <x:c r="C260" s="16" t="str">
        <x:v>ТРУБА ПЭ100 SDR17 355*21,1 ГОСТ18599-01</x:v>
      </x:c>
      <x:c r="D260" s="16" t="str">
        <x:v>Трубы полимерные</x:v>
      </x:c>
      <x:c r="E260" s="16" t="str">
        <x:v>М</x:v>
      </x:c>
      <x:c r="F260" s="30" t="n">
        <x:v>11.9</x:v>
      </x:c>
      <x:c r="G260" s="17" t="n">
        <x:v>528.321</x:v>
      </x:c>
      <x:c r="H260" s="17" t="n">
        <x:f>G260*F260</x:f>
        <x:v>6287.0199</x:v>
      </x:c>
      <x:c r="I260" s="22" t="str">
        <x:f>HYPERLINK("https://etp-aktiv.ru/catalog/materialy/truby-stalnye-i-polimernye/2000286665-U117/","Открыть позицию")</x:f>
        <x:v>Открыть позицию</x:v>
      </x:c>
    </x:row>
    <x:row r="261" ht="28" customHeight="1">
      <x:c r="A261" s="16" t="str">
        <x:v>Приморская ГРЭС</x:v>
      </x:c>
      <x:c r="B261" s="16" t="str">
        <x:v>2000305529-U117</x:v>
      </x:c>
      <x:c r="C261" s="16" t="str">
        <x:v>ТРУБА РР 01003 110*3,4 L3000 ГОСТР52134</x:v>
      </x:c>
      <x:c r="D261" s="16" t="str">
        <x:v>Трубы прочие полимерные</x:v>
      </x:c>
      <x:c r="E261" s="16" t="str">
        <x:v>ШТ</x:v>
      </x:c>
      <x:c r="F261" s="21" t="n">
        <x:v>7</x:v>
      </x:c>
      <x:c r="G261" s="17" t="n">
        <x:v>318.42</x:v>
      </x:c>
      <x:c r="H261" s="17" t="n">
        <x:f>G261*F261</x:f>
        <x:v>2228.94</x:v>
      </x:c>
      <x:c r="I261" s="22" t="str">
        <x:f>HYPERLINK("https://etp-aktiv.ru/catalog/materialy/truby-stalnye-i-polimernye/2000305529-U117/","Открыть позицию")</x:f>
        <x:v>Открыть позицию</x:v>
      </x:c>
    </x:row>
    <x:row r="262" ht="28" customHeight="1">
      <x:c r="A262" s="16" t="str">
        <x:v>Приморская ГРЭС</x:v>
      </x:c>
      <x:c r="B262" s="16" t="str">
        <x:v>2000632520-U117</x:v>
      </x:c>
      <x:c r="C262" s="16" t="str">
        <x:v>ТРУБА РР-0450(03.2340.025) СТ20 60*6 ИЗГ</x:v>
      </x:c>
      <x:c r="D262" s="16" t="str">
        <x:v>Изделия, изготавливаемые Сибэр</x:v>
      </x:c>
      <x:c r="E262" s="16" t="str">
        <x:v>ШТ</x:v>
      </x:c>
      <x:c r="F262" s="21" t="n">
        <x:v>20</x:v>
      </x:c>
      <x:c r="G262" s="17" t="n">
        <x:v>2350.208</x:v>
      </x:c>
      <x:c r="H262" s="17" t="n">
        <x:f>G262*F262</x:f>
        <x:v>47004.16</x:v>
      </x:c>
      <x:c r="I262" s="22" t="str">
        <x:f>HYPERLINK("https://etp-aktiv.ru/catalog/materialy/prochie-materialy/2000632520-U117/","Открыть позицию")</x:f>
        <x:v>Открыть позицию</x:v>
      </x:c>
    </x:row>
    <x:row r="263" ht="28" customHeight="1">
      <x:c r="A263" s="16" t="str">
        <x:v>Приморская ГРЭС</x:v>
      </x:c>
      <x:c r="B263" s="16" t="str">
        <x:v>2000140831-U117</x:v>
      </x:c>
      <x:c r="C263" s="16" t="str">
        <x:v>ТРУБА СТ10Г2 18*2 ГОСТ8734-78</x:v>
      </x:c>
      <x:c r="D263" s="16" t="str">
        <x:v>Трубы черные бесшовные</x:v>
      </x:c>
      <x:c r="E263" s="16" t="str">
        <x:v>Т</x:v>
      </x:c>
      <x:c r="F263" s="30" t="n">
        <x:v>2.391</x:v>
      </x:c>
      <x:c r="G263" s="17" t="n">
        <x:v>215596.875</x:v>
      </x:c>
      <x:c r="H263" s="17" t="n">
        <x:f>G263*F263</x:f>
        <x:v>515492.128125</x:v>
      </x:c>
      <x:c r="I263" s="22" t="str">
        <x:f>HYPERLINK("https://etp-aktiv.ru/catalog/materialy/truby-stalnye-i-polimernye/2000140831-U117/","Открыть позицию")</x:f>
        <x:v>Открыть позицию</x:v>
      </x:c>
    </x:row>
    <x:row r="264" ht="28" customHeight="1">
      <x:c r="A264" s="16" t="str">
        <x:v>Приморская ГРЭС</x:v>
      </x:c>
      <x:c r="B264" s="16" t="str">
        <x:v>2000560563-U117</x:v>
      </x:c>
      <x:c r="C264" s="16" t="str">
        <x:v>ТРУБА СТ20 1020*10 ГОСТ10705-80</x:v>
      </x:c>
      <x:c r="D264" s="16" t="str">
        <x:v>Трубы черные сварные большого диаметра</x:v>
      </x:c>
      <x:c r="E264" s="16" t="str">
        <x:v>Т</x:v>
      </x:c>
      <x:c r="F264" s="26" t="n">
        <x:v>0.946</x:v>
      </x:c>
      <x:c r="G264" s="17" t="n">
        <x:v>9760</x:v>
      </x:c>
      <x:c r="H264" s="17" t="n">
        <x:f>G264*F264</x:f>
        <x:v>9232.96</x:v>
      </x:c>
      <x:c r="I264" s="22" t="str">
        <x:f>HYPERLINK("https://etp-aktiv.ru/catalog/materialy/truby-stalnye-i-polimernye/2000560563-U117/","Открыть позицию")</x:f>
        <x:v>Открыть позицию</x:v>
      </x:c>
    </x:row>
    <x:row r="265" ht="28" customHeight="1">
      <x:c r="A265" s="16" t="str">
        <x:v>Приморская ГРЭС</x:v>
      </x:c>
      <x:c r="B265" s="16" t="str">
        <x:v>2000560469-U117</x:v>
      </x:c>
      <x:c r="C265" s="16" t="str">
        <x:v>ТРУБА СТ20 133*4 ГОСТ10705-80</x:v>
      </x:c>
      <x:c r="D265" s="16" t="str">
        <x:v>Трубы черные сварные малого и среднего диаметра</x:v>
      </x:c>
      <x:c r="E265" s="16" t="str">
        <x:v>Т</x:v>
      </x:c>
      <x:c r="F265" s="26" t="n">
        <x:v>0.441</x:v>
      </x:c>
      <x:c r="G265" s="17" t="n">
        <x:v>119952.6448</x:v>
      </x:c>
      <x:c r="H265" s="17" t="n">
        <x:f>G265*F265</x:f>
        <x:v>52899.1163568</x:v>
      </x:c>
      <x:c r="I265" s="22" t="str">
        <x:f>HYPERLINK("https://etp-aktiv.ru/catalog/materialy/truby-stalnye-i-polimernye/2000560469-U117/","Открыть позицию")</x:f>
        <x:v>Открыть позицию</x:v>
      </x:c>
    </x:row>
    <x:row r="266" ht="28" customHeight="1">
      <x:c r="A266" s="16" t="str">
        <x:v>Приморская ГРЭС</x:v>
      </x:c>
      <x:c r="B266" s="16" t="str">
        <x:v>2000647704-U117</x:v>
      </x:c>
      <x:c r="C266" s="16" t="str">
        <x:v>ТРУБА СТ20 16*2,5 ТУ14-3-190-2004</x:v>
      </x:c>
      <x:c r="D266" s="16" t="str">
        <x:v>@Трубы прочие</x:v>
      </x:c>
      <x:c r="E266" s="16" t="str">
        <x:v>Т</x:v>
      </x:c>
      <x:c r="F266" s="26" t="n">
        <x:v>0.003</x:v>
      </x:c>
      <x:c r="G266" s="17" t="n">
        <x:v>732000</x:v>
      </x:c>
      <x:c r="H266" s="17" t="n">
        <x:f>G266*F266</x:f>
        <x:v>2196</x:v>
      </x:c>
      <x:c r="I266" s="22" t="str">
        <x:f>HYPERLINK("https://etp-aktiv.ru/catalog/materialy/truby-stalnye-i-polimernye/2000647704-U117/","Открыть позицию")</x:f>
        <x:v>Открыть позицию</x:v>
      </x:c>
    </x:row>
    <x:row r="267" ht="28" customHeight="1">
      <x:c r="A267" s="16" t="str">
        <x:v>Приморская ГРЭС</x:v>
      </x:c>
      <x:c r="B267" s="16" t="str">
        <x:v>2000698182-U117</x:v>
      </x:c>
      <x:c r="C267" s="16" t="str">
        <x:v>ТРУБА СТ20 168*15 ТУ14-3Р-55-01</x:v>
      </x:c>
      <x:c r="D267" s="16" t="str">
        <x:v>Трубы котельные высокого давления</x:v>
      </x:c>
      <x:c r="E267" s="16" t="str">
        <x:v>Т</x:v>
      </x:c>
      <x:c r="F267" s="26" t="n">
        <x:v>0.323</x:v>
      </x:c>
      <x:c r="G267" s="17" t="n">
        <x:v>317103.4614</x:v>
      </x:c>
      <x:c r="H267" s="17" t="n">
        <x:f>G267*F267</x:f>
        <x:v>102424.41803219999</x:v>
      </x:c>
      <x:c r="I267" s="22" t="str">
        <x:f>HYPERLINK("https://etp-aktiv.ru/catalog/materialy/truby-stalnye-i-polimernye/2000698182-U117/","Открыть позицию")</x:f>
        <x:v>Открыть позицию</x:v>
      </x:c>
    </x:row>
    <x:row r="268" ht="28" customHeight="1">
      <x:c r="A268" s="16" t="str">
        <x:v>Приморская ГРЭС</x:v>
      </x:c>
      <x:c r="B268" s="16" t="str">
        <x:v>2000712890-U117</x:v>
      </x:c>
      <x:c r="C268" s="16" t="str">
        <x:v>ТРУБА СТ20 20*2,5 ГОСТ8734-75</x:v>
      </x:c>
      <x:c r="D268" s="16" t="str">
        <x:v>Трубы черные бесшовные</x:v>
      </x:c>
      <x:c r="E268" s="16" t="str">
        <x:v>Т</x:v>
      </x:c>
      <x:c r="F268" s="26" t="n">
        <x:v>0.004</x:v>
      </x:c>
      <x:c r="G268" s="17" t="n">
        <x:v>204910.8218</x:v>
      </x:c>
      <x:c r="H268" s="17" t="n">
        <x:f>G268*F268</x:f>
        <x:v>819.6432872</x:v>
      </x:c>
      <x:c r="I268" s="22" t="str">
        <x:f>HYPERLINK("https://etp-aktiv.ru/catalog/materialy/truby-stalnye-i-polimernye/2000712890-U117/","Открыть позицию")</x:f>
        <x:v>Открыть позицию</x:v>
      </x:c>
    </x:row>
    <x:row r="269" ht="28" customHeight="1">
      <x:c r="A269" s="16" t="str">
        <x:v>Приморская ГРЭС</x:v>
      </x:c>
      <x:c r="B269" s="16" t="str">
        <x:v>2000560174-U117</x:v>
      </x:c>
      <x:c r="C269" s="16" t="str">
        <x:v>ТРУБА СТ20 219*16 ГОСТ8731-74</x:v>
      </x:c>
      <x:c r="D269" s="16" t="str">
        <x:v>Трубы черные бесшовные</x:v>
      </x:c>
      <x:c r="E269" s="16" t="str">
        <x:v>Т</x:v>
      </x:c>
      <x:c r="F269" s="26" t="n">
        <x:v>0.513</x:v>
      </x:c>
      <x:c r="G269" s="17" t="n">
        <x:v>97600</x:v>
      </x:c>
      <x:c r="H269" s="17" t="n">
        <x:f>G269*F269</x:f>
        <x:v>50068.8</x:v>
      </x:c>
      <x:c r="I269" s="22" t="str">
        <x:f>HYPERLINK("https://etp-aktiv.ru/catalog/materialy/truby-stalnye-i-polimernye/2000560174-U117/","Открыть позицию")</x:f>
        <x:v>Открыть позицию</x:v>
      </x:c>
    </x:row>
    <x:row r="270" ht="28" customHeight="1">
      <x:c r="A270" s="16" t="str">
        <x:v>Приморская ГРЭС</x:v>
      </x:c>
      <x:c r="B270" s="16" t="str">
        <x:v>2000250833-U117</x:v>
      </x:c>
      <x:c r="C270" s="16" t="str">
        <x:v>ТРУБА СТ20 22*3,5 ГОСТ8734-78</x:v>
      </x:c>
      <x:c r="D270" s="16" t="str">
        <x:v>Трубы черные бесшовные</x:v>
      </x:c>
      <x:c r="E270" s="16" t="str">
        <x:v>Т</x:v>
      </x:c>
      <x:c r="F270" s="26" t="n">
        <x:v>0.102</x:v>
      </x:c>
      <x:c r="G270" s="17" t="n">
        <x:v>266875</x:v>
      </x:c>
      <x:c r="H270" s="17" t="n">
        <x:f>G270*F270</x:f>
        <x:v>27221.25</x:v>
      </x:c>
      <x:c r="I270" s="22" t="str">
        <x:f>HYPERLINK("https://etp-aktiv.ru/catalog/materialy/truby-stalnye-i-polimernye/2000250833-U117/","Открыть позицию")</x:f>
        <x:v>Открыть позицию</x:v>
      </x:c>
    </x:row>
    <x:row r="271" ht="28" customHeight="1">
      <x:c r="A271" s="16" t="str">
        <x:v>Приморская ГРЭС</x:v>
      </x:c>
      <x:c r="B271" s="16" t="str">
        <x:v>2000545957-U117</x:v>
      </x:c>
      <x:c r="C271" s="16" t="str">
        <x:v>ТРУБА СТ20 273*10 ТУ14-3-190-04</x:v>
      </x:c>
      <x:c r="D271" s="16" t="str">
        <x:v>Трубы котельные высокого давления</x:v>
      </x:c>
      <x:c r="E271" s="16" t="str">
        <x:v>Т</x:v>
      </x:c>
      <x:c r="F271" s="26" t="n">
        <x:v>0.704</x:v>
      </x:c>
      <x:c r="G271" s="17" t="n">
        <x:v>121999.9878</x:v>
      </x:c>
      <x:c r="H271" s="17" t="n">
        <x:f>G271*F271</x:f>
        <x:v>85887.9914112</x:v>
      </x:c>
      <x:c r="I271" s="22" t="str">
        <x:f>HYPERLINK("https://etp-aktiv.ru/catalog/materialy/truby-stalnye-i-polimernye/2000545957-U117/","Открыть позицию")</x:f>
        <x:v>Открыть позицию</x:v>
      </x:c>
    </x:row>
    <x:row r="272" ht="28" customHeight="1">
      <x:c r="A272" s="16" t="str">
        <x:v>Приморская ГРЭС</x:v>
      </x:c>
      <x:c r="B272" s="16" t="str">
        <x:v>2000560505-U117</x:v>
      </x:c>
      <x:c r="C272" s="16" t="str">
        <x:v>ТРУБА СТ20 273*8 ГОСТ10705-80</x:v>
      </x:c>
      <x:c r="D272" s="16" t="str">
        <x:v>Трубы черные сварные малого и среднего диаметра</x:v>
      </x:c>
      <x:c r="E272" s="16" t="str">
        <x:v>Т</x:v>
      </x:c>
      <x:c r="F272" s="26" t="n">
        <x:v>0.367</x:v>
      </x:c>
      <x:c r="G272" s="17" t="n">
        <x:v>108594.3594</x:v>
      </x:c>
      <x:c r="H272" s="17" t="n">
        <x:f>G272*F272</x:f>
        <x:v>39854.1298998</x:v>
      </x:c>
      <x:c r="I272" s="22" t="str">
        <x:f>HYPERLINK("https://etp-aktiv.ru/catalog/materialy/truby-stalnye-i-polimernye/2000560505-U117/","Открыть позицию")</x:f>
        <x:v>Открыть позицию</x:v>
      </x:c>
    </x:row>
    <x:row r="273" ht="28" customHeight="1">
      <x:c r="A273" s="16" t="str">
        <x:v>Приморская ГРЭС</x:v>
      </x:c>
      <x:c r="B273" s="16" t="str">
        <x:v>2000546111-U117</x:v>
      </x:c>
      <x:c r="C273" s="16" t="str">
        <x:v>ТРУБА СТ20 273*8 ТУ14-3-190-04</x:v>
      </x:c>
      <x:c r="D273" s="16" t="str">
        <x:v>Трубы котельные высокого давления</x:v>
      </x:c>
      <x:c r="E273" s="16" t="str">
        <x:v>Т</x:v>
      </x:c>
      <x:c r="F273" s="26" t="n">
        <x:v>0.209</x:v>
      </x:c>
      <x:c r="G273" s="17" t="n">
        <x:v>287806.86939999997</x:v>
      </x:c>
      <x:c r="H273" s="17" t="n">
        <x:f>G273*F273</x:f>
        <x:v>60151.63570459999</x:v>
      </x:c>
      <x:c r="I273" s="22" t="str">
        <x:f>HYPERLINK("https://etp-aktiv.ru/catalog/materialy/truby-stalnye-i-polimernye/2000546111-U117/","Открыть позицию")</x:f>
        <x:v>Открыть позицию</x:v>
      </x:c>
    </x:row>
    <x:row r="274" ht="28" customHeight="1">
      <x:c r="A274" s="16" t="str">
        <x:v>Приморская ГРЭС</x:v>
      </x:c>
      <x:c r="B274" s="16" t="str">
        <x:v>2000560203-U117</x:v>
      </x:c>
      <x:c r="C274" s="16" t="str">
        <x:v>ТРУБА СТ20 28*4 ГОСТ8731-74</x:v>
      </x:c>
      <x:c r="D274" s="16" t="str">
        <x:v>Трубы черные бесшовные</x:v>
      </x:c>
      <x:c r="E274" s="16" t="str">
        <x:v>Т</x:v>
      </x:c>
      <x:c r="F274" s="30" t="n">
        <x:v>5.713</x:v>
      </x:c>
      <x:c r="G274" s="17" t="n">
        <x:v>142234.066</x:v>
      </x:c>
      <x:c r="H274" s="17" t="n">
        <x:f>G274*F274</x:f>
        <x:v>812583.219058</x:v>
      </x:c>
      <x:c r="I274" s="22" t="str">
        <x:f>HYPERLINK("https://etp-aktiv.ru/catalog/materialy/truby-stalnye-i-polimernye/2000560203-U117/","Открыть позицию")</x:f>
        <x:v>Открыть позицию</x:v>
      </x:c>
    </x:row>
    <x:row r="275" ht="28" customHeight="1">
      <x:c r="A275" s="16" t="str">
        <x:v>Приморская ГРЭС</x:v>
      </x:c>
      <x:c r="B275" s="16" t="str">
        <x:v>2000546038-U117</x:v>
      </x:c>
      <x:c r="C275" s="16" t="str">
        <x:v>ТРУБА СТ20 28*4 ТУ14-3Р-55-01</x:v>
      </x:c>
      <x:c r="D275" s="16" t="str">
        <x:v>Трубы котельные высокого давления</x:v>
      </x:c>
      <x:c r="E275" s="16" t="str">
        <x:v>Т</x:v>
      </x:c>
      <x:c r="F275" s="26" t="n">
        <x:v>0.013</x:v>
      </x:c>
      <x:c r="G275" s="17" t="n">
        <x:v>553446.4364</x:v>
      </x:c>
      <x:c r="H275" s="17" t="n">
        <x:f>G275*F275</x:f>
        <x:v>7194.8036732</x:v>
      </x:c>
      <x:c r="I275" s="22" t="str">
        <x:f>HYPERLINK("https://etp-aktiv.ru/catalog/materialy/truby-stalnye-i-polimernye/2000546038-U117/","Открыть позицию")</x:f>
        <x:v>Открыть позицию</x:v>
      </x:c>
    </x:row>
    <x:row r="276" ht="28" customHeight="1">
      <x:c r="A276" s="16" t="str">
        <x:v>Приморская ГРЭС</x:v>
      </x:c>
      <x:c r="B276" s="16" t="str">
        <x:v>2000148227-U117</x:v>
      </x:c>
      <x:c r="C276" s="16" t="str">
        <x:v>ТРУБА СТ20 32*3,2 ГОСТ3262-75</x:v>
      </x:c>
      <x:c r="D276" s="16" t="str">
        <x:v>Трубы черные сварные малого и среднего диаметра</x:v>
      </x:c>
      <x:c r="E276" s="16" t="str">
        <x:v>Т</x:v>
      </x:c>
      <x:c r="F276" s="30" t="n">
        <x:v>9.813</x:v>
      </x:c>
      <x:c r="G276" s="17" t="n">
        <x:v>70150</x:v>
      </x:c>
      <x:c r="H276" s="17" t="n">
        <x:f>G276*F276</x:f>
        <x:v>688381.9500000001</x:v>
      </x:c>
      <x:c r="I276" s="22" t="str">
        <x:f>HYPERLINK("https://etp-aktiv.ru/catalog/materialy/truby-stalnye-i-polimernye/2000148227-U117/","Открыть позицию")</x:f>
        <x:v>Открыть позицию</x:v>
      </x:c>
    </x:row>
    <x:row r="277" ht="28" customHeight="1">
      <x:c r="A277" s="16" t="str">
        <x:v>Приморская ГРЭС</x:v>
      </x:c>
      <x:c r="B277" s="16" t="str">
        <x:v>2000560215-U117</x:v>
      </x:c>
      <x:c r="C277" s="16" t="str">
        <x:v>ТРУБА СТ20 32*3,5 ГОСТ8731-74</x:v>
      </x:c>
      <x:c r="D277" s="16" t="str">
        <x:v>Трубы черные бесшовные</x:v>
      </x:c>
      <x:c r="E277" s="16" t="str">
        <x:v>Т</x:v>
      </x:c>
      <x:c r="F277" s="26" t="n">
        <x:v>0.031</x:v>
      </x:c>
      <x:c r="G277" s="17" t="n">
        <x:v>240289.065</x:v>
      </x:c>
      <x:c r="H277" s="17" t="n">
        <x:f>G277*F277</x:f>
        <x:v>7448.961015</x:v>
      </x:c>
      <x:c r="I277" s="22" t="str">
        <x:f>HYPERLINK("https://etp-aktiv.ru/catalog/materialy/truby-stalnye-i-polimernye/2000560215-U117/","Открыть позицию")</x:f>
        <x:v>Открыть позицию</x:v>
      </x:c>
    </x:row>
    <x:row r="278" ht="28" customHeight="1">
      <x:c r="A278" s="16" t="str">
        <x:v>Приморская ГРЭС</x:v>
      </x:c>
      <x:c r="B278" s="16" t="str">
        <x:v>2000560216-U117</x:v>
      </x:c>
      <x:c r="C278" s="16" t="str">
        <x:v>ТРУБА СТ20 32*3,5 ГОСТ8733-74</x:v>
      </x:c>
      <x:c r="D278" s="16" t="str">
        <x:v>Трубы черные бесшовные</x:v>
      </x:c>
      <x:c r="E278" s="16" t="str">
        <x:v>Т</x:v>
      </x:c>
      <x:c r="F278" s="26" t="n">
        <x:v>0.035</x:v>
      </x:c>
      <x:c r="G278" s="17" t="n">
        <x:v>274500</x:v>
      </x:c>
      <x:c r="H278" s="17" t="n">
        <x:f>G278*F278</x:f>
        <x:v>9607.500000000002</x:v>
      </x:c>
      <x:c r="I278" s="22" t="str">
        <x:f>HYPERLINK("https://etp-aktiv.ru/catalog/materialy/truby-stalnye-i-polimernye/2000560216-U117/","Открыть позицию")</x:f>
        <x:v>Открыть позицию</x:v>
      </x:c>
    </x:row>
    <x:row r="279" ht="28" customHeight="1">
      <x:c r="A279" s="16" t="str">
        <x:v>Приморская ГРЭС</x:v>
      </x:c>
      <x:c r="B279" s="16" t="str">
        <x:v>2000546015-U117</x:v>
      </x:c>
      <x:c r="C279" s="16" t="str">
        <x:v>ТРУБА СТ20 32*3,5 ТУ14-3Р-55-01</x:v>
      </x:c>
      <x:c r="D279" s="16" t="str">
        <x:v>Трубы котельные высокого давления</x:v>
      </x:c>
      <x:c r="E279" s="16" t="str">
        <x:v>Т</x:v>
      </x:c>
      <x:c r="F279" s="26" t="n">
        <x:v>0.005</x:v>
      </x:c>
      <x:c r="G279" s="17" t="n">
        <x:v>568215</x:v>
      </x:c>
      <x:c r="H279" s="17" t="n">
        <x:f>G279*F279</x:f>
        <x:v>2841.0750000000003</x:v>
      </x:c>
      <x:c r="I279" s="22" t="str">
        <x:f>HYPERLINK("https://etp-aktiv.ru/catalog/materialy/truby-stalnye-i-polimernye/2000546015-U117/","Открыть позицию")</x:f>
        <x:v>Открыть позицию</x:v>
      </x:c>
    </x:row>
    <x:row r="280" ht="28" customHeight="1">
      <x:c r="A280" s="16" t="str">
        <x:v>Приморская ГРЭС</x:v>
      </x:c>
      <x:c r="B280" s="16" t="str">
        <x:v>2000698082-U117</x:v>
      </x:c>
      <x:c r="C280" s="16" t="str">
        <x:v>ТРУБА СТ20 325*7 ТУ14-3-1128-2000</x:v>
      </x:c>
      <x:c r="D280" s="16" t="str">
        <x:v>Трубы черные бесшовные</x:v>
      </x:c>
      <x:c r="E280" s="16" t="str">
        <x:v>Т</x:v>
      </x:c>
      <x:c r="F280" s="30" t="n">
        <x:v>2.718</x:v>
      </x:c>
      <x:c r="G280" s="17" t="n">
        <x:v>96075</x:v>
      </x:c>
      <x:c r="H280" s="17" t="n">
        <x:f>G280*F280</x:f>
        <x:v>261131.85</x:v>
      </x:c>
      <x:c r="I280" s="22" t="str">
        <x:f>HYPERLINK("https://etp-aktiv.ru/catalog/materialy/truby-stalnye-i-polimernye/2000698082-U117/","Открыть позицию")</x:f>
        <x:v>Открыть позицию</x:v>
      </x:c>
    </x:row>
    <x:row r="281" ht="28" customHeight="1">
      <x:c r="A281" s="16" t="str">
        <x:v>Приморская ГРЭС</x:v>
      </x:c>
      <x:c r="B281" s="16" t="str">
        <x:v>2000647730-U117</x:v>
      </x:c>
      <x:c r="C281" s="16" t="str">
        <x:v>ТРУБА СТ20 325*8 ГОСТ8733-74</x:v>
      </x:c>
      <x:c r="D281" s="16" t="str">
        <x:v>@Трубы прочие</x:v>
      </x:c>
      <x:c r="E281" s="16" t="str">
        <x:v>Т</x:v>
      </x:c>
      <x:c r="F281" s="26" t="n">
        <x:v>0.588</x:v>
      </x:c>
      <x:c r="G281" s="17" t="n">
        <x:v>94066.0382</x:v>
      </x:c>
      <x:c r="H281" s="17" t="n">
        <x:f>G281*F281</x:f>
        <x:v>55310.830461599995</x:v>
      </x:c>
      <x:c r="I281" s="22" t="str">
        <x:f>HYPERLINK("https://etp-aktiv.ru/catalog/materialy/truby-stalnye-i-polimernye/2000647730-U117/","Открыть позицию")</x:f>
        <x:v>Открыть позицию</x:v>
      </x:c>
    </x:row>
    <x:row r="282" ht="28" customHeight="1">
      <x:c r="A282" s="16" t="str">
        <x:v>Приморская ГРЭС</x:v>
      </x:c>
      <x:c r="B282" s="16" t="str">
        <x:v>2000560230-U117</x:v>
      </x:c>
      <x:c r="C282" s="16" t="str">
        <x:v>ТРУБА СТ20 325*9 ГОСТ8731-74</x:v>
      </x:c>
      <x:c r="D282" s="16" t="str">
        <x:v>Трубы черные бесшовные</x:v>
      </x:c>
      <x:c r="E282" s="16" t="str">
        <x:v>Т</x:v>
      </x:c>
      <x:c r="F282" s="30" t="n">
        <x:v>14.09</x:v>
      </x:c>
      <x:c r="G282" s="17" t="n">
        <x:v>84180</x:v>
      </x:c>
      <x:c r="H282" s="17" t="n">
        <x:f>G282*F282</x:f>
        <x:v>1186096.2</x:v>
      </x:c>
      <x:c r="I282" s="22" t="str">
        <x:f>HYPERLINK("https://etp-aktiv.ru/catalog/materialy/truby-stalnye-i-polimernye/2000560230-U117/","Открыть позицию")</x:f>
        <x:v>Открыть позицию</x:v>
      </x:c>
    </x:row>
    <x:row r="283" ht="28" customHeight="1">
      <x:c r="A283" s="16" t="str">
        <x:v>Приморская ГРЭС</x:v>
      </x:c>
      <x:c r="B283" s="16" t="str">
        <x:v>2000560233-U117</x:v>
      </x:c>
      <x:c r="C283" s="16" t="str">
        <x:v>ТРУБА СТ20 34*4 ГОСТ8731-74</x:v>
      </x:c>
      <x:c r="D283" s="16" t="str">
        <x:v>@Трубы прочие</x:v>
      </x:c>
      <x:c r="E283" s="16" t="str">
        <x:v>Т</x:v>
      </x:c>
      <x:c r="F283" s="26" t="n">
        <x:v>0.022</x:v>
      </x:c>
      <x:c r="G283" s="17" t="n">
        <x:v>148645.5686</x:v>
      </x:c>
      <x:c r="H283" s="17" t="n">
        <x:f>G283*F283</x:f>
        <x:v>3270.2025092</x:v>
      </x:c>
      <x:c r="I283" s="22" t="str">
        <x:f>HYPERLINK("https://etp-aktiv.ru/catalog/materialy/truby-stalnye-i-polimernye/2000560233-U117/","Открыть позицию")</x:f>
        <x:v>Открыть позицию</x:v>
      </x:c>
    </x:row>
    <x:row r="284" ht="28" customHeight="1">
      <x:c r="A284" s="16" t="str">
        <x:v>Приморская ГРЭС</x:v>
      </x:c>
      <x:c r="B284" s="16" t="str">
        <x:v>2000560242-U117</x:v>
      </x:c>
      <x:c r="C284" s="16" t="str">
        <x:v>ТРУБА СТ20 38*4 ГОСТ8731-74</x:v>
      </x:c>
      <x:c r="D284" s="16" t="str">
        <x:v>Трубы черные бесшовные</x:v>
      </x:c>
      <x:c r="E284" s="16" t="str">
        <x:v>Т</x:v>
      </x:c>
      <x:c r="F284" s="26" t="n">
        <x:v>0.04</x:v>
      </x:c>
      <x:c r="G284" s="17" t="n">
        <x:v>126815.10819999999</x:v>
      </x:c>
      <x:c r="H284" s="17" t="n">
        <x:f>G284*F284</x:f>
        <x:v>5072.604327999999</x:v>
      </x:c>
      <x:c r="I284" s="22" t="str">
        <x:f>HYPERLINK("https://etp-aktiv.ru/catalog/materialy/truby-stalnye-i-polimernye/2000560242-U117/","Открыть позицию")</x:f>
        <x:v>Открыть позицию</x:v>
      </x:c>
    </x:row>
    <x:row r="285" ht="28" customHeight="1">
      <x:c r="A285" s="16" t="str">
        <x:v>Приморская ГРЭС</x:v>
      </x:c>
      <x:c r="B285" s="16" t="str">
        <x:v>2000545968-U117</x:v>
      </x:c>
      <x:c r="C285" s="16" t="str">
        <x:v>ТРУБА СТ20 38*4,5 ТУ14-3Р-55-01</x:v>
      </x:c>
      <x:c r="D285" s="16" t="str">
        <x:v>Трубы котельные высокого давления</x:v>
      </x:c>
      <x:c r="E285" s="16" t="str">
        <x:v>Т</x:v>
      </x:c>
      <x:c r="F285" s="26" t="n">
        <x:v>0.025</x:v>
      </x:c>
      <x:c r="G285" s="17" t="n">
        <x:v>220550.13599999997</x:v>
      </x:c>
      <x:c r="H285" s="17" t="n">
        <x:f>G285*F285</x:f>
        <x:v>5513.7534</x:v>
      </x:c>
      <x:c r="I285" s="22" t="str">
        <x:f>HYPERLINK("https://etp-aktiv.ru/catalog/materialy/truby-stalnye-i-polimernye/2000545968-U117/","Открыть позицию")</x:f>
        <x:v>Открыть позицию</x:v>
      </x:c>
    </x:row>
    <x:row r="286" ht="28" customHeight="1">
      <x:c r="A286" s="16" t="str">
        <x:v>Приморская ГРЭС</x:v>
      </x:c>
      <x:c r="B286" s="16" t="str">
        <x:v>2000560244-U117</x:v>
      </x:c>
      <x:c r="C286" s="16" t="str">
        <x:v>ТРУБА СТ20 38*6 ГОСТ8731-74</x:v>
      </x:c>
      <x:c r="D286" s="16" t="str">
        <x:v>Трубы черные бесшовные</x:v>
      </x:c>
      <x:c r="E286" s="16" t="str">
        <x:v>Т</x:v>
      </x:c>
      <x:c r="F286" s="26" t="n">
        <x:v>0.435</x:v>
      </x:c>
      <x:c r="G286" s="17" t="n">
        <x:v>110209.2734</x:v>
      </x:c>
      <x:c r="H286" s="17" t="n">
        <x:f>G286*F286</x:f>
        <x:v>47941.033929000005</x:v>
      </x:c>
      <x:c r="I286" s="22" t="str">
        <x:f>HYPERLINK("https://etp-aktiv.ru/catalog/materialy/truby-stalnye-i-polimernye/2000560244-U117/","Открыть позицию")</x:f>
        <x:v>Открыть позицию</x:v>
      </x:c>
    </x:row>
    <x:row r="287" ht="28" customHeight="1">
      <x:c r="A287" s="16" t="str">
        <x:v>Приморская ГРЭС</x:v>
      </x:c>
      <x:c r="B287" s="16" t="str">
        <x:v>2000560261-U117</x:v>
      </x:c>
      <x:c r="C287" s="16" t="str">
        <x:v>ТРУБА СТ20 48*4 ГОСТ8731-74</x:v>
      </x:c>
      <x:c r="D287" s="16" t="str">
        <x:v>@Трубы прочие</x:v>
      </x:c>
      <x:c r="E287" s="16" t="str">
        <x:v>Т</x:v>
      </x:c>
      <x:c r="F287" s="26" t="n">
        <x:v>0.201</x:v>
      </x:c>
      <x:c r="G287" s="17" t="n">
        <x:v>210575.23299999998</x:v>
      </x:c>
      <x:c r="H287" s="17" t="n">
        <x:f>G287*F287</x:f>
        <x:v>42325.621833</x:v>
      </x:c>
      <x:c r="I287" s="22" t="str">
        <x:f>HYPERLINK("https://etp-aktiv.ru/catalog/materialy/truby-stalnye-i-polimernye/2000560261-U117/","Открыть позицию")</x:f>
        <x:v>Открыть позицию</x:v>
      </x:c>
    </x:row>
    <x:row r="288" ht="28" customHeight="1">
      <x:c r="A288" s="16" t="str">
        <x:v>Приморская ГРЭС</x:v>
      </x:c>
      <x:c r="B288" s="16" t="str">
        <x:v>2000560590-U117</x:v>
      </x:c>
      <x:c r="C288" s="16" t="str">
        <x:v>ТРУБА СТ20 530*10 ГОСТ10705-80</x:v>
      </x:c>
      <x:c r="D288" s="16" t="str">
        <x:v>Трубы черные сварные большого диаметра</x:v>
      </x:c>
      <x:c r="E288" s="16" t="str">
        <x:v>Т</x:v>
      </x:c>
      <x:c r="F288" s="26" t="n">
        <x:v>0.451</x:v>
      </x:c>
      <x:c r="G288" s="17" t="n">
        <x:v>143905.46600000001</x:v>
      </x:c>
      <x:c r="H288" s="17" t="n">
        <x:f>G288*F288</x:f>
        <x:v>64901.36516600001</x:v>
      </x:c>
      <x:c r="I288" s="22" t="str">
        <x:f>HYPERLINK("https://etp-aktiv.ru/catalog/materialy/truby-stalnye-i-polimernye/2000560590-U117/","Открыть позицию")</x:f>
        <x:v>Открыть позицию</x:v>
      </x:c>
    </x:row>
    <x:row r="289" ht="28" customHeight="1">
      <x:c r="A289" s="16" t="str">
        <x:v>Приморская ГРЭС</x:v>
      </x:c>
      <x:c r="B289" s="16" t="str">
        <x:v>2000560273-U117</x:v>
      </x:c>
      <x:c r="C289" s="16" t="str">
        <x:v>ТРУБА СТ20 57*3 ГОСТ8731-74</x:v>
      </x:c>
      <x:c r="D289" s="16" t="str">
        <x:v>Трубы черные бесшовные</x:v>
      </x:c>
      <x:c r="E289" s="16" t="str">
        <x:v>Т</x:v>
      </x:c>
      <x:c r="F289" s="26" t="n">
        <x:v>0.022</x:v>
      </x:c>
      <x:c r="G289" s="17" t="n">
        <x:v>138420.3704</x:v>
      </x:c>
      <x:c r="H289" s="17" t="n">
        <x:f>G289*F289</x:f>
        <x:v>3045.2481488000003</x:v>
      </x:c>
      <x:c r="I289" s="22" t="str">
        <x:f>HYPERLINK("https://etp-aktiv.ru/catalog/materialy/truby-stalnye-i-polimernye/2000560273-U117/","Открыть позицию")</x:f>
        <x:v>Открыть позицию</x:v>
      </x:c>
    </x:row>
    <x:row r="290" ht="28" customHeight="1">
      <x:c r="A290" s="16" t="str">
        <x:v>Приморская ГРЭС</x:v>
      </x:c>
      <x:c r="B290" s="16" t="str">
        <x:v>2000560277-U117</x:v>
      </x:c>
      <x:c r="C290" s="16" t="str">
        <x:v>ТРУБА СТ20 57*3,5 ГОСТ8733-74</x:v>
      </x:c>
      <x:c r="D290" s="16" t="str">
        <x:v>Трубы черные бесшовные</x:v>
      </x:c>
      <x:c r="E290" s="16" t="str">
        <x:v>Т</x:v>
      </x:c>
      <x:c r="F290" s="26" t="n">
        <x:v>0.024</x:v>
      </x:c>
      <x:c r="G290" s="17" t="n">
        <x:v>210450</x:v>
      </x:c>
      <x:c r="H290" s="17" t="n">
        <x:f>G290*F290</x:f>
        <x:v>5050.8</x:v>
      </x:c>
      <x:c r="I290" s="22" t="str">
        <x:f>HYPERLINK("https://etp-aktiv.ru/catalog/materialy/truby-stalnye-i-polimernye/2000560277-U117/","Открыть позицию")</x:f>
        <x:v>Открыть позицию</x:v>
      </x:c>
    </x:row>
    <x:row r="291" ht="28" customHeight="1">
      <x:c r="A291" s="16" t="str">
        <x:v>Приморская ГРЭС</x:v>
      </x:c>
      <x:c r="B291" s="16" t="str">
        <x:v>2000165143-U117</x:v>
      </x:c>
      <x:c r="C291" s="16" t="str">
        <x:v>ТРУБА СТ20 720*8 ГОСТ10705-80</x:v>
      </x:c>
      <x:c r="D291" s="16" t="str">
        <x:v>Трубы черные сварные большого диаметра</x:v>
      </x:c>
      <x:c r="E291" s="16" t="str">
        <x:v>Т</x:v>
      </x:c>
      <x:c r="F291" s="26" t="n">
        <x:v>0.561</x:v>
      </x:c>
      <x:c r="G291" s="17" t="n">
        <x:v>97504.68139999999</x:v>
      </x:c>
      <x:c r="H291" s="17" t="n">
        <x:f>G291*F291</x:f>
        <x:v>54700.126265399995</x:v>
      </x:c>
      <x:c r="I291" s="22" t="str">
        <x:f>HYPERLINK("https://etp-aktiv.ru/catalog/materialy/truby-stalnye-i-polimernye/2000165143-U117/","Открыть позицию")</x:f>
        <x:v>Открыть позицию</x:v>
      </x:c>
    </x:row>
    <x:row r="292" ht="28" customHeight="1">
      <x:c r="A292" s="16" t="str">
        <x:v>Приморская ГРЭС</x:v>
      </x:c>
      <x:c r="B292" s="16" t="str">
        <x:v>2000570107-U117</x:v>
      </x:c>
      <x:c r="C292" s="16" t="str">
        <x:v>ТРУБА СТ20 920*10 ГОСТ20295-85</x:v>
      </x:c>
      <x:c r="D292" s="16" t="str">
        <x:v>Трубы черные сварные большого диаметра</x:v>
      </x:c>
      <x:c r="E292" s="16" t="str">
        <x:v>Т</x:v>
      </x:c>
      <x:c r="F292" s="26" t="n">
        <x:v>0.032</x:v>
      </x:c>
      <x:c r="G292" s="17" t="n">
        <x:v>172832.4468</x:v>
      </x:c>
      <x:c r="H292" s="17" t="n">
        <x:f>G292*F292</x:f>
        <x:v>5530.6382976</x:v>
      </x:c>
      <x:c r="I292" s="22" t="str">
        <x:f>HYPERLINK("https://etp-aktiv.ru/catalog/materialy/truby-stalnye-i-polimernye/2000570107-U117/","Открыть позицию")</x:f>
        <x:v>Открыть позицию</x:v>
      </x:c>
    </x:row>
    <x:row r="293" ht="28" customHeight="1">
      <x:c r="A293" s="16" t="str">
        <x:v>Приморская ГРЭС</x:v>
      </x:c>
      <x:c r="B293" s="16" t="str">
        <x:v>2000546117-U117</x:v>
      </x:c>
      <x:c r="C293" s="16" t="str">
        <x:v>ТРУБА СТ20 Г 273*10 ТУ14-3Р-55-01</x:v>
      </x:c>
      <x:c r="D293" s="16" t="str">
        <x:v>Трубы котельные высокого давления</x:v>
      </x:c>
      <x:c r="E293" s="16" t="str">
        <x:v>Т</x:v>
      </x:c>
      <x:c r="F293" s="26" t="n">
        <x:v>0.132</x:v>
      </x:c>
      <x:c r="G293" s="17" t="n">
        <x:v>144119.8444</x:v>
      </x:c>
      <x:c r="H293" s="17" t="n">
        <x:f>G293*F293</x:f>
        <x:v>19023.8194608</x:v>
      </x:c>
      <x:c r="I293" s="22" t="str">
        <x:f>HYPERLINK("https://etp-aktiv.ru/catalog/materialy/truby-stalnye-i-polimernye/2000546117-U117/","Открыть позицию")</x:f>
        <x:v>Открыть позицию</x:v>
      </x:c>
    </x:row>
    <x:row r="294" ht="28" customHeight="1">
      <x:c r="A294" s="16" t="str">
        <x:v>Приморская ГРЭС</x:v>
      </x:c>
      <x:c r="B294" s="16" t="str">
        <x:v>2000736865-U117</x:v>
      </x:c>
      <x:c r="C294" s="16" t="str">
        <x:v>ТРУБА СТ20 Г 273*16 ТУ14-3Р-55-2001</x:v>
      </x:c>
      <x:c r="D294" s="16" t="str">
        <x:v>Трубы котельные высокого давления</x:v>
      </x:c>
      <x:c r="E294" s="16" t="str">
        <x:v>Т</x:v>
      </x:c>
      <x:c r="F294" s="30" t="n">
        <x:v>6.371</x:v>
      </x:c>
      <x:c r="G294" s="17" t="n">
        <x:v>183444.4948</x:v>
      </x:c>
      <x:c r="H294" s="17" t="n">
        <x:f>G294*F294</x:f>
        <x:v>1168724.8763708</x:v>
      </x:c>
      <x:c r="I294" s="22" t="str">
        <x:f>HYPERLINK("https://etp-aktiv.ru/catalog/materialy/truby-stalnye-i-polimernye/2000736865-U117/","Открыть позицию")</x:f>
        <x:v>Открыть позицию</x:v>
      </x:c>
    </x:row>
    <x:row r="295" ht="28" customHeight="1">
      <x:c r="A295" s="16" t="str">
        <x:v>Приморская ГРЭС</x:v>
      </x:c>
      <x:c r="B295" s="16" t="str">
        <x:v>2000582107-U117</x:v>
      </x:c>
      <x:c r="C295" s="16" t="str">
        <x:v>ТРУБА СТ20 Г/Д 273*20 ГОСТ8731-74</x:v>
      </x:c>
      <x:c r="D295" s="16" t="str">
        <x:v>Трубы черные бесшовные</x:v>
      </x:c>
      <x:c r="E295" s="16" t="str">
        <x:v>Т</x:v>
      </x:c>
      <x:c r="F295" s="30" t="n">
        <x:v>2.444</x:v>
      </x:c>
      <x:c r="G295" s="17" t="n">
        <x:v>141825</x:v>
      </x:c>
      <x:c r="H295" s="17" t="n">
        <x:f>G295*F295</x:f>
        <x:v>346620.3</x:v>
      </x:c>
      <x:c r="I295" s="22" t="str">
        <x:f>HYPERLINK("https://etp-aktiv.ru/catalog/materialy/truby-stalnye-i-polimernye/2000582107-U117/","Открыть позицию")</x:f>
        <x:v>Открыть позицию</x:v>
      </x:c>
    </x:row>
    <x:row r="296" ht="28" customHeight="1">
      <x:c r="A296" s="16" t="str">
        <x:v>Приморская ГРЭС</x:v>
      </x:c>
      <x:c r="B296" s="16" t="str">
        <x:v>2000712894-U117</x:v>
      </x:c>
      <x:c r="C296" s="16" t="str">
        <x:v>ТРУБА СТ20-ПВ 16*2,5 ТУ14-3Р-55-2001</x:v>
      </x:c>
      <x:c r="D296" s="16" t="str">
        <x:v>Трубы котельные высокого давления</x:v>
      </x:c>
      <x:c r="E296" s="16" t="str">
        <x:v>Т</x:v>
      </x:c>
      <x:c r="F296" s="30" t="n">
        <x:v>1.262</x:v>
      </x:c>
      <x:c r="G296" s="17" t="n">
        <x:v>228932.0484</x:v>
      </x:c>
      <x:c r="H296" s="17" t="n">
        <x:f>G296*F296</x:f>
        <x:v>288912.2450808</x:v>
      </x:c>
      <x:c r="I296" s="22" t="str">
        <x:f>HYPERLINK("https://etp-aktiv.ru/catalog/materialy/truby-stalnye-i-polimernye/2000712894-U117/","Открыть позицию")</x:f>
        <x:v>Открыть позицию</x:v>
      </x:c>
    </x:row>
    <x:row r="297" ht="28" customHeight="1">
      <x:c r="A297" s="16" t="str">
        <x:v>Приморская ГРЭС</x:v>
      </x:c>
      <x:c r="B297" s="16" t="str">
        <x:v>2000699370-U117</x:v>
      </x:c>
      <x:c r="C297" s="16" t="str">
        <x:v>ТРУБА СТ2ПС 25*25*2 ГОСТ8639-82</x:v>
      </x:c>
      <x:c r="D297" s="16" t="str">
        <x:v>Трубы прочие стальные</x:v>
      </x:c>
      <x:c r="E297" s="16" t="str">
        <x:v>Т</x:v>
      </x:c>
      <x:c r="F297" s="26" t="n">
        <x:v>0.304</x:v>
      </x:c>
      <x:c r="G297" s="17" t="n">
        <x:v>59971.113</x:v>
      </x:c>
      <x:c r="H297" s="17" t="n">
        <x:f>G297*F297</x:f>
        <x:v>18231.218352</x:v>
      </x:c>
      <x:c r="I297" s="22" t="str">
        <x:f>HYPERLINK("https://etp-aktiv.ru/catalog/materialy/truby-stalnye-i-polimernye/2000699370-U117/","Открыть позицию")</x:f>
        <x:v>Открыть позицию</x:v>
      </x:c>
    </x:row>
    <x:row r="298" ht="28" customHeight="1">
      <x:c r="A298" s="16" t="str">
        <x:v>Приморская ГРЭС</x:v>
      </x:c>
      <x:c r="B298" s="16" t="str">
        <x:v>2000566561-U117</x:v>
      </x:c>
      <x:c r="C298" s="16" t="str">
        <x:v>ТРУБА СТ3 114*6 ГОСТ8731-74</x:v>
      </x:c>
      <x:c r="D298" s="16" t="str">
        <x:v>Трубы черные бесшовные</x:v>
      </x:c>
      <x:c r="E298" s="16" t="str">
        <x:v>Т</x:v>
      </x:c>
      <x:c r="F298" s="26" t="n">
        <x:v>0.124</x:v>
      </x:c>
      <x:c r="G298" s="17" t="n">
        <x:v>181475</x:v>
      </x:c>
      <x:c r="H298" s="17" t="n">
        <x:f>G298*F298</x:f>
        <x:v>22502.9</x:v>
      </x:c>
      <x:c r="I298" s="22" t="str">
        <x:f>HYPERLINK("https://etp-aktiv.ru/catalog/materialy/truby-stalnye-i-polimernye/2000566561-U117/","Открыть позицию")</x:f>
        <x:v>Открыть позицию</x:v>
      </x:c>
    </x:row>
    <x:row r="299" ht="28" customHeight="1">
      <x:c r="A299" s="16" t="str">
        <x:v>Приморская ГРЭС</x:v>
      </x:c>
      <x:c r="B299" s="16" t="str">
        <x:v>2000173105-U117</x:v>
      </x:c>
      <x:c r="C299" s="16" t="str">
        <x:v>ТРУБА СТ3 133*4 ГОСТ10705-80</x:v>
      </x:c>
      <x:c r="D299" s="16" t="str">
        <x:v>Трубы черные сварные малого и среднего диаметра</x:v>
      </x:c>
      <x:c r="E299" s="16" t="str">
        <x:v>Т</x:v>
      </x:c>
      <x:c r="F299" s="26" t="n">
        <x:v>0.975</x:v>
      </x:c>
      <x:c r="G299" s="17" t="n">
        <x:v>67100</x:v>
      </x:c>
      <x:c r="H299" s="17" t="n">
        <x:f>G299*F299</x:f>
        <x:v>65422.5</x:v>
      </x:c>
      <x:c r="I299" s="22" t="str">
        <x:f>HYPERLINK("https://etp-aktiv.ru/catalog/materialy/truby-stalnye-i-polimernye/2000173105-U117/","Открыть позицию")</x:f>
        <x:v>Открыть позицию</x:v>
      </x:c>
    </x:row>
    <x:row r="300" ht="28" customHeight="1">
      <x:c r="A300" s="16" t="str">
        <x:v>Приморская ГРЭС</x:v>
      </x:c>
      <x:c r="B300" s="16" t="str">
        <x:v>2000140825-U117</x:v>
      </x:c>
      <x:c r="C300" s="16" t="str">
        <x:v>ТРУБА СТ3 133*4,5 ГОСТ8734-78</x:v>
      </x:c>
      <x:c r="D300" s="16" t="str">
        <x:v>@Трубы прочие</x:v>
      </x:c>
      <x:c r="E300" s="16" t="str">
        <x:v>Т</x:v>
      </x:c>
      <x:c r="F300" s="26" t="n">
        <x:v>0.042</x:v>
      </x:c>
      <x:c r="G300" s="17" t="n">
        <x:v>148916.25</x:v>
      </x:c>
      <x:c r="H300" s="17" t="n">
        <x:f>G300*F300</x:f>
        <x:v>6254.4825</x:v>
      </x:c>
      <x:c r="I300" s="22" t="str">
        <x:f>HYPERLINK("https://etp-aktiv.ru/catalog/materialy/truby-stalnye-i-polimernye/2000140825-U117/","Открыть позицию")</x:f>
        <x:v>Открыть позицию</x:v>
      </x:c>
    </x:row>
    <x:row r="301" ht="28" customHeight="1">
      <x:c r="A301" s="16" t="str">
        <x:v>Приморская ГРЭС</x:v>
      </x:c>
      <x:c r="B301" s="16" t="str">
        <x:v>2000142992-U117</x:v>
      </x:c>
      <x:c r="C301" s="16" t="str">
        <x:v>ТРУБА СТ3 20*3,2 ГОСТ3262-75</x:v>
      </x:c>
      <x:c r="D301" s="16" t="str">
        <x:v>Трубы черные сварные малого и среднего диаметра</x:v>
      </x:c>
      <x:c r="E301" s="16" t="str">
        <x:v>Т</x:v>
      </x:c>
      <x:c r="F301" s="26" t="n">
        <x:v>0.14</x:v>
      </x:c>
      <x:c r="G301" s="17" t="n">
        <x:v>68625</x:v>
      </x:c>
      <x:c r="H301" s="17" t="n">
        <x:f>G301*F301</x:f>
        <x:v>9607.500000000002</x:v>
      </x:c>
      <x:c r="I301" s="22" t="str">
        <x:f>HYPERLINK("https://etp-aktiv.ru/catalog/materialy/truby-stalnye-i-polimernye/2000142992-U117/","Открыть позицию")</x:f>
        <x:v>Открыть позицию</x:v>
      </x:c>
    </x:row>
    <x:row r="302" ht="28" customHeight="1">
      <x:c r="A302" s="16" t="str">
        <x:v>Приморская ГРЭС</x:v>
      </x:c>
      <x:c r="B302" s="16" t="str">
        <x:v>2000253435-U117</x:v>
      </x:c>
      <x:c r="C302" s="16" t="str">
        <x:v>ТРУБА СТ3 273*7 ГОСТ3262-75</x:v>
      </x:c>
      <x:c r="D302" s="16" t="str">
        <x:v>@Трубы прочие</x:v>
      </x:c>
      <x:c r="E302" s="16" t="str">
        <x:v>Т</x:v>
      </x:c>
      <x:c r="F302" s="26" t="n">
        <x:v>0.276</x:v>
      </x:c>
      <x:c r="G302" s="17" t="n">
        <x:v>76311</x:v>
      </x:c>
      <x:c r="H302" s="17" t="n">
        <x:f>G302*F302</x:f>
        <x:v>21061.836000000003</x:v>
      </x:c>
      <x:c r="I302" s="22" t="str">
        <x:f>HYPERLINK("https://etp-aktiv.ru/catalog/materialy/truby-stalnye-i-polimernye/2000253435-U117/","Открыть позицию")</x:f>
        <x:v>Открыть позицию</x:v>
      </x:c>
    </x:row>
    <x:row r="303" ht="28" customHeight="1">
      <x:c r="A303" s="16" t="str">
        <x:v>Приморская ГРЭС</x:v>
      </x:c>
      <x:c r="B303" s="16" t="str">
        <x:v>2000255837-U117</x:v>
      </x:c>
      <x:c r="C303" s="16" t="str">
        <x:v>ТРУБА СТ3 32*3 ГОСТ10705-80</x:v>
      </x:c>
      <x:c r="D303" s="16" t="str">
        <x:v>Трубы черные сварные малого и среднего диаметра</x:v>
      </x:c>
      <x:c r="E303" s="16" t="str">
        <x:v>Т</x:v>
      </x:c>
      <x:c r="F303" s="26" t="n">
        <x:v>0.009</x:v>
      </x:c>
      <x:c r="G303" s="17" t="n">
        <x:v>72454.7874</x:v>
      </x:c>
      <x:c r="H303" s="17" t="n">
        <x:f>G303*F303</x:f>
        <x:v>652.0930866</x:v>
      </x:c>
      <x:c r="I303" s="22" t="str">
        <x:f>HYPERLINK("https://etp-aktiv.ru/catalog/materialy/truby-stalnye-i-polimernye/2000255837-U117/","Открыть позицию")</x:f>
        <x:v>Открыть позицию</x:v>
      </x:c>
    </x:row>
    <x:row r="304" ht="28" customHeight="1">
      <x:c r="A304" s="16" t="str">
        <x:v>Приморская ГРЭС</x:v>
      </x:c>
      <x:c r="B304" s="16" t="str">
        <x:v>2000224940-U117</x:v>
      </x:c>
      <x:c r="C304" s="16" t="str">
        <x:v>ТРУБА СТ3 32*3,5 ГОСТ10705-80</x:v>
      </x:c>
      <x:c r="D304" s="16" t="str">
        <x:v>Трубы черные сварные малого и среднего диаметра</x:v>
      </x:c>
      <x:c r="E304" s="16" t="str">
        <x:v>Т</x:v>
      </x:c>
      <x:c r="F304" s="26" t="n">
        <x:v>0.184</x:v>
      </x:c>
      <x:c r="G304" s="17" t="n">
        <x:v>196972.79419999997</x:v>
      </x:c>
      <x:c r="H304" s="17" t="n">
        <x:f>G304*F304</x:f>
        <x:v>36242.99413279999</x:v>
      </x:c>
      <x:c r="I304" s="22" t="str">
        <x:f>HYPERLINK("https://etp-aktiv.ru/catalog/materialy/truby-stalnye-i-polimernye/2000224940-U117/","Открыть позицию")</x:f>
        <x:v>Открыть позицию</x:v>
      </x:c>
    </x:row>
    <x:row r="305" ht="28" customHeight="1">
      <x:c r="A305" s="16" t="str">
        <x:v>Приморская ГРЭС</x:v>
      </x:c>
      <x:c r="B305" s="16" t="str">
        <x:v>2000343489-U117</x:v>
      </x:c>
      <x:c r="C305" s="16" t="str">
        <x:v>ТРУБА СТ3 32*3,5 ГОСТ3262-75</x:v>
      </x:c>
      <x:c r="D305" s="16" t="str">
        <x:v>Трубы черные сварные малого и среднего диаметра</x:v>
      </x:c>
      <x:c r="E305" s="16" t="str">
        <x:v>Т</x:v>
      </x:c>
      <x:c r="F305" s="30" t="n">
        <x:v>1.199</x:v>
      </x:c>
      <x:c r="G305" s="17" t="n">
        <x:v>70150</x:v>
      </x:c>
      <x:c r="H305" s="17" t="n">
        <x:f>G305*F305</x:f>
        <x:v>84109.85</x:v>
      </x:c>
      <x:c r="I305" s="22" t="str">
        <x:f>HYPERLINK("https://etp-aktiv.ru/catalog/materialy/truby-stalnye-i-polimernye/2000343489-U117/","Открыть позицию")</x:f>
        <x:v>Открыть позицию</x:v>
      </x:c>
    </x:row>
    <x:row r="306" ht="28" customHeight="1">
      <x:c r="A306" s="16" t="str">
        <x:v>Приморская ГРЭС</x:v>
      </x:c>
      <x:c r="B306" s="16" t="str">
        <x:v>2000630060-U117</x:v>
      </x:c>
      <x:c r="C306" s="16" t="str">
        <x:v>ТРУБА СТ3 38*3 ГОСТ8734-75</x:v>
      </x:c>
      <x:c r="D306" s="16" t="str">
        <x:v>Трубы черные бесшовные</x:v>
      </x:c>
      <x:c r="E306" s="16" t="str">
        <x:v>Т</x:v>
      </x:c>
      <x:c r="F306" s="26" t="n">
        <x:v>0.003</x:v>
      </x:c>
      <x:c r="G306" s="17" t="n">
        <x:v>185287.5</x:v>
      </x:c>
      <x:c r="H306" s="17" t="n">
        <x:f>G306*F306</x:f>
        <x:v>555.8625000000001</x:v>
      </x:c>
      <x:c r="I306" s="22" t="str">
        <x:f>HYPERLINK("https://etp-aktiv.ru/catalog/materialy/truby-stalnye-i-polimernye/2000630060-U117/","Открыть позицию")</x:f>
        <x:v>Открыть позицию</x:v>
      </x:c>
    </x:row>
    <x:row r="307" ht="28" customHeight="1">
      <x:c r="A307" s="16" t="str">
        <x:v>Приморская ГРЭС</x:v>
      </x:c>
      <x:c r="B307" s="16" t="str">
        <x:v>2000560520-U117</x:v>
      </x:c>
      <x:c r="C307" s="16" t="str">
        <x:v>ТРУБА СТ3 38*3,5 ГОСТ10705-80</x:v>
      </x:c>
      <x:c r="D307" s="16" t="str">
        <x:v>Трубы черные сварные малого и среднего диаметра</x:v>
      </x:c>
      <x:c r="E307" s="16" t="str">
        <x:v>Т</x:v>
      </x:c>
      <x:c r="F307" s="26" t="n">
        <x:v>0.013</x:v>
      </x:c>
      <x:c r="G307" s="17" t="n">
        <x:v>178425</x:v>
      </x:c>
      <x:c r="H307" s="17" t="n">
        <x:f>G307*F307</x:f>
        <x:v>2319.525</x:v>
      </x:c>
      <x:c r="I307" s="22" t="str">
        <x:f>HYPERLINK("https://etp-aktiv.ru/catalog/materialy/truby-stalnye-i-polimernye/2000560520-U117/","Открыть позицию")</x:f>
        <x:v>Открыть позицию</x:v>
      </x:c>
    </x:row>
    <x:row r="308" ht="28" customHeight="1">
      <x:c r="A308" s="16" t="str">
        <x:v>Приморская ГРЭС</x:v>
      </x:c>
      <x:c r="B308" s="16" t="str">
        <x:v>2000550208-U117</x:v>
      </x:c>
      <x:c r="C308" s="16" t="str">
        <x:v>ТРУБА СТ3 40*4 ГОСТ10705-80</x:v>
      </x:c>
      <x:c r="D308" s="16" t="str">
        <x:v>Трубы черные сварные малого и среднего диаметра</x:v>
      </x:c>
      <x:c r="E308" s="16" t="str">
        <x:v>Т</x:v>
      </x:c>
      <x:c r="F308" s="26" t="n">
        <x:v>0.391</x:v>
      </x:c>
      <x:c r="G308" s="17" t="n">
        <x:v>67100</x:v>
      </x:c>
      <x:c r="H308" s="17" t="n">
        <x:f>G308*F308</x:f>
        <x:v>26236.100000000002</x:v>
      </x:c>
      <x:c r="I308" s="22" t="str">
        <x:f>HYPERLINK("https://etp-aktiv.ru/catalog/materialy/truby-stalnye-i-polimernye/2000550208-U117/","Открыть позицию")</x:f>
        <x:v>Открыть позицию</x:v>
      </x:c>
    </x:row>
    <x:row r="309" ht="28" customHeight="1">
      <x:c r="A309" s="16" t="str">
        <x:v>Приморская ГРЭС</x:v>
      </x:c>
      <x:c r="B309" s="16" t="str">
        <x:v>2000487137-U117</x:v>
      </x:c>
      <x:c r="C309" s="16" t="str">
        <x:v>ТРУБА СТ3 48*3 ГОСТ8732-78</x:v>
      </x:c>
      <x:c r="D309" s="16" t="str">
        <x:v>@Трубы прочие</x:v>
      </x:c>
      <x:c r="E309" s="16" t="str">
        <x:v>Т</x:v>
      </x:c>
      <x:c r="F309" s="30" t="n">
        <x:v>1.084</x:v>
      </x:c>
      <x:c r="G309" s="17" t="n">
        <x:v>108868.9936</x:v>
      </x:c>
      <x:c r="H309" s="17" t="n">
        <x:f>G309*F309</x:f>
        <x:v>118013.98906240001</x:v>
      </x:c>
      <x:c r="I309" s="22" t="str">
        <x:f>HYPERLINK("https://etp-aktiv.ru/catalog/materialy/truby-stalnye-i-polimernye/2000487137-U117/","Открыть позицию")</x:f>
        <x:v>Открыть позицию</x:v>
      </x:c>
    </x:row>
    <x:row r="310" ht="28" customHeight="1">
      <x:c r="A310" s="16" t="str">
        <x:v>Приморская ГРЭС</x:v>
      </x:c>
      <x:c r="B310" s="16" t="str">
        <x:v>2000570114-U117</x:v>
      </x:c>
      <x:c r="C310" s="16" t="str">
        <x:v>ТРУБА СТ3ПС 720*8 ГОСТ20295-85</x:v>
      </x:c>
      <x:c r="D310" s="16" t="str">
        <x:v>Трубы черные сварные большого диаметра</x:v>
      </x:c>
      <x:c r="E310" s="16" t="str">
        <x:v>Т</x:v>
      </x:c>
      <x:c r="F310" s="26" t="n">
        <x:v>0.433</x:v>
      </x:c>
      <x:c r="G310" s="17" t="n">
        <x:v>95715.29520000001</x:v>
      </x:c>
      <x:c r="H310" s="17" t="n">
        <x:f>G310*F310</x:f>
        <x:v>41444.7228216</x:v>
      </x:c>
      <x:c r="I310" s="22" t="str">
        <x:f>HYPERLINK("https://etp-aktiv.ru/catalog/materialy/truby-stalnye-i-polimernye/2000570114-U117/","Открыть позицию")</x:f>
        <x:v>Открыть позицию</x:v>
      </x:c>
    </x:row>
    <x:row r="311" ht="28" customHeight="1">
      <x:c r="A311" s="16" t="str">
        <x:v>Приморская ГРЭС</x:v>
      </x:c>
      <x:c r="B311" s="16" t="str">
        <x:v>2000560552-U117</x:v>
      </x:c>
      <x:c r="C311" s="16" t="str">
        <x:v>ТРУБА СТ3СП5 89*4,5 ГОСТ10705-80</x:v>
      </x:c>
      <x:c r="D311" s="16" t="str">
        <x:v>Трубы черные сварные малого и среднего диаметра</x:v>
      </x:c>
      <x:c r="E311" s="16" t="str">
        <x:v>Т</x:v>
      </x:c>
      <x:c r="F311" s="26" t="n">
        <x:v>0.015</x:v>
      </x:c>
      <x:c r="G311" s="17" t="n">
        <x:v>78950.47</x:v>
      </x:c>
      <x:c r="H311" s="17" t="n">
        <x:f>G311*F311</x:f>
        <x:v>1184.25705</x:v>
      </x:c>
      <x:c r="I311" s="22" t="str">
        <x:f>HYPERLINK("https://etp-aktiv.ru/catalog/materialy/truby-stalnye-i-polimernye/2000560552-U117/","Открыть позицию")</x:f>
        <x:v>Открыть позицию</x:v>
      </x:c>
    </x:row>
    <x:row r="312" ht="28" customHeight="1">
      <x:c r="A312" s="16" t="str">
        <x:v>Приморская ГРЭС</x:v>
      </x:c>
      <x:c r="B312" s="16" t="str">
        <x:v>2000560628-U117</x:v>
      </x:c>
      <x:c r="C312" s="16" t="str">
        <x:v>ТРУБА ТИП 3 17Г1С-У 530*8 К52 Г20295</x:v>
      </x:c>
      <x:c r="D312" s="16" t="str">
        <x:v>Трубы черные сварные большого диаметра</x:v>
      </x:c>
      <x:c r="E312" s="16" t="str">
        <x:v>Т</x:v>
      </x:c>
      <x:c r="F312" s="26" t="n">
        <x:v>0.571</x:v>
      </x:c>
      <x:c r="G312" s="17" t="n">
        <x:v>131556.6626</x:v>
      </x:c>
      <x:c r="H312" s="17" t="n">
        <x:f>G312*F312</x:f>
        <x:v>75118.8543446</x:v>
      </x:c>
      <x:c r="I312" s="22" t="str">
        <x:f>HYPERLINK("https://etp-aktiv.ru/catalog/materialy/truby-stalnye-i-polimernye/2000560628-U117/","Открыть позицию")</x:f>
        <x:v>Открыть позицию</x:v>
      </x:c>
    </x:row>
    <x:row r="313" ht="28" customHeight="1">
      <x:c r="A313" s="16" t="str">
        <x:v>Приморская ГРЭС</x:v>
      </x:c>
      <x:c r="B313" s="16" t="str">
        <x:v>2000738361-U117</x:v>
      </x:c>
      <x:c r="C313" s="16" t="str">
        <x:v>ТРУБА Э/С СТ20 325*10 ГОСТ10705-80</x:v>
      </x:c>
      <x:c r="D313" s="16" t="str">
        <x:v>Трубы черные сварные малого и среднего диаметра</x:v>
      </x:c>
      <x:c r="E313" s="16" t="str">
        <x:v>Т</x:v>
      </x:c>
      <x:c r="F313" s="30" t="n">
        <x:v>2.894</x:v>
      </x:c>
      <x:c r="G313" s="17" t="n">
        <x:v>79121.7214</x:v>
      </x:c>
      <x:c r="H313" s="17" t="n">
        <x:f>G313*F313</x:f>
        <x:v>228978.26173159998</x:v>
      </x:c>
      <x:c r="I313" s="22" t="str">
        <x:f>HYPERLINK("https://etp-aktiv.ru/catalog/materialy/truby-stalnye-i-polimernye/2000738361-U117/","Открыть позицию")</x:f>
        <x:v>Открыть позицию</x:v>
      </x:c>
    </x:row>
    <x:row r="314" ht="28" customHeight="1">
      <x:c r="A314" s="16" t="str">
        <x:v>Приморская ГРЭС</x:v>
      </x:c>
      <x:c r="B314" s="16" t="str">
        <x:v>2000167801-U117</x:v>
      </x:c>
      <x:c r="C314" s="16" t="str">
        <x:v>ТРУБА Э/С СТ20 530*12 ГОСТ20295-85</x:v>
      </x:c>
      <x:c r="D314" s="16" t="str">
        <x:v>Трубы черные сварные большого диаметра</x:v>
      </x:c>
      <x:c r="E314" s="16" t="str">
        <x:v>Т</x:v>
      </x:c>
      <x:c r="F314" s="26" t="n">
        <x:v>0.511</x:v>
      </x:c>
      <x:c r="G314" s="17" t="n">
        <x:v>44219.7784</x:v>
      </x:c>
      <x:c r="H314" s="17" t="n">
        <x:f>G314*F314</x:f>
        <x:v>22596.306762400003</x:v>
      </x:c>
      <x:c r="I314" s="22" t="str">
        <x:f>HYPERLINK("https://etp-aktiv.ru/catalog/materialy/truby-stalnye-i-polimernye/2000167801-U117/","Открыть позицию")</x:f>
        <x:v>Открыть позицию</x:v>
      </x:c>
    </x:row>
    <x:row r="315" ht="28" customHeight="1">
      <x:c r="A315" s="16" t="str">
        <x:v>Приморская ГРЭС</x:v>
      </x:c>
      <x:c r="B315" s="16" t="str">
        <x:v>2000649763-U117</x:v>
      </x:c>
      <x:c r="C315" s="16" t="str">
        <x:v>ТРУБА Э/С СТ20 820*10 ГОСТ8696-74</x:v>
      </x:c>
      <x:c r="D315" s="16" t="str">
        <x:v>Трубы черные сварные большого диаметра</x:v>
      </x:c>
      <x:c r="E315" s="16" t="str">
        <x:v>Т</x:v>
      </x:c>
      <x:c r="F315" s="30" t="n">
        <x:v>2.426</x:v>
      </x:c>
      <x:c r="G315" s="17" t="n">
        <x:v>107055</x:v>
      </x:c>
      <x:c r="H315" s="17" t="n">
        <x:f>G315*F315</x:f>
        <x:v>259715.43000000002</x:v>
      </x:c>
      <x:c r="I315" s="22" t="str">
        <x:f>HYPERLINK("https://etp-aktiv.ru/catalog/materialy/truby-stalnye-i-polimernye/2000649763-U117/","Открыть позицию")</x:f>
        <x:v>Открыть позицию</x:v>
      </x:c>
    </x:row>
    <x:row r="316" ht="28" customHeight="1">
      <x:c r="A316" s="16" t="str">
        <x:v>Приморская ГРЭС</x:v>
      </x:c>
      <x:c r="B316" s="16" t="str">
        <x:v>2000048456-U117</x:v>
      </x:c>
      <x:c r="C316" s="16" t="str">
        <x:v>ТРУБКА 740.1104384-02</x:v>
      </x:c>
      <x:c r="D316" s="16" t="str">
        <x:v>Запасные части к автотранспортному оборудованию</x:v>
      </x:c>
      <x:c r="E316" s="16" t="str">
        <x:v>ШТ</x:v>
      </x:c>
      <x:c r="F316" s="21" t="n">
        <x:v>2</x:v>
      </x:c>
      <x:c r="G316" s="17" t="n">
        <x:v>201.29999999999998</x:v>
      </x:c>
      <x:c r="H316" s="17" t="n">
        <x:f>G316*F316</x:f>
        <x:v>402.59999999999997</x:v>
      </x:c>
      <x:c r="I316" s="22" t="str">
        <x:f>HYPERLINK("https://etp-aktiv.ru/catalog/materialy/zapasnye-chasti-k-avtotransportnomu-oborudovaniyu/2000048456-U117/","Открыть позицию")</x:f>
        <x:v>Открыть позицию</x:v>
      </x:c>
    </x:row>
    <x:row r="317" ht="28" customHeight="1">
      <x:c r="A317" s="16" t="str">
        <x:v>Приморская ГРЭС</x:v>
      </x:c>
      <x:c r="B317" s="16" t="str">
        <x:v>2000548685-U117</x:v>
      </x:c>
      <x:c r="C317" s="16" t="str">
        <x:v>ТРУБКА ПВХ 305 ТВ-40 5ММ БЕЛЫЙ ГОСТ19034</x:v>
      </x:c>
      <x:c r="D317" s="16" t="str">
        <x:v>Электроизоляционные материалы</x:v>
      </x:c>
      <x:c r="E317" s="16" t="str">
        <x:v>КГ</x:v>
      </x:c>
      <x:c r="F317" s="21" t="n">
        <x:v>1</x:v>
      </x:c>
      <x:c r="G317" s="17" t="n">
        <x:v>336.71999999999997</x:v>
      </x:c>
      <x:c r="H317" s="17" t="n">
        <x:f>G317*F317</x:f>
        <x:v>336.71999999999997</x:v>
      </x:c>
      <x:c r="I317" s="22" t="str">
        <x:f>HYPERLINK("https://etp-aktiv.ru/catalog/materialy/ehlektroizolyacionnye-materialy/2000548685-U117/","Открыть позицию")</x:f>
        <x:v>Открыть позицию</x:v>
      </x:c>
    </x:row>
    <x:row r="318" ht="28" customHeight="1">
      <x:c r="A318" s="16" t="str">
        <x:v>Приморская ГРЭС</x:v>
      </x:c>
      <x:c r="B318" s="16" t="str">
        <x:v>2000548676-U117</x:v>
      </x:c>
      <x:c r="C318" s="16" t="str">
        <x:v>ТРУБКА ПВХ 305 ТВ-40 6ММ БЕЛЫЙ ГОСТ19034</x:v>
      </x:c>
      <x:c r="D318" s="16" t="str">
        <x:v>Электроизоляционные материалы</x:v>
      </x:c>
      <x:c r="E318" s="16" t="str">
        <x:v>КГ</x:v>
      </x:c>
      <x:c r="F318" s="30" t="n">
        <x:v>2.4</x:v>
      </x:c>
      <x:c r="G318" s="17" t="n">
        <x:v>336.71999999999997</x:v>
      </x:c>
      <x:c r="H318" s="17" t="n">
        <x:f>G318*F318</x:f>
        <x:v>808.1279999999999</x:v>
      </x:c>
      <x:c r="I318" s="22" t="str">
        <x:f>HYPERLINK("https://etp-aktiv.ru/catalog/materialy/ehlektroizolyacionnye-materialy/2000548676-U117/","Открыть позицию")</x:f>
        <x:v>Открыть позицию</x:v>
      </x:c>
    </x:row>
    <x:row r="319" ht="28" customHeight="1">
      <x:c r="A319" s="16" t="str">
        <x:v>Приморская ГРЭС</x:v>
      </x:c>
      <x:c r="B319" s="16" t="str">
        <x:v>2000488747-U117</x:v>
      </x:c>
      <x:c r="C319" s="16" t="str">
        <x:v>ТРУБКА ПВХ ТВ-40 2ММ БЕЛЫЙ ГОСТ19034-82</x:v>
      </x:c>
      <x:c r="D319" s="16" t="str">
        <x:v>Электроизоляционные материалы</x:v>
      </x:c>
      <x:c r="E319" s="16" t="str">
        <x:v>КГ</x:v>
      </x:c>
      <x:c r="F319" s="30" t="n">
        <x:v>11.35</x:v>
      </x:c>
      <x:c r="G319" s="17" t="n">
        <x:v>164.7488</x:v>
      </x:c>
      <x:c r="H319" s="17" t="n">
        <x:f>G319*F319</x:f>
        <x:v>1869.8988799999997</x:v>
      </x:c>
      <x:c r="I319" s="22" t="str">
        <x:f>HYPERLINK("https://etp-aktiv.ru/catalog/materialy/ehlektroizolyacionnye-materialy/2000488747-U117/","Открыть позицию")</x:f>
        <x:v>Открыть позицию</x:v>
      </x:c>
    </x:row>
    <x:row r="320" ht="28" customHeight="1">
      <x:c r="A320" s="16" t="str">
        <x:v>Приморская ГРЭС</x:v>
      </x:c>
      <x:c r="B320" s="16" t="str">
        <x:v>2000068954-U117</x:v>
      </x:c>
      <x:c r="C320" s="16" t="str">
        <x:v>ТРУБКА ПВХ ТВ-40 D3ММ</x:v>
      </x:c>
      <x:c r="D320" s="16" t="str">
        <x:v>Электроизоляционные материалы</x:v>
      </x:c>
      <x:c r="E320" s="16" t="str">
        <x:v>М</x:v>
      </x:c>
      <x:c r="F320" s="21" t="n">
        <x:v>100</x:v>
      </x:c>
      <x:c r="G320" s="17" t="n">
        <x:v>2.745</x:v>
      </x:c>
      <x:c r="H320" s="17" t="n">
        <x:f>G320*F320</x:f>
        <x:v>274.5</x:v>
      </x:c>
      <x:c r="I320" s="22" t="str">
        <x:f>HYPERLINK("https://etp-aktiv.ru/catalog/materialy/ehlektroizolyacionnye-materialy/2000068954-U117/","Открыть позицию")</x:f>
        <x:v>Открыть позицию</x:v>
      </x:c>
    </x:row>
    <x:row r="321" ht="28" customHeight="1">
      <x:c r="A321" s="16" t="str">
        <x:v>Приморская ГРЭС</x:v>
      </x:c>
      <x:c r="B321" s="16" t="str">
        <x:v>2000546693-U117</x:v>
      </x:c>
      <x:c r="C321" s="16" t="str">
        <x:v>ТРУБКА СИЛИКОНОВАЯ МЕДИЦИНСК 5*2ММ</x:v>
      </x:c>
      <x:c r="D321" s="16" t="str">
        <x:v>Резино-технические изделия прочие</x:v>
      </x:c>
      <x:c r="E321" s="16" t="str">
        <x:v>КГ</x:v>
      </x:c>
      <x:c r="F321" s="30" t="n">
        <x:v>1.05</x:v>
      </x:c>
      <x:c r="G321" s="17" t="n">
        <x:v>2302.2986</x:v>
      </x:c>
      <x:c r="H321" s="17" t="n">
        <x:f>G321*F321</x:f>
        <x:v>2417.4135300000003</x:v>
      </x:c>
      <x:c r="I321" s="22" t="str">
        <x:f>HYPERLINK("https://etp-aktiv.ru/catalog/materialy/rezino-tekhnicheskie-izdeliya/2000546693-U117/","Открыть позицию")</x:f>
        <x:v>Открыть позицию</x:v>
      </x:c>
    </x:row>
    <x:row r="322" ht="28" customHeight="1">
      <x:c r="A322" s="16" t="str">
        <x:v>Приморская ГРЭС</x:v>
      </x:c>
      <x:c r="B322" s="16" t="str">
        <x:v>2000751655-U117</x:v>
      </x:c>
      <x:c r="C322" s="16" t="str">
        <x:v>ТРУБКА СТЕКЛЯННАЯ 18-3-2000 ГОСТ8446-74</x:v>
      </x:c>
      <x:c r="D322" s="16" t="str">
        <x:v>Химическая посуда</x:v>
      </x:c>
      <x:c r="E322" s="16" t="str">
        <x:v>ШТ</x:v>
      </x:c>
      <x:c r="F322" s="21" t="n">
        <x:v>6</x:v>
      </x:c>
      <x:c r="G322" s="17" t="n">
        <x:v>1986.6968</x:v>
      </x:c>
      <x:c r="H322" s="17" t="n">
        <x:f>G322*F322</x:f>
        <x:v>11920.1808</x:v>
      </x:c>
      <x:c r="I322" s="22" t="str">
        <x:f>HYPERLINK("https://etp-aktiv.ru/catalog/materialy/mebel-i-bytovaya-tekhnika/2000751655-U117/","Открыть позицию")</x:f>
        <x:v>Открыть позицию</x:v>
      </x:c>
    </x:row>
    <x:row r="323" ht="28" customHeight="1">
      <x:c r="A323" s="16" t="str">
        <x:v>Приморская ГРЭС</x:v>
      </x:c>
      <x:c r="B323" s="16" t="str">
        <x:v>2000548699-U117</x:v>
      </x:c>
      <x:c r="C323" s="16" t="str">
        <x:v>ТРУБКА ТЕРМОУСАДОЧНАЯ ТТК (4:1) 12/3</x:v>
      </x:c>
      <x:c r="D323" s="16" t="str">
        <x:v>Электроизоляционные материалы</x:v>
      </x:c>
      <x:c r="E323" s="16" t="str">
        <x:v>М</x:v>
      </x:c>
      <x:c r="F323" s="21" t="n">
        <x:v>4</x:v>
      </x:c>
      <x:c r="G323" s="17" t="n">
        <x:v>287.7126</x:v>
      </x:c>
      <x:c r="H323" s="17" t="n">
        <x:f>G323*F323</x:f>
        <x:v>1150.8504</x:v>
      </x:c>
      <x:c r="I323" s="22" t="str">
        <x:f>HYPERLINK("https://etp-aktiv.ru/catalog/materialy/ehlektroizolyacionnye-materialy/2000548699-U117/","Открыть позицию")</x:f>
        <x:v>Открыть позицию</x:v>
      </x:c>
    </x:row>
    <x:row r="324" ht="28" customHeight="1">
      <x:c r="A324" s="16" t="str">
        <x:v>Приморская ГРЭС</x:v>
      </x:c>
      <x:c r="B324" s="16" t="str">
        <x:v>2000533214-U117</x:v>
      </x:c>
      <x:c r="C324" s="16" t="str">
        <x:v>ТРУБКА ТЕРМОУСАЖИВАЕМАЯ ТТК 39/13</x:v>
      </x:c>
      <x:c r="D324" s="16" t="str">
        <x:v>Электроизоляционные материалы</x:v>
      </x:c>
      <x:c r="E324" s="16" t="str">
        <x:v>М</x:v>
      </x:c>
      <x:c r="F324" s="21" t="n">
        <x:v>5</x:v>
      </x:c>
      <x:c r="G324" s="17" t="n">
        <x:v>915</x:v>
      </x:c>
      <x:c r="H324" s="17" t="n">
        <x:f>G324*F324</x:f>
        <x:v>4575</x:v>
      </x:c>
      <x:c r="I324" s="22" t="str">
        <x:f>HYPERLINK("https://etp-aktiv.ru/catalog/materialy/ehlektroizolyacionnye-materialy/2000533214-U117/","Открыть позицию")</x:f>
        <x:v>Открыть позицию</x:v>
      </x:c>
    </x:row>
    <x:row r="325" ht="28" customHeight="1">
      <x:c r="A325" s="16" t="str">
        <x:v>Приморская ГРЭС</x:v>
      </x:c>
      <x:c r="B325" s="16" t="str">
        <x:v>2000781186-U117</x:v>
      </x:c>
      <x:c r="C325" s="16" t="str">
        <x:v>ТРУБКА ТОПЛИВНАЯ 840.1112416-10 СБ</x:v>
      </x:c>
      <x:c r="D325" s="16" t="str">
        <x:v>Запасные части к карьерной технике Четра</x:v>
      </x:c>
      <x:c r="E325" s="16" t="str">
        <x:v>ШТ</x:v>
      </x:c>
      <x:c r="F325" s="21" t="n">
        <x:v>9</x:v>
      </x:c>
      <x:c r="G325" s="17" t="n">
        <x:v>1557.33</x:v>
      </x:c>
      <x:c r="H325" s="17" t="n">
        <x:f>G325*F325</x:f>
        <x:v>14015.97</x:v>
      </x:c>
      <x:c r="I325" s="22" t="str">
        <x:f>HYPERLINK("https://etp-aktiv.ru/catalog/materialy/zapasnye-chasti-k-dorozhno-stroitelnoj-tekhnike/2000781186-U117/","Открыть позицию")</x:f>
        <x:v>Открыть позицию</x:v>
      </x:c>
    </x:row>
    <x:row r="326" ht="28" customHeight="1">
      <x:c r="A326" s="16" t="str">
        <x:v>Приморская ГРЭС</x:v>
      </x:c>
      <x:c r="B326" s="16" t="str">
        <x:v>2000331566-U117</x:v>
      </x:c>
      <x:c r="C326" s="16" t="str">
        <x:v>ТРУБКА ТУТНГ 20/10 ЧЕРНЫЙ</x:v>
      </x:c>
      <x:c r="D326" s="16" t="str">
        <x:v>Электроизоляционные материалы</x:v>
      </x:c>
      <x:c r="E326" s="16" t="str">
        <x:v>М</x:v>
      </x:c>
      <x:c r="F326" s="21" t="n">
        <x:v>18</x:v>
      </x:c>
      <x:c r="G326" s="17" t="n">
        <x:v>24.973399999999998</x:v>
      </x:c>
      <x:c r="H326" s="17" t="n">
        <x:f>G326*F326</x:f>
        <x:v>449.52119999999996</x:v>
      </x:c>
      <x:c r="I326" s="22" t="str">
        <x:f>HYPERLINK("https://etp-aktiv.ru/catalog/materialy/ehlektroizolyacionnye-materialy/2000331566-U117/","Открыть позицию")</x:f>
        <x:v>Открыть позицию</x:v>
      </x:c>
    </x:row>
    <x:row r="327" ht="28" customHeight="1">
      <x:c r="A327" s="16" t="str">
        <x:v>Приморская ГРЭС</x:v>
      </x:c>
      <x:c r="B327" s="16" t="str">
        <x:v>2000331567-U117</x:v>
      </x:c>
      <x:c r="C327" s="16" t="str">
        <x:v>ТРУБКА ТУТНГ 40/20 ЧЕРНЫЙ</x:v>
      </x:c>
      <x:c r="D327" s="16" t="str">
        <x:v>Электроизоляционные материалы</x:v>
      </x:c>
      <x:c r="E327" s="16" t="str">
        <x:v>М</x:v>
      </x:c>
      <x:c r="F327" s="21" t="n">
        <x:v>15</x:v>
      </x:c>
      <x:c r="G327" s="17" t="n">
        <x:v>81.435</x:v>
      </x:c>
      <x:c r="H327" s="17" t="n">
        <x:f>G327*F327</x:f>
        <x:v>1221.525</x:v>
      </x:c>
      <x:c r="I327" s="22" t="str">
        <x:f>HYPERLINK("https://etp-aktiv.ru/catalog/materialy/ehlektroizolyacionnye-materialy/2000331567-U117/","Открыть позицию")</x:f>
        <x:v>Открыть позицию</x:v>
      </x:c>
    </x:row>
    <x:row r="328" ht="28" customHeight="1">
      <x:c r="A328" s="16" t="str">
        <x:v>Приморская ГРЭС</x:v>
      </x:c>
      <x:c r="B328" s="16" t="str">
        <x:v>2000479405-U117</x:v>
      </x:c>
      <x:c r="C328" s="16" t="str">
        <x:v>ТРУБКА ТУТНГ 5/2,5</x:v>
      </x:c>
      <x:c r="D328" s="16" t="str">
        <x:v>Электроизоляционные материалы</x:v>
      </x:c>
      <x:c r="E328" s="16" t="str">
        <x:v>М</x:v>
      </x:c>
      <x:c r="F328" s="21" t="n">
        <x:v>1</x:v>
      </x:c>
      <x:c r="G328" s="17" t="n">
        <x:v>6.283</x:v>
      </x:c>
      <x:c r="H328" s="17" t="n">
        <x:f>G328*F328</x:f>
        <x:v>6.283</x:v>
      </x:c>
      <x:c r="I328" s="22" t="str">
        <x:f>HYPERLINK("https://etp-aktiv.ru/catalog/materialy/ehlektroizolyacionnye-materialy/2000479405-U117/","Открыть позицию")</x:f>
        <x:v>Открыть позицию</x:v>
      </x:c>
    </x:row>
    <x:row r="329" ht="28" customHeight="1">
      <x:c r="A329" s="16" t="str">
        <x:v>Приморская ГРЭС</x:v>
      </x:c>
      <x:c r="B329" s="16" t="str">
        <x:v>2000142148-U117</x:v>
      </x:c>
      <x:c r="C329" s="16" t="str">
        <x:v>УГОЛЬНИК 90° PPRC DN20 PN20</x:v>
      </x:c>
      <x:c r="D329" s="16" t="str">
        <x:v>Фитинги труб полимерных</x:v>
      </x:c>
      <x:c r="E329" s="16" t="str">
        <x:v>ШТ</x:v>
      </x:c>
      <x:c r="F329" s="21" t="n">
        <x:v>10</x:v>
      </x:c>
      <x:c r="G329" s="17" t="n">
        <x:v>25.412599999999998</x:v>
      </x:c>
      <x:c r="H329" s="17" t="n">
        <x:f>G329*F329</x:f>
        <x:v>254.12599999999998</x:v>
      </x:c>
      <x:c r="I329" s="22" t="str">
        <x:f>HYPERLINK("https://etp-aktiv.ru/catalog/materialy/truboprovody/2000142148-U117/","Открыть позицию")</x:f>
        <x:v>Открыть позицию</x:v>
      </x:c>
    </x:row>
    <x:row r="330" ht="28" customHeight="1">
      <x:c r="A330" s="16" t="str">
        <x:v>Приморская ГРЭС</x:v>
      </x:c>
      <x:c r="B330" s="16" t="str">
        <x:v>2000156667-U117</x:v>
      </x:c>
      <x:c r="C330" s="16" t="str">
        <x:v>УГОЛЬНИК 90° PPRC DN25 PN20</x:v>
      </x:c>
      <x:c r="D330" s="16" t="str">
        <x:v>Фитинги труб полимерных</x:v>
      </x:c>
      <x:c r="E330" s="16" t="str">
        <x:v>ШТ</x:v>
      </x:c>
      <x:c r="F330" s="21" t="n">
        <x:v>10</x:v>
      </x:c>
      <x:c r="G330" s="17" t="n">
        <x:v>77.287</x:v>
      </x:c>
      <x:c r="H330" s="17" t="n">
        <x:f>G330*F330</x:f>
        <x:v>772.8700000000001</x:v>
      </x:c>
      <x:c r="I330" s="22" t="str">
        <x:f>HYPERLINK("https://etp-aktiv.ru/catalog/materialy/truboprovody/2000156667-U117/","Открыть позицию")</x:f>
        <x:v>Открыть позицию</x:v>
      </x:c>
    </x:row>
    <x:row r="331" ht="28" customHeight="1">
      <x:c r="A331" s="16" t="str">
        <x:v>Приморская ГРЭС</x:v>
      </x:c>
      <x:c r="B331" s="16" t="str">
        <x:v>2000331075-U117</x:v>
      </x:c>
      <x:c r="C331" s="16" t="str">
        <x:v>УГОЛЬНИК 90° PPRC DN40 PN20</x:v>
      </x:c>
      <x:c r="D331" s="16" t="str">
        <x:v>Фитинги труб полимерных</x:v>
      </x:c>
      <x:c r="E331" s="16" t="str">
        <x:v>ШТ</x:v>
      </x:c>
      <x:c r="F331" s="21" t="n">
        <x:v>10</x:v>
      </x:c>
      <x:c r="G331" s="17" t="n">
        <x:v>147.986</x:v>
      </x:c>
      <x:c r="H331" s="17" t="n">
        <x:f>G331*F331</x:f>
        <x:v>1479.86</x:v>
      </x:c>
      <x:c r="I331" s="22" t="str">
        <x:f>HYPERLINK("https://etp-aktiv.ru/catalog/materialy/truboprovody/2000331075-U117/","Открыть позицию")</x:f>
        <x:v>Открыть позицию</x:v>
      </x:c>
    </x:row>
    <x:row r="332" ht="28" customHeight="1">
      <x:c r="A332" s="16" t="str">
        <x:v>Приморская ГРЭС</x:v>
      </x:c>
      <x:c r="B332" s="16" t="str">
        <x:v>2000571151-U117</x:v>
      </x:c>
      <x:c r="C332" s="16" t="str">
        <x:v>УГОЛЬНИК PP-R 25*1/2" НР VTP.753.0.02504</x:v>
      </x:c>
      <x:c r="D332" s="16" t="str">
        <x:v>Фитинги труб полимерных</x:v>
      </x:c>
      <x:c r="E332" s="16" t="str">
        <x:v>ШТ</x:v>
      </x:c>
      <x:c r="F332" s="21" t="n">
        <x:v>26</x:v>
      </x:c>
      <x:c r="G332" s="17" t="n">
        <x:v>15.555</x:v>
      </x:c>
      <x:c r="H332" s="17" t="n">
        <x:f>G332*F332</x:f>
        <x:v>404.43</x:v>
      </x:c>
      <x:c r="I332" s="22" t="str">
        <x:f>HYPERLINK("https://etp-aktiv.ru/catalog/materialy/truboprovody/2000571151-U117/","Открыть позицию")</x:f>
        <x:v>Открыть позицию</x:v>
      </x:c>
    </x:row>
    <x:row r="333" ht="28" customHeight="1">
      <x:c r="A333" s="16" t="str">
        <x:v>Приморская ГРЭС</x:v>
      </x:c>
      <x:c r="B333" s="16" t="str">
        <x:v>2000729828-U117</x:v>
      </x:c>
      <x:c r="C333" s="16" t="str">
        <x:v>УГОЛЬНИК НПВХ 110*45 PN16 RDRGYD1100</x:v>
      </x:c>
      <x:c r="D333" s="16" t="str">
        <x:v>Фитинги труб полимерных</x:v>
      </x:c>
      <x:c r="E333" s="16" t="str">
        <x:v>ШТ</x:v>
      </x:c>
      <x:c r="F333" s="21" t="n">
        <x:v>16</x:v>
      </x:c>
      <x:c r="G333" s="17" t="n">
        <x:v>688.3118000000001</x:v>
      </x:c>
      <x:c r="H333" s="17" t="n">
        <x:f>G333*F333</x:f>
        <x:v>11012.988800000001</x:v>
      </x:c>
      <x:c r="I333" s="22" t="str">
        <x:f>HYPERLINK("https://etp-aktiv.ru/catalog/materialy/truboprovody/2000729828-U117/","Открыть позицию")</x:f>
        <x:v>Открыть позицию</x:v>
      </x:c>
    </x:row>
    <x:row r="334" ht="28" customHeight="1">
      <x:c r="A334" s="16" t="str">
        <x:v>Приморская ГРЭС</x:v>
      </x:c>
      <x:c r="B334" s="16" t="str">
        <x:v>2000729830-U117</x:v>
      </x:c>
      <x:c r="C334" s="16" t="str">
        <x:v>УГОЛЬНИК НПВХ 110*90 PN16 RDRCUD1100</x:v>
      </x:c>
      <x:c r="D334" s="16" t="str">
        <x:v>Фитинги труб полимерных</x:v>
      </x:c>
      <x:c r="E334" s="16" t="str">
        <x:v>ШТ</x:v>
      </x:c>
      <x:c r="F334" s="21" t="n">
        <x:v>7</x:v>
      </x:c>
      <x:c r="G334" s="17" t="n">
        <x:v>2739.7418</x:v>
      </x:c>
      <x:c r="H334" s="17" t="n">
        <x:f>G334*F334</x:f>
        <x:v>19178.1926</x:v>
      </x:c>
      <x:c r="I334" s="22" t="str">
        <x:f>HYPERLINK("https://etp-aktiv.ru/catalog/materialy/truboprovody/2000729830-U117/","Открыть позицию")</x:f>
        <x:v>Открыть позицию</x:v>
      </x:c>
    </x:row>
    <x:row r="335" ht="28" customHeight="1">
      <x:c r="A335" s="16" t="str">
        <x:v>Приморская ГРЭС</x:v>
      </x:c>
      <x:c r="B335" s="16" t="str">
        <x:v>2000731726-U117</x:v>
      </x:c>
      <x:c r="C335" s="16" t="str">
        <x:v>УГОЛЬНИК НПВХ 50*45 16 МУФТ RDRGYD0500</x:v>
      </x:c>
      <x:c r="D335" s="16" t="str">
        <x:v>Фитинги труб полимерных</x:v>
      </x:c>
      <x:c r="E335" s="16" t="str">
        <x:v>ШТ</x:v>
      </x:c>
      <x:c r="F335" s="21" t="n">
        <x:v>20</x:v>
      </x:c>
      <x:c r="G335" s="17" t="n">
        <x:v>74.6884</x:v>
      </x:c>
      <x:c r="H335" s="17" t="n">
        <x:f>G335*F335</x:f>
        <x:v>1493.768</x:v>
      </x:c>
      <x:c r="I335" s="22" t="str">
        <x:f>HYPERLINK("https://etp-aktiv.ru/catalog/materialy/truboprovody/2000731726-U117/","Открыть позицию")</x:f>
        <x:v>Открыть позицию</x:v>
      </x:c>
    </x:row>
    <x:row r="336" ht="28" customHeight="1">
      <x:c r="A336" s="16" t="str">
        <x:v>Приморская ГРЭС</x:v>
      </x:c>
      <x:c r="B336" s="16" t="str">
        <x:v>2000729823-U117</x:v>
      </x:c>
      <x:c r="C336" s="16" t="str">
        <x:v>УГОЛЬНИК НПВХ 50*90 PN16 RDRGOD0500</x:v>
      </x:c>
      <x:c r="D336" s="16" t="str">
        <x:v>Фитинги труб полимерных</x:v>
      </x:c>
      <x:c r="E336" s="16" t="str">
        <x:v>ШТ</x:v>
      </x:c>
      <x:c r="F336" s="21" t="n">
        <x:v>24</x:v>
      </x:c>
      <x:c r="G336" s="17" t="n">
        <x:v>71.98</x:v>
      </x:c>
      <x:c r="H336" s="17" t="n">
        <x:f>G336*F336</x:f>
        <x:v>1727.52</x:v>
      </x:c>
      <x:c r="I336" s="22" t="str">
        <x:f>HYPERLINK("https://etp-aktiv.ru/catalog/materialy/truboprovody/2000729823-U117/","Открыть позицию")</x:f>
        <x:v>Открыть позицию</x:v>
      </x:c>
    </x:row>
    <x:row r="337" ht="28" customHeight="1">
      <x:c r="A337" s="16" t="str">
        <x:v>Приморская ГРЭС</x:v>
      </x:c>
      <x:c r="B337" s="16" t="str">
        <x:v>2000729825-U117</x:v>
      </x:c>
      <x:c r="C337" s="16" t="str">
        <x:v>УГОЛЬНИК НПВХ 75*45 PN16 RDRGYD0750</x:v>
      </x:c>
      <x:c r="D337" s="16" t="str">
        <x:v>Фитинги труб полимерных</x:v>
      </x:c>
      <x:c r="E337" s="16" t="str">
        <x:v>ШТ</x:v>
      </x:c>
      <x:c r="F337" s="21" t="n">
        <x:v>20</x:v>
      </x:c>
      <x:c r="G337" s="17" t="n">
        <x:v>197.945</x:v>
      </x:c>
      <x:c r="H337" s="17" t="n">
        <x:f>G337*F337</x:f>
        <x:v>3958.8999999999996</x:v>
      </x:c>
      <x:c r="I337" s="22" t="str">
        <x:f>HYPERLINK("https://etp-aktiv.ru/catalog/materialy/truboprovody/2000729825-U117/","Открыть позицию")</x:f>
        <x:v>Открыть позицию</x:v>
      </x:c>
    </x:row>
    <x:row r="338" ht="28" customHeight="1">
      <x:c r="A338" s="16" t="str">
        <x:v>Приморская ГРЭС</x:v>
      </x:c>
      <x:c r="B338" s="16" t="str">
        <x:v>2000729827-U117</x:v>
      </x:c>
      <x:c r="C338" s="16" t="str">
        <x:v>УГОЛЬНИК НПВХ 75*90 PN16 RDRCUD0750</x:v>
      </x:c>
      <x:c r="D338" s="16" t="str">
        <x:v>Фитинги труб полимерных</x:v>
      </x:c>
      <x:c r="E338" s="16" t="str">
        <x:v>ШТ</x:v>
      </x:c>
      <x:c r="F338" s="21" t="n">
        <x:v>15</x:v>
      </x:c>
      <x:c r="G338" s="17" t="n">
        <x:v>1079.7</x:v>
      </x:c>
      <x:c r="H338" s="17" t="n">
        <x:f>G338*F338</x:f>
        <x:v>16195.5</x:v>
      </x:c>
      <x:c r="I338" s="22" t="str">
        <x:f>HYPERLINK("https://etp-aktiv.ru/catalog/materialy/truboprovody/2000729827-U117/","Открыть позицию")</x:f>
        <x:v>Открыть позицию</x:v>
      </x:c>
    </x:row>
    <x:row r="339" ht="28" customHeight="1">
      <x:c r="A339" s="16" t="str">
        <x:v>Приморская ГРЭС</x:v>
      </x:c>
      <x:c r="B339" s="16" t="str">
        <x:v>2000526777-U117</x:v>
      </x:c>
      <x:c r="C339" s="16" t="str">
        <x:v>УКАЗАТЕЛЬ УРОВНЯ 12КЧ11БК DN20 PN25</x:v>
      </x:c>
      <x:c r="D339" s="16" t="str">
        <x:v>Запасные части к трубопроводной арматуре</x:v>
      </x:c>
      <x:c r="E339" s="16" t="str">
        <x:v>ШТ</x:v>
      </x:c>
      <x:c r="F339" s="21" t="n">
        <x:v>2</x:v>
      </x:c>
      <x:c r="G339" s="17" t="n">
        <x:v>12352.5</x:v>
      </x:c>
      <x:c r="H339" s="17" t="n">
        <x:f>G339*F339</x:f>
        <x:v>24705</x:v>
      </x:c>
      <x:c r="I339" s="22" t="str">
        <x:f>HYPERLINK("https://etp-aktiv.ru/catalog/materialy/truboprovodnaya-armatura-i-komplektuyushchie/2000526777-U117/","Открыть позицию")</x:f>
        <x:v>Открыть позицию</x:v>
      </x:c>
    </x:row>
    <x:row r="340" ht="28" customHeight="1">
      <x:c r="A340" s="16" t="str">
        <x:v>Приморская ГРЭС</x:v>
      </x:c>
      <x:c r="B340" s="16" t="str">
        <x:v>2000840550-U117</x:v>
      </x:c>
      <x:c r="C340" s="16" t="str">
        <x:v>ФИЛЬТР СЕТЧАТЫЙ ФС-IV-100-10-08-С-У</x:v>
      </x:c>
      <x:c r="D340" s="16" t="str">
        <x:v>Прочая арматура</x:v>
      </x:c>
      <x:c r="E340" s="16" t="str">
        <x:v>ШТ</x:v>
      </x:c>
      <x:c r="F340" s="21" t="n">
        <x:v>2</x:v>
      </x:c>
      <x:c r="G340" s="17" t="n">
        <x:v>6293.6872</x:v>
      </x:c>
      <x:c r="H340" s="17" t="n">
        <x:f>G340*F340</x:f>
        <x:v>12587.3744</x:v>
      </x:c>
      <x:c r="I340" s="22" t="str">
        <x:f>HYPERLINK("https://etp-aktiv.ru/catalog/materialy/truboprovodnaya-armatura-i-komplektuyushchie/2000840550-U117/","Открыть позицию")</x:f>
        <x:v>Открыть позицию</x:v>
      </x:c>
    </x:row>
    <x:row r="341" ht="28" customHeight="1">
      <x:c r="A341" s="16" t="str">
        <x:v>Приморская ГРЭС</x:v>
      </x:c>
      <x:c r="B341" s="16" t="str">
        <x:v>2000480945-U117</x:v>
      </x:c>
      <x:c r="C341" s="16" t="str">
        <x:v>ФЛАНЕЦ 09Г2С DN800 PN10 ИСП1 ГОСТ12820</x:v>
      </x:c>
      <x:c r="D341" s="16" t="str">
        <x:v>Детали фасонные</x:v>
      </x:c>
      <x:c r="E341" s="16" t="str">
        <x:v>ШТ</x:v>
      </x:c>
      <x:c r="F341" s="21" t="n">
        <x:v>1</x:v>
      </x:c>
      <x:c r="G341" s="17" t="n">
        <x:v>34466.769</x:v>
      </x:c>
      <x:c r="H341" s="17" t="n">
        <x:f>G341*F341</x:f>
        <x:v>34466.769</x:v>
      </x:c>
      <x:c r="I341" s="22" t="str">
        <x:f>HYPERLINK("https://etp-aktiv.ru/catalog/materialy/truboprovody/2000480945-U117/","Открыть позицию")</x:f>
        <x:v>Открыть позицию</x:v>
      </x:c>
    </x:row>
    <x:row r="342" ht="28" customHeight="1">
      <x:c r="A342" s="16" t="str">
        <x:v>Приморская ГРЭС</x:v>
      </x:c>
      <x:c r="B342" s="16" t="str">
        <x:v>2000748893-U117</x:v>
      </x:c>
      <x:c r="C342" s="16" t="str">
        <x:v>ФЛАНЕЦ 12Х18Н10Т DN80 PN10 1 ГОСТ33259</x:v>
      </x:c>
      <x:c r="D342" s="16" t="str">
        <x:v>Детали фасонные</x:v>
      </x:c>
      <x:c r="E342" s="16" t="str">
        <x:v>ШТ</x:v>
      </x:c>
      <x:c r="F342" s="21" t="n">
        <x:v>4</x:v>
      </x:c>
      <x:c r="G342" s="17" t="n">
        <x:v>3520.615</x:v>
      </x:c>
      <x:c r="H342" s="17" t="n">
        <x:f>G342*F342</x:f>
        <x:v>14082.46</x:v>
      </x:c>
      <x:c r="I342" s="22" t="str">
        <x:f>HYPERLINK("https://etp-aktiv.ru/catalog/materialy/truboprovody/2000748893-U117/","Открыть позицию")</x:f>
        <x:v>Открыть позицию</x:v>
      </x:c>
    </x:row>
    <x:row r="343" ht="28" customHeight="1">
      <x:c r="A343" s="16" t="str">
        <x:v>Приморская ГРЭС</x:v>
      </x:c>
      <x:c r="B343" s="16" t="str">
        <x:v>2000730869-U117</x:v>
      </x:c>
      <x:c r="C343" s="16" t="str">
        <x:v>ФЛАНЕЦ НПВХ 50 16 PVC-U ФЛ RDRFFD0500</x:v>
      </x:c>
      <x:c r="D343" s="16" t="str">
        <x:v>Фитинги труб полимерных</x:v>
      </x:c>
      <x:c r="E343" s="16" t="str">
        <x:v>ШТ</x:v>
      </x:c>
      <x:c r="F343" s="21" t="n">
        <x:v>25</x:v>
      </x:c>
      <x:c r="G343" s="17" t="n">
        <x:v>274.4268</x:v>
      </x:c>
      <x:c r="H343" s="17" t="n">
        <x:f>G343*F343</x:f>
        <x:v>6860.67</x:v>
      </x:c>
      <x:c r="I343" s="22" t="str">
        <x:f>HYPERLINK("https://etp-aktiv.ru/catalog/materialy/truboprovody/2000730869-U117/","Открыть позицию")</x:f>
        <x:v>Открыть позицию</x:v>
      </x:c>
    </x:row>
    <x:row r="344" ht="28" customHeight="1">
      <x:c r="A344" s="16" t="str">
        <x:v>Приморская ГРЭС</x:v>
      </x:c>
      <x:c r="B344" s="16" t="str">
        <x:v>2000729791-U117</x:v>
      </x:c>
      <x:c r="C344" s="16" t="str">
        <x:v>ФЛАНЕЦ НПВХ D110 PN16 RDRFFD1100</x:v>
      </x:c>
      <x:c r="D344" s="16" t="str">
        <x:v>Фитинги труб полимерных</x:v>
      </x:c>
      <x:c r="E344" s="16" t="str">
        <x:v>ШТ</x:v>
      </x:c>
      <x:c r="F344" s="21" t="n">
        <x:v>28</x:v>
      </x:c>
      <x:c r="G344" s="17" t="n">
        <x:v>652.2242</x:v>
      </x:c>
      <x:c r="H344" s="17" t="n">
        <x:f>G344*F344</x:f>
        <x:v>18262.2776</x:v>
      </x:c>
      <x:c r="I344" s="22" t="str">
        <x:f>HYPERLINK("https://etp-aktiv.ru/catalog/materialy/truboprovody/2000729791-U117/","Открыть позицию")</x:f>
        <x:v>Открыть позицию</x:v>
      </x:c>
    </x:row>
    <x:row r="345" ht="28" customHeight="1">
      <x:c r="A345" s="16" t="str">
        <x:v>Приморская ГРЭС</x:v>
      </x:c>
      <x:c r="B345" s="16" t="str">
        <x:v>2000729790-U117</x:v>
      </x:c>
      <x:c r="C345" s="16" t="str">
        <x:v>ФЛАНЕЦ НПВХ D75 PN16 RDRFFD0750</x:v>
      </x:c>
      <x:c r="D345" s="16" t="str">
        <x:v>Фитинги труб полимерных</x:v>
      </x:c>
      <x:c r="E345" s="16" t="str">
        <x:v>ШТ</x:v>
      </x:c>
      <x:c r="F345" s="21" t="n">
        <x:v>40</x:v>
      </x:c>
      <x:c r="G345" s="17" t="n">
        <x:v>337.40319999999997</x:v>
      </x:c>
      <x:c r="H345" s="17" t="n">
        <x:f>G345*F345</x:f>
        <x:v>13496.127999999999</x:v>
      </x:c>
      <x:c r="I345" s="22" t="str">
        <x:f>HYPERLINK("https://etp-aktiv.ru/catalog/materialy/truboprovody/2000729790-U117/","Открыть позицию")</x:f>
        <x:v>Открыть позицию</x:v>
      </x:c>
    </x:row>
    <x:row r="346" ht="28" customHeight="1">
      <x:c r="A346" s="16" t="str">
        <x:v>Приморская ГРЭС</x:v>
      </x:c>
      <x:c r="B346" s="16" t="str">
        <x:v>2000474746-U117</x:v>
      </x:c>
      <x:c r="C346" s="16" t="str">
        <x:v>ФЛАНЕЦ ПЭ100 DN225 PN10</x:v>
      </x:c>
      <x:c r="D346" s="16" t="str">
        <x:v>Детали фасонные</x:v>
      </x:c>
      <x:c r="E346" s="16" t="str">
        <x:v>ШТ</x:v>
      </x:c>
      <x:c r="F346" s="21" t="n">
        <x:v>24</x:v>
      </x:c>
      <x:c r="G346" s="17" t="n">
        <x:v>2110.1608</x:v>
      </x:c>
      <x:c r="H346" s="17" t="n">
        <x:f>G346*F346</x:f>
        <x:v>50643.859200000006</x:v>
      </x:c>
      <x:c r="I346" s="22" t="str">
        <x:f>HYPERLINK("https://etp-aktiv.ru/catalog/materialy/truboprovody/2000474746-U117/","Открыть позицию")</x:f>
        <x:v>Открыть позицию</x:v>
      </x:c>
    </x:row>
    <x:row r="347" ht="28" customHeight="1">
      <x:c r="A347" s="16" t="str">
        <x:v>Приморская ГРЭС</x:v>
      </x:c>
      <x:c r="B347" s="16" t="str">
        <x:v>2000009578-U117</x:v>
      </x:c>
      <x:c r="C347" s="16" t="str">
        <x:v>ФЛАНЕЦ СТ DN250 PN16 ПЛОСК ГОСТ12820-81</x:v>
      </x:c>
      <x:c r="D347" s="16" t="str">
        <x:v>Детали фасонные</x:v>
      </x:c>
      <x:c r="E347" s="16" t="str">
        <x:v>ШТ</x:v>
      </x:c>
      <x:c r="F347" s="21" t="n">
        <x:v>2</x:v>
      </x:c>
      <x:c r="G347" s="17" t="n">
        <x:v>2450.004</x:v>
      </x:c>
      <x:c r="H347" s="17" t="n">
        <x:f>G347*F347</x:f>
        <x:v>4900.008</x:v>
      </x:c>
      <x:c r="I347" s="22" t="str">
        <x:f>HYPERLINK("https://etp-aktiv.ru/catalog/materialy/truboprovody/2000009578-U117/","Открыть позицию")</x:f>
        <x:v>Открыть позицию</x:v>
      </x:c>
    </x:row>
    <x:row r="348" ht="28" customHeight="1">
      <x:c r="A348" s="16" t="str">
        <x:v>Приморская ГРЭС</x:v>
      </x:c>
      <x:c r="B348" s="16" t="str">
        <x:v>2000840046-U117</x:v>
      </x:c>
      <x:c r="C348" s="16" t="str">
        <x:v>ФЛАНЕЦ СТ20 100-16-11-1-B ГОСТ33259</x:v>
      </x:c>
      <x:c r="D348" s="16" t="str">
        <x:v>Детали фасонные</x:v>
      </x:c>
      <x:c r="E348" s="16" t="str">
        <x:v>ШТ</x:v>
      </x:c>
      <x:c r="F348" s="21" t="n">
        <x:v>12</x:v>
      </x:c>
      <x:c r="G348" s="17" t="n">
        <x:v>1579.8999999999999</x:v>
      </x:c>
      <x:c r="H348" s="17" t="n">
        <x:f>G348*F348</x:f>
        <x:v>18958.8</x:v>
      </x:c>
      <x:c r="I348" s="22" t="str">
        <x:f>HYPERLINK("https://etp-aktiv.ru/catalog/materialy/truboprovody/2000840046-U117/","Открыть позицию")</x:f>
        <x:v>Открыть позицию</x:v>
      </x:c>
    </x:row>
    <x:row r="349" ht="28" customHeight="1">
      <x:c r="A349" s="16" t="str">
        <x:v>Приморская ГРЭС</x:v>
      </x:c>
      <x:c r="B349" s="16" t="str">
        <x:v>2000554672-U117</x:v>
      </x:c>
      <x:c r="C349" s="16" t="str">
        <x:v>ФЛАНЕЦ СТ20 DN100 PN25 ИСП.1 ГОСТ33259</x:v>
      </x:c>
      <x:c r="D349" s="16" t="str">
        <x:v>Детали фасонные</x:v>
      </x:c>
      <x:c r="E349" s="16" t="str">
        <x:v>ШТ</x:v>
      </x:c>
      <x:c r="F349" s="21" t="n">
        <x:v>2</x:v>
      </x:c>
      <x:c r="G349" s="17" t="n">
        <x:v>1899.54</x:v>
      </x:c>
      <x:c r="H349" s="17" t="n">
        <x:f>G349*F349</x:f>
        <x:v>3799.08</x:v>
      </x:c>
      <x:c r="I349" s="22" t="str">
        <x:f>HYPERLINK("https://etp-aktiv.ru/catalog/materialy/truboprovody/2000554672-U117/","Открыть позицию")</x:f>
        <x:v>Открыть позицию</x:v>
      </x:c>
    </x:row>
    <x:row r="350" ht="28" customHeight="1">
      <x:c r="A350" s="16" t="str">
        <x:v>Приморская ГРЭС</x:v>
      </x:c>
      <x:c r="B350" s="16" t="str">
        <x:v>2000157833-U117</x:v>
      </x:c>
      <x:c r="C350" s="16" t="str">
        <x:v>ФЛАНЕЦ СТ20 DN150 PN25 ИСП1 ГОСТ12820-80</x:v>
      </x:c>
      <x:c r="D350" s="16" t="str">
        <x:v>Детали фасонные</x:v>
      </x:c>
      <x:c r="E350" s="16" t="str">
        <x:v>ШТ</x:v>
      </x:c>
      <x:c r="F350" s="21" t="n">
        <x:v>2</x:v>
      </x:c>
      <x:c r="G350" s="17" t="n">
        <x:v>2772.145</x:v>
      </x:c>
      <x:c r="H350" s="17" t="n">
        <x:f>G350*F350</x:f>
        <x:v>5544.29</x:v>
      </x:c>
      <x:c r="I350" s="22" t="str">
        <x:f>HYPERLINK("https://etp-aktiv.ru/catalog/materialy/truboprovody/2000157833-U117/","Открыть позицию")</x:f>
        <x:v>Открыть позицию</x:v>
      </x:c>
    </x:row>
    <x:row r="351" ht="28" customHeight="1">
      <x:c r="A351" s="16" t="str">
        <x:v>Приморская ГРЭС</x:v>
      </x:c>
      <x:c r="B351" s="16" t="str">
        <x:v>2000571017-U117</x:v>
      </x:c>
      <x:c r="C351" s="16" t="str">
        <x:v>ФЛАНЕЦ СТ20 DN150 PN6 01-1-B-IV 33259-15</x:v>
      </x:c>
      <x:c r="D351" s="16" t="str">
        <x:v>Детали фасонные</x:v>
      </x:c>
      <x:c r="E351" s="16" t="str">
        <x:v>ШТ</x:v>
      </x:c>
      <x:c r="F351" s="21" t="n">
        <x:v>1</x:v>
      </x:c>
      <x:c r="G351" s="17" t="n">
        <x:v>1364.875</x:v>
      </x:c>
      <x:c r="H351" s="17" t="n">
        <x:f>G351*F351</x:f>
        <x:v>1364.875</x:v>
      </x:c>
      <x:c r="I351" s="22" t="str">
        <x:f>HYPERLINK("https://etp-aktiv.ru/catalog/materialy/truboprovody/2000571017-U117/","Открыть позицию")</x:f>
        <x:v>Открыть позицию</x:v>
      </x:c>
    </x:row>
    <x:row r="352" ht="28" customHeight="1">
      <x:c r="A352" s="16" t="str">
        <x:v>Приморская ГРЭС</x:v>
      </x:c>
      <x:c r="B352" s="16" t="str">
        <x:v>2000554666-U117</x:v>
      </x:c>
      <x:c r="C352" s="16" t="str">
        <x:v>ФЛАНЕЦ СТ20 DN250 PN16 ИСП.1 ГОСТ12821</x:v>
      </x:c>
      <x:c r="D352" s="16" t="str">
        <x:v>Детали фасонные</x:v>
      </x:c>
      <x:c r="E352" s="16" t="str">
        <x:v>ШТ</x:v>
      </x:c>
      <x:c r="F352" s="21" t="n">
        <x:v>4</x:v>
      </x:c>
      <x:c r="G352" s="17" t="n">
        <x:v>2450.004</x:v>
      </x:c>
      <x:c r="H352" s="17" t="n">
        <x:f>G352*F352</x:f>
        <x:v>9800.016</x:v>
      </x:c>
      <x:c r="I352" s="22" t="str">
        <x:f>HYPERLINK("https://etp-aktiv.ru/catalog/materialy/truboprovody/2000554666-U117/","Открыть позицию")</x:f>
        <x:v>Открыть позицию</x:v>
      </x:c>
    </x:row>
    <x:row r="353" ht="28" customHeight="1">
      <x:c r="A353" s="16" t="str">
        <x:v>Приморская ГРЭС</x:v>
      </x:c>
      <x:c r="B353" s="16" t="str">
        <x:v>2000151863-U117</x:v>
      </x:c>
      <x:c r="C353" s="16" t="str">
        <x:v>ФЛАНЕЦ СТ20 DN300 PN10</x:v>
      </x:c>
      <x:c r="D353" s="16" t="str">
        <x:v>Детали фасонные</x:v>
      </x:c>
      <x:c r="E353" s="16" t="str">
        <x:v>ШТ</x:v>
      </x:c>
      <x:c r="F353" s="21" t="n">
        <x:v>8</x:v>
      </x:c>
      <x:c r="G353" s="17" t="n">
        <x:v>3355</x:v>
      </x:c>
      <x:c r="H353" s="17" t="n">
        <x:f>G353*F353</x:f>
        <x:v>26840</x:v>
      </x:c>
      <x:c r="I353" s="22" t="str">
        <x:f>HYPERLINK("https://etp-aktiv.ru/catalog/materialy/truboprovody/2000151863-U117/","Открыть позицию")</x:f>
        <x:v>Открыть позицию</x:v>
      </x:c>
    </x:row>
    <x:row r="354" ht="28" customHeight="1">
      <x:c r="A354" s="16" t="str">
        <x:v>Приморская ГРЭС</x:v>
      </x:c>
      <x:c r="B354" s="16" t="str">
        <x:v>2000165272-U117</x:v>
      </x:c>
      <x:c r="C354" s="16" t="str">
        <x:v>ФЛАНЕЦ СТ20 DN50 PN16 ИСП1 ГОСТ12821-80</x:v>
      </x:c>
      <x:c r="D354" s="16" t="str">
        <x:v>Детали фасонные</x:v>
      </x:c>
      <x:c r="E354" s="16" t="str">
        <x:v>ШТ</x:v>
      </x:c>
      <x:c r="F354" s="21" t="n">
        <x:v>4</x:v>
      </x:c>
      <x:c r="G354" s="17" t="n">
        <x:v>727.425</x:v>
      </x:c>
      <x:c r="H354" s="17" t="n">
        <x:f>G354*F354</x:f>
        <x:v>2909.7</x:v>
      </x:c>
      <x:c r="I354" s="22" t="str">
        <x:f>HYPERLINK("https://etp-aktiv.ru/catalog/materialy/truboprovody/2000165272-U117/","Открыть позицию")</x:f>
        <x:v>Открыть позицию</x:v>
      </x:c>
    </x:row>
    <x:row r="355" ht="28" customHeight="1">
      <x:c r="A355" s="16" t="str">
        <x:v>Приморская ГРЭС</x:v>
      </x:c>
      <x:c r="B355" s="16" t="str">
        <x:v>2000554784-U117</x:v>
      </x:c>
      <x:c r="C355" s="16" t="str">
        <x:v>ФЛАНЕЦ СТ20 DN80 PN1,6 ИСП.1 ГОСТ12820</x:v>
      </x:c>
      <x:c r="D355" s="16" t="str">
        <x:v>Детали фасонные</x:v>
      </x:c>
      <x:c r="E355" s="16" t="str">
        <x:v>ШТ</x:v>
      </x:c>
      <x:c r="F355" s="21" t="n">
        <x:v>24</x:v>
      </x:c>
      <x:c r="G355" s="17" t="n">
        <x:v>529.1872</x:v>
      </x:c>
      <x:c r="H355" s="17" t="n">
        <x:f>G355*F355</x:f>
        <x:v>12700.4928</x:v>
      </x:c>
      <x:c r="I355" s="22" t="str">
        <x:f>HYPERLINK("https://etp-aktiv.ru/catalog/materialy/truboprovody/2000554784-U117/","Открыть позицию")</x:f>
        <x:v>Открыть позицию</x:v>
      </x:c>
    </x:row>
    <x:row r="356" ht="28" customHeight="1">
      <x:c r="A356" s="16" t="str">
        <x:v>Приморская ГРЭС</x:v>
      </x:c>
      <x:c r="B356" s="16" t="str">
        <x:v>2000554861-U117</x:v>
      </x:c>
      <x:c r="C356" s="16" t="str">
        <x:v>ФЛАНЕЦ СТ20 DN80 PN16 01-1-B ГОСТ33259</x:v>
      </x:c>
      <x:c r="D356" s="16" t="str">
        <x:v>Детали фасонные</x:v>
      </x:c>
      <x:c r="E356" s="16" t="str">
        <x:v>ШТ</x:v>
      </x:c>
      <x:c r="F356" s="21" t="n">
        <x:v>4</x:v>
      </x:c>
      <x:c r="G356" s="17" t="n">
        <x:v>738.9906</x:v>
      </x:c>
      <x:c r="H356" s="17" t="n">
        <x:f>G356*F356</x:f>
        <x:v>2955.9624</x:v>
      </x:c>
      <x:c r="I356" s="22" t="str">
        <x:f>HYPERLINK("https://etp-aktiv.ru/catalog/materialy/truboprovody/2000554861-U117/","Открыть позицию")</x:f>
        <x:v>Открыть позицию</x:v>
      </x:c>
    </x:row>
    <x:row r="357" ht="28" customHeight="1">
      <x:c r="A357" s="16" t="str">
        <x:v>Приморская ГРЭС</x:v>
      </x:c>
      <x:c r="B357" s="16" t="str">
        <x:v>2000726324-U117</x:v>
      </x:c>
      <x:c r="C357" s="16" t="str">
        <x:v>ХОМУТ ЧЕРВЯЧНЫЙ 60-80/9S NORMA</x:v>
      </x:c>
      <x:c r="D357" s="16" t="str">
        <x:v>Линейно-подвесная арматура</x:v>
      </x:c>
      <x:c r="E357" s="16" t="str">
        <x:v>ШТ</x:v>
      </x:c>
      <x:c r="F357" s="21" t="n">
        <x:v>30</x:v>
      </x:c>
      <x:c r="G357" s="17" t="n">
        <x:v>9.7356</x:v>
      </x:c>
      <x:c r="H357" s="17" t="n">
        <x:f>G357*F357</x:f>
        <x:v>292.068</x:v>
      </x:c>
      <x:c r="I357" s="22" t="str">
        <x:f>HYPERLINK("https://etp-aktiv.ru/catalog/materialy/ehlektrotekhnicheskie-materialy/2000726324-U117/","Открыть позицию")</x:f>
        <x:v>Открыть позицию</x:v>
      </x:c>
    </x:row>
    <x:row r="358" ht="28" customHeight="1">
      <x:c r="A358" s="16" t="str">
        <x:v>Приморская ГРЭС</x:v>
      </x:c>
      <x:c r="B358" s="16" t="str">
        <x:v>2000716922-U117</x:v>
      </x:c>
      <x:c r="C358" s="16" t="str">
        <x:v>ШПИНДЕЛЬ ЗАДВИЖКА 1120-100-Э 1123-100-5</x:v>
      </x:c>
      <x:c r="D358" s="16" t="str">
        <x:v>Запасные части к трубопроводной арматуре</x:v>
      </x:c>
      <x:c r="E358" s="16" t="str">
        <x:v>ШТ</x:v>
      </x:c>
      <x:c r="F358" s="21" t="n">
        <x:v>11</x:v>
      </x:c>
      <x:c r="G358" s="17" t="n">
        <x:v>19410.980799999998</x:v>
      </x:c>
      <x:c r="H358" s="17" t="n">
        <x:f>G358*F358</x:f>
        <x:v>213520.78879999998</x:v>
      </x:c>
      <x:c r="I358" s="22" t="str">
        <x:f>HYPERLINK("https://etp-aktiv.ru/catalog/materialy/truboprovodnaya-armatura-i-komplektuyushchie/2000716922-U117/","Открыть позицию")</x:f>
        <x:v>Открыть позицию</x:v>
      </x:c>
    </x:row>
    <x:row r="359" ht="28" customHeight="1">
      <x:c r="A359" s="16" t="str">
        <x:v>Приморская ГРЭС</x:v>
      </x:c>
      <x:c r="B359" s="16" t="str">
        <x:v>2000140224-U117</x:v>
      </x:c>
      <x:c r="C359" s="16" t="str">
        <x:v>ШТОК 589-10-0</x:v>
      </x:c>
      <x:c r="D359" s="16" t="str">
        <x:v>Запасные части к трубопроводной арматуре</x:v>
      </x:c>
      <x:c r="E359" s="16" t="str">
        <x:v>ШТ</x:v>
      </x:c>
      <x:c r="F359" s="21" t="n">
        <x:v>12</x:v>
      </x:c>
      <x:c r="G359" s="17" t="n">
        <x:v>593.957</x:v>
      </x:c>
      <x:c r="H359" s="17" t="n">
        <x:f>G359*F359</x:f>
        <x:v>7127.484</x:v>
      </x:c>
      <x:c r="I359" s="22" t="str">
        <x:f>HYPERLINK("https://etp-aktiv.ru/catalog/materialy/truboprovodnaya-armatura-i-komplektuyushchie/2000140224-U117/","Открыть позицию")</x:f>
        <x:v>Открыть позицию</x:v>
      </x:c>
    </x:row>
    <x:row r="360" ht="28" customHeight="1">
      <x:c r="A360" s="16" t="str">
        <x:v>Приморская ГРЭС</x:v>
      </x:c>
      <x:c r="B360" s="16" t="str">
        <x:v>2000526659-U117</x:v>
      </x:c>
      <x:c r="C360" s="16" t="str">
        <x:v>ШТОК 999-20-2</x:v>
      </x:c>
      <x:c r="D360" s="16" t="str">
        <x:v>Запасные части к трубопроводной арматуре</x:v>
      </x:c>
      <x:c r="E360" s="16" t="str">
        <x:v>ШТ</x:v>
      </x:c>
      <x:c r="F360" s="21" t="n">
        <x:v>25</x:v>
      </x:c>
      <x:c r="G360" s="17" t="n">
        <x:v>1390.8</x:v>
      </x:c>
      <x:c r="H360" s="17" t="n">
        <x:f>G360*F360</x:f>
        <x:v>34770</x:v>
      </x:c>
      <x:c r="I360" s="22" t="str">
        <x:f>HYPERLINK("https://etp-aktiv.ru/catalog/materialy/truboprovodnaya-armatura-i-komplektuyushchie/2000526659-U117/","Открыть позицию")</x:f>
        <x:v>Открыть позицию</x:v>
      </x:c>
    </x:row>
    <x:row r="361" ht="28" customHeight="1">
      <x:c r="A361" s="16" t="str">
        <x:v>Приморская ГРЭС</x:v>
      </x:c>
      <x:c r="B361" s="16" t="str">
        <x:v>2000725217-U117</x:v>
      </x:c>
      <x:c r="C361" s="16" t="str">
        <x:v>ШТОК ПГ.П.020.1.04.622.00 998-20-0</x:v>
      </x:c>
      <x:c r="D361" s="16" t="str">
        <x:v>Запасные части к трубопроводной арматуре</x:v>
      </x:c>
      <x:c r="E361" s="16" t="str">
        <x:v>ШТ</x:v>
      </x:c>
      <x:c r="F361" s="21" t="n">
        <x:v>6</x:v>
      </x:c>
      <x:c r="G361" s="17" t="n">
        <x:v>1390.8</x:v>
      </x:c>
      <x:c r="H361" s="17" t="n">
        <x:f>G361*F361</x:f>
        <x:v>8344.8</x:v>
      </x:c>
      <x:c r="I361" s="22" t="str">
        <x:f>HYPERLINK("https://etp-aktiv.ru/catalog/materialy/truboprovodnaya-armatura-i-komplektuyushchie/2000725217-U117/","Открыть позицию")</x:f>
        <x:v>Открыть позицию</x:v>
      </x:c>
    </x:row>
    <x:row r="362" ht="28" customHeight="1">
      <x:c r="A362" s="16" t="str">
        <x:v>Приморская ГРЭС</x:v>
      </x:c>
      <x:c r="B362" s="16" t="str">
        <x:v>2000920377-U117</x:v>
      </x:c>
      <x:c r="C362" s="16" t="str">
        <x:v>ШТУЦЕР 28 56 12Х1МФ ЛМИС-000.001.001</x:v>
      </x:c>
      <x:c r="D362" s="16" t="str">
        <x:v>Трубопроводы и элементы трубопроводов высокого давления</x:v>
      </x:c>
      <x:c r="E362" s="16" t="str">
        <x:v>ШТ</x:v>
      </x:c>
      <x:c r="F362" s="21" t="n">
        <x:v>15</x:v>
      </x:c>
      <x:c r="G362" s="17" t="n">
        <x:v>4033.9422</x:v>
      </x:c>
      <x:c r="H362" s="17" t="n">
        <x:f>G362*F362</x:f>
        <x:v>60509.133</x:v>
      </x:c>
      <x:c r="I362" s="22" t="str">
        <x:f>HYPERLINK("https://etp-aktiv.ru/catalog/materialy/truboprovody/2000920377-U117/","Открыть позицию")</x:f>
        <x:v>Открыть позицию</x:v>
      </x:c>
    </x:row>
    <x:row r="363" ht="28" customHeight="1">
      <x:c r="A363" s="16" t="str">
        <x:v>Приморская ГРЭС</x:v>
      </x:c>
      <x:c r="B363" s="16" t="str">
        <x:v>2000559243-U117</x:v>
      </x:c>
      <x:c r="C363" s="16" t="str">
        <x:v>ШТУЦЕР 28*5 12Х1МФ 06 СТО ЦКТИ 462.05</x:v>
      </x:c>
      <x:c r="D363" s="16" t="str">
        <x:v>Трубопроводы и элементы трубопроводов высокого давления</x:v>
      </x:c>
      <x:c r="E363" s="16" t="str">
        <x:v>ШТ</x:v>
      </x:c>
      <x:c r="F363" s="21" t="n">
        <x:v>8</x:v>
      </x:c>
      <x:c r="G363" s="17" t="n">
        <x:v>9150</x:v>
      </x:c>
      <x:c r="H363" s="17" t="n">
        <x:f>G363*F363</x:f>
        <x:v>73200</x:v>
      </x:c>
      <x:c r="I363" s="22" t="str">
        <x:f>HYPERLINK("https://etp-aktiv.ru/catalog/materialy/truboprovody/2000559243-U117/","Открыть позицию")</x:f>
        <x:v>Открыть позицию</x:v>
      </x:c>
    </x:row>
    <x:row r="364" ht="28" customHeight="1">
      <x:c r="A364" s="16" t="str">
        <x:v>Приморская ГРЭС</x:v>
      </x:c>
      <x:c r="B364" s="16" t="str">
        <x:v>2000920264-U117</x:v>
      </x:c>
      <x:c r="C364" s="16" t="str">
        <x:v>ШТУЦЕР DN32 60 12Х1МФ ЛМИС-000.004.001</x:v>
      </x:c>
      <x:c r="D364" s="16" t="str">
        <x:v>Трубопроводы и элементы трубопроводов высокого давления</x:v>
      </x:c>
      <x:c r="E364" s="16" t="str">
        <x:v>ШТ</x:v>
      </x:c>
      <x:c r="F364" s="21" t="n">
        <x:v>679</x:v>
      </x:c>
      <x:c r="G364" s="17" t="n">
        <x:v>1784.0669999999998</x:v>
      </x:c>
      <x:c r="H364" s="17" t="n">
        <x:f>G364*F364</x:f>
        <x:v>1211381.4929999998</x:v>
      </x:c>
      <x:c r="I364" s="22" t="str">
        <x:f>HYPERLINK("https://etp-aktiv.ru/catalog/materialy/truboprovody/2000920264-U117/","Открыть позицию")</x:f>
        <x:v>Открыть позицию</x:v>
      </x:c>
    </x:row>
    <x:row r="365" ht="28" customHeight="1">
      <x:c r="A365" s="16" t="str">
        <x:v>Приморская ГРЭС</x:v>
      </x:c>
      <x:c r="B365" s="16" t="str">
        <x:v>2000774165-U117</x:v>
      </x:c>
      <x:c r="C365" s="16" t="str">
        <x:v>ШТУЦЕР СТ20 32*6-159 3364.1-19-ТС1.ШТ</x:v>
      </x:c>
      <x:c r="D365" s="16" t="str">
        <x:v>Детали фасонные</x:v>
      </x:c>
      <x:c r="E365" s="16" t="str">
        <x:v>ШТ</x:v>
      </x:c>
      <x:c r="F365" s="21" t="n">
        <x:v>170</x:v>
      </x:c>
      <x:c r="G365" s="17" t="n">
        <x:v>945.5854</x:v>
      </x:c>
      <x:c r="H365" s="17" t="n">
        <x:f>G365*F365</x:f>
        <x:v>160749.518</x:v>
      </x:c>
      <x:c r="I365" s="22" t="str">
        <x:f>HYPERLINK("https://etp-aktiv.ru/catalog/materialy/truboprovody/2000774165-U117/","Открыть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f1189edbbb2a43ab"/>
  </x:tableParts>
</x:worksheet>
</file>

<file path=xl/worksheets/sheet9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Приморье: Металлопрокат, металлоконструкции и сварка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Приморская ГРЭС</x:v>
      </x:c>
      <x:c r="B5" s="16" t="str">
        <x:v>5000024421-U117</x:v>
      </x:c>
      <x:c r="C5" s="16" t="str">
        <x:v>АППАРАТ СВАРОЧНЫЙ ИНВЕРТОРНЫЙ САИ 190</x:v>
      </x:c>
      <x:c r="D5" s="16" t="str">
        <x:v>Электросварочное и газопламенное оборудование</x:v>
      </x:c>
      <x:c r="E5" s="16" t="str">
        <x:v>ШТ</x:v>
      </x:c>
      <x:c r="F5" s="21" t="n">
        <x:v>1</x:v>
      </x:c>
      <x:c r="G5" s="17" t="n">
        <x:v>9351.3</x:v>
      </x:c>
      <x:c r="H5" s="17" t="n">
        <x:f>G5*F5</x:f>
        <x:v>9351.3</x:v>
      </x:c>
      <x:c r="I5" s="22" t="str">
        <x:f>HYPERLINK("https://etp-aktiv.ru/catalog/materialy/zapasnye-chasti-promyshlennogo-oborudovaniya/5000024421-U117/","Открыть позицию")</x:f>
        <x:v>Открыть позицию</x:v>
      </x:c>
    </x:row>
    <x:row r="6" ht="28" customHeight="1">
      <x:c r="A6" s="16" t="str">
        <x:v>Приморская ГРЭС</x:v>
      </x:c>
      <x:c r="B6" s="16" t="str">
        <x:v>2000730828-U117</x:v>
      </x:c>
      <x:c r="C6" s="16" t="str">
        <x:v>АЦЕТИЛЕН РАСТВ МАРКА Б 2 СОРТ ГОСТ5457</x:v>
      </x:c>
      <x:c r="D6" s="16" t="str">
        <x:v>Промышленные газы</x:v>
      </x:c>
      <x:c r="E6" s="16" t="str">
        <x:v>КГ</x:v>
      </x:c>
      <x:c r="F6" s="21" t="n">
        <x:v>37</x:v>
      </x:c>
      <x:c r="G6" s="17" t="n">
        <x:v>694.485</x:v>
      </x:c>
      <x:c r="H6" s="17" t="n">
        <x:f>G6*F6</x:f>
        <x:v>25695.945</x:v>
      </x:c>
      <x:c r="I6" s="22" t="str">
        <x:f>HYPERLINK("https://etp-aktiv.ru/catalog/materialy/himicheskaya-produkciya/2000730828-U117/","Открыть позицию")</x:f>
        <x:v>Открыть позицию</x:v>
      </x:c>
    </x:row>
    <x:row r="7" ht="28" customHeight="1">
      <x:c r="A7" s="16" t="str">
        <x:v>Приморская ГРЭС</x:v>
      </x:c>
      <x:c r="B7" s="16" t="str">
        <x:v>2000015536-U117</x:v>
      </x:c>
      <x:c r="C7" s="16" t="str">
        <x:v>БАЛКА СТ3 16Б1 ГОСТ26020-83</x:v>
      </x:c>
      <x:c r="D7" s="16" t="str">
        <x:v>Металлопрокат черный</x:v>
      </x:c>
      <x:c r="E7" s="16" t="str">
        <x:v>Т</x:v>
      </x:c>
      <x:c r="F7" s="30" t="n">
        <x:v>2.192</x:v>
      </x:c>
      <x:c r="G7" s="17" t="n">
        <x:v>57950</x:v>
      </x:c>
      <x:c r="H7" s="17" t="n">
        <x:f>G7*F7</x:f>
        <x:v>127026.40000000001</x:v>
      </x:c>
      <x:c r="I7" s="22" t="str">
        <x:f>HYPERLINK("https://etp-aktiv.ru/catalog/materialy/metalloprodukciya/2000015536-U117/","Открыть позицию")</x:f>
        <x:v>Открыть позицию</x:v>
      </x:c>
    </x:row>
    <x:row r="8" ht="28" customHeight="1">
      <x:c r="A8" s="16" t="str">
        <x:v>Приморская ГРЭС</x:v>
      </x:c>
      <x:c r="B8" s="16" t="str">
        <x:v>2000015864-U117</x:v>
      </x:c>
      <x:c r="C8" s="16" t="str">
        <x:v>БАЛКА СТ3 18 ГОСТ8239-89</x:v>
      </x:c>
      <x:c r="D8" s="16" t="str">
        <x:v>Металлопрокат прочий</x:v>
      </x:c>
      <x:c r="E8" s="16" t="str">
        <x:v>Т</x:v>
      </x:c>
      <x:c r="F8" s="30" t="n">
        <x:v>2.421</x:v>
      </x:c>
      <x:c r="G8" s="17" t="n">
        <x:v>42461.7218</x:v>
      </x:c>
      <x:c r="H8" s="17" t="n">
        <x:f>G8*F8</x:f>
        <x:v>102799.8284778</x:v>
      </x:c>
      <x:c r="I8" s="22" t="str">
        <x:f>HYPERLINK("https://etp-aktiv.ru/catalog/materialy/metalloprodukciya/2000015864-U117/","Открыть позицию")</x:f>
        <x:v>Открыть позицию</x:v>
      </x:c>
    </x:row>
    <x:row r="9" ht="28" customHeight="1">
      <x:c r="A9" s="16" t="str">
        <x:v>Приморская ГРЭС</x:v>
      </x:c>
      <x:c r="B9" s="16" t="str">
        <x:v>2000015839-U117</x:v>
      </x:c>
      <x:c r="C9" s="16" t="str">
        <x:v>БАЛКА СТ3 20Б1 СТО АСЧМ20-93</x:v>
      </x:c>
      <x:c r="D9" s="16" t="str">
        <x:v>Металлопрокат прочий</x:v>
      </x:c>
      <x:c r="E9" s="16" t="str">
        <x:v>Т</x:v>
      </x:c>
      <x:c r="F9" s="30" t="n">
        <x:v>1.562</x:v>
      </x:c>
      <x:c r="G9" s="17" t="n">
        <x:v>56120</x:v>
      </x:c>
      <x:c r="H9" s="17" t="n">
        <x:f>G9*F9</x:f>
        <x:v>87659.44</x:v>
      </x:c>
      <x:c r="I9" s="22" t="str">
        <x:f>HYPERLINK("https://etp-aktiv.ru/catalog/materialy/metalloprodukciya/2000015839-U117/","Открыть позицию")</x:f>
        <x:v>Открыть позицию</x:v>
      </x:c>
    </x:row>
    <x:row r="10" ht="28" customHeight="1">
      <x:c r="A10" s="16" t="str">
        <x:v>Приморская ГРЭС</x:v>
      </x:c>
      <x:c r="B10" s="16" t="str">
        <x:v>2000067655-U117</x:v>
      </x:c>
      <x:c r="C10" s="16" t="str">
        <x:v>БАЛКА СТ3 24М ГОСТ19425-74</x:v>
      </x:c>
      <x:c r="D10" s="16" t="str">
        <x:v>Металлопрокат прочий</x:v>
      </x:c>
      <x:c r="E10" s="16" t="str">
        <x:v>Т</x:v>
      </x:c>
      <x:c r="F10" s="30" t="n">
        <x:v>7.377</x:v>
      </x:c>
      <x:c r="G10" s="17" t="n">
        <x:v>56120</x:v>
      </x:c>
      <x:c r="H10" s="17" t="n">
        <x:f>G10*F10</x:f>
        <x:v>413997.24</x:v>
      </x:c>
      <x:c r="I10" s="22" t="str">
        <x:f>HYPERLINK("https://etp-aktiv.ru/catalog/materialy/metalloprodukciya/2000067655-U117/","Открыть позицию")</x:f>
        <x:v>Открыть позицию</x:v>
      </x:c>
    </x:row>
    <x:row r="11" ht="28" customHeight="1">
      <x:c r="A11" s="16" t="str">
        <x:v>Приморская ГРЭС</x:v>
      </x:c>
      <x:c r="B11" s="16" t="str">
        <x:v>2000126291-U117</x:v>
      </x:c>
      <x:c r="C11" s="16" t="str">
        <x:v>БАЛКА СТ3 36М ГОСТ19425-74</x:v>
      </x:c>
      <x:c r="D11" s="16" t="str">
        <x:v>Металлопрокат прочий</x:v>
      </x:c>
      <x:c r="E11" s="16" t="str">
        <x:v>Т</x:v>
      </x:c>
      <x:c r="F11" s="26" t="n">
        <x:v>0.294</x:v>
      </x:c>
      <x:c r="G11" s="17" t="n">
        <x:v>57950</x:v>
      </x:c>
      <x:c r="H11" s="17" t="n">
        <x:f>G11*F11</x:f>
        <x:v>17037.3</x:v>
      </x:c>
      <x:c r="I11" s="22" t="str">
        <x:f>HYPERLINK("https://etp-aktiv.ru/catalog/materialy/metalloprodukciya/2000126291-U117/","Открыть позицию")</x:f>
        <x:v>Открыть позицию</x:v>
      </x:c>
    </x:row>
    <x:row r="12" ht="28" customHeight="1">
      <x:c r="A12" s="16" t="str">
        <x:v>Приморская ГРЭС</x:v>
      </x:c>
      <x:c r="B12" s="16" t="str">
        <x:v>2000306224-U117</x:v>
      </x:c>
      <x:c r="C12" s="16" t="str">
        <x:v>БАЛКА СТ3 45Б1 ГОСТ26020-83</x:v>
      </x:c>
      <x:c r="D12" s="16" t="str">
        <x:v>Металлопрокат черный</x:v>
      </x:c>
      <x:c r="E12" s="16" t="str">
        <x:v>Т</x:v>
      </x:c>
      <x:c r="F12" s="26" t="n">
        <x:v>0.993</x:v>
      </x:c>
      <x:c r="G12" s="17" t="n">
        <x:v>70493.1128</x:v>
      </x:c>
      <x:c r="H12" s="17" t="n">
        <x:f>G12*F12</x:f>
        <x:v>69999.6610104</x:v>
      </x:c>
      <x:c r="I12" s="22" t="str">
        <x:f>HYPERLINK("https://etp-aktiv.ru/catalog/materialy/metalloprodukciya/2000306224-U117/","Открыть позицию")</x:f>
        <x:v>Открыть позицию</x:v>
      </x:c>
    </x:row>
    <x:row r="13" ht="28" customHeight="1">
      <x:c r="A13" s="16" t="str">
        <x:v>Приморская ГРЭС</x:v>
      </x:c>
      <x:c r="B13" s="16" t="str">
        <x:v>2000136088-U117</x:v>
      </x:c>
      <x:c r="C13" s="16" t="str">
        <x:v>БАЛКА СТ3 45М ГОСТ19425-74</x:v>
      </x:c>
      <x:c r="D13" s="16" t="str">
        <x:v>Металлопрокат прочий</x:v>
      </x:c>
      <x:c r="E13" s="16" t="str">
        <x:v>Т</x:v>
      </x:c>
      <x:c r="F13" s="30" t="n">
        <x:v>11.172</x:v>
      </x:c>
      <x:c r="G13" s="17" t="n">
        <x:v>57950</x:v>
      </x:c>
      <x:c r="H13" s="17" t="n">
        <x:f>G13*F13</x:f>
        <x:v>647417.4</x:v>
      </x:c>
      <x:c r="I13" s="22" t="str">
        <x:f>HYPERLINK("https://etp-aktiv.ru/catalog/materialy/metalloprodukciya/2000136088-U117/","Открыть позицию")</x:f>
        <x:v>Открыть позицию</x:v>
      </x:c>
    </x:row>
    <x:row r="14" ht="28" customHeight="1">
      <x:c r="A14" s="16" t="str">
        <x:v>Приморская ГРЭС</x:v>
      </x:c>
      <x:c r="B14" s="16" t="str">
        <x:v>2000711770-U117</x:v>
      </x:c>
      <x:c r="C14" s="16" t="str">
        <x:v>БАЛКА СТ3СП 70Б1</x:v>
      </x:c>
      <x:c r="D14" s="16" t="str">
        <x:v>Металлопрокат прочий</x:v>
      </x:c>
      <x:c r="E14" s="16" t="str">
        <x:v>Т</x:v>
      </x:c>
      <x:c r="F14" s="26" t="n">
        <x:v>0.974</x:v>
      </x:c>
      <x:c r="G14" s="17" t="n">
        <x:v>9760</x:v>
      </x:c>
      <x:c r="H14" s="17" t="n">
        <x:f>G14*F14</x:f>
        <x:v>9506.24</x:v>
      </x:c>
      <x:c r="I14" s="22" t="str">
        <x:f>HYPERLINK("https://etp-aktiv.ru/catalog/materialy/metalloprodukciya/2000711770-U117/","Открыть позицию")</x:f>
        <x:v>Открыть позицию</x:v>
      </x:c>
    </x:row>
    <x:row r="15" ht="28" customHeight="1">
      <x:c r="A15" s="16" t="str">
        <x:v>Приморская ГРЭС</x:v>
      </x:c>
      <x:c r="B15" s="16" t="str">
        <x:v>2000167080-U117</x:v>
      </x:c>
      <x:c r="C15" s="16" t="str">
        <x:v>БАЛКА СТ3СП5 20 ГОСТ8239-89</x:v>
      </x:c>
      <x:c r="D15" s="16" t="str">
        <x:v>Металлопрокат черный</x:v>
      </x:c>
      <x:c r="E15" s="16" t="str">
        <x:v>Т</x:v>
      </x:c>
      <x:c r="F15" s="26" t="n">
        <x:v>0.768</x:v>
      </x:c>
      <x:c r="G15" s="17" t="n">
        <x:v>78112.4886</x:v>
      </x:c>
      <x:c r="H15" s="17" t="n">
        <x:f>G15*F15</x:f>
        <x:v>59990.3912448</x:v>
      </x:c>
      <x:c r="I15" s="22" t="str">
        <x:f>HYPERLINK("https://etp-aktiv.ru/catalog/materialy/metalloprodukciya/2000167080-U117/","Открыть позицию")</x:f>
        <x:v>Открыть позицию</x:v>
      </x:c>
    </x:row>
    <x:row r="16" ht="28" customHeight="1">
      <x:c r="A16" s="16" t="str">
        <x:v>Приморская ГРЭС</x:v>
      </x:c>
      <x:c r="B16" s="16" t="str">
        <x:v>2000186086-U117</x:v>
      </x:c>
      <x:c r="C16" s="16" t="str">
        <x:v>БАЛЛОН АЗОТНЫЙ 40Л ГОСТ949-73</x:v>
      </x:c>
      <x:c r="D16" s="16" t="str">
        <x:v>Тара, тарные и вспомогательные материалы для упаковки</x:v>
      </x:c>
      <x:c r="E16" s="16" t="str">
        <x:v>ШТ</x:v>
      </x:c>
      <x:c r="F16" s="21" t="n">
        <x:v>10</x:v>
      </x:c>
      <x:c r="G16" s="17" t="n">
        <x:v>18279.6626</x:v>
      </x:c>
      <x:c r="H16" s="17" t="n">
        <x:f>G16*F16</x:f>
        <x:v>182796.626</x:v>
      </x:c>
      <x:c r="I16" s="22" t="str">
        <x:f>HYPERLINK("https://etp-aktiv.ru/catalog/materialy/tara/2000186086-U117/","Открыть позицию")</x:f>
        <x:v>Открыть позицию</x:v>
      </x:c>
    </x:row>
    <x:row r="17" ht="28" customHeight="1">
      <x:c r="A17" s="16" t="str">
        <x:v>Приморская ГРЭС</x:v>
      </x:c>
      <x:c r="B17" s="16" t="str">
        <x:v>2000552331-U117</x:v>
      </x:c>
      <x:c r="C17" s="16" t="str">
        <x:v>БАЛЛОН АРГОНОВЫЙ 40Л ГОСТ949-73</x:v>
      </x:c>
      <x:c r="D17" s="16" t="str">
        <x:v>Тара, тарные и вспомогательные материалы для упаковки</x:v>
      </x:c>
      <x:c r="E17" s="16" t="str">
        <x:v>ШТ</x:v>
      </x:c>
      <x:c r="F17" s="21" t="n">
        <x:v>58</x:v>
      </x:c>
      <x:c r="G17" s="17" t="n">
        <x:v>13493.627</x:v>
      </x:c>
      <x:c r="H17" s="17" t="n">
        <x:f>G17*F17</x:f>
        <x:v>782630.366</x:v>
      </x:c>
      <x:c r="I17" s="22" t="str">
        <x:f>HYPERLINK("https://etp-aktiv.ru/catalog/materialy/tara/2000552331-U117/","Открыть позицию")</x:f>
        <x:v>Открыть позицию</x:v>
      </x:c>
    </x:row>
    <x:row r="18" ht="28" customHeight="1">
      <x:c r="A18" s="16" t="str">
        <x:v>Приморская ГРЭС</x:v>
      </x:c>
      <x:c r="B18" s="16" t="str">
        <x:v>2000463378-U117</x:v>
      </x:c>
      <x:c r="C18" s="16" t="str">
        <x:v>БАЛЛОН АЦЕТИЛЕНОВЫЙ 40Л ГОСТ949-73</x:v>
      </x:c>
      <x:c r="D18" s="16" t="str">
        <x:v>Тара, тарные и вспомогательные материалы для упаковки</x:v>
      </x:c>
      <x:c r="E18" s="16" t="str">
        <x:v>ШТ</x:v>
      </x:c>
      <x:c r="F18" s="21" t="n">
        <x:v>8</x:v>
      </x:c>
      <x:c r="G18" s="17" t="n">
        <x:v>13797.712</x:v>
      </x:c>
      <x:c r="H18" s="17" t="n">
        <x:f>G18*F18</x:f>
        <x:v>110381.696</x:v>
      </x:c>
      <x:c r="I18" s="22" t="str">
        <x:f>HYPERLINK("https://etp-aktiv.ru/catalog/materialy/tara/2000463378-U117/","Открыть позицию")</x:f>
        <x:v>Открыть позицию</x:v>
      </x:c>
    </x:row>
    <x:row r="19" ht="28" customHeight="1">
      <x:c r="A19" s="16" t="str">
        <x:v>Приморская ГРЭС</x:v>
      </x:c>
      <x:c r="B19" s="16" t="str">
        <x:v>2000883328-U117</x:v>
      </x:c>
      <x:c r="C19" s="16" t="str">
        <x:v>БАЛЛОН ГАЗОВЫЙ REXANT 09-1413 220Г</x:v>
      </x:c>
      <x:c r="D19" s="16" t="str">
        <x:v>Комплектующие и запасные части к сварочному оборудованию</x:v>
      </x:c>
      <x:c r="E19" s="16" t="str">
        <x:v>ШТ</x:v>
      </x:c>
      <x:c r="F19" s="21" t="n">
        <x:v>48</x:v>
      </x:c>
      <x:c r="G19" s="17" t="n">
        <x:v>55.009800000000006</x:v>
      </x:c>
      <x:c r="H19" s="17" t="n">
        <x:f>G19*F19</x:f>
        <x:v>2640.4704</x:v>
      </x:c>
      <x:c r="I19" s="22" t="str">
        <x:f>HYPERLINK("https://etp-aktiv.ru/catalog/materialy/zapasnye-chasti-promyshlennogo-oborudovaniya/2000883328-U117/","Открыть позицию")</x:f>
        <x:v>Открыть позицию</x:v>
      </x:c>
    </x:row>
    <x:row r="20" ht="28" customHeight="1">
      <x:c r="A20" s="16" t="str">
        <x:v>Приморская ГРЭС</x:v>
      </x:c>
      <x:c r="B20" s="16" t="str">
        <x:v>2000552339-U117</x:v>
      </x:c>
      <x:c r="C20" s="16" t="str">
        <x:v>БАЛЛОН ПРОПАНОВЫЙ 3-5-В ГОСТ15860-84</x:v>
      </x:c>
      <x:c r="D20" s="16" t="str">
        <x:v>Тара, тарные и вспомогательные материалы для упаковки</x:v>
      </x:c>
      <x:c r="E20" s="16" t="str">
        <x:v>ШТ</x:v>
      </x:c>
      <x:c r="F20" s="21" t="n">
        <x:v>291</x:v>
      </x:c>
      <x:c r="G20" s="17" t="n">
        <x:v>2239.2368</x:v>
      </x:c>
      <x:c r="H20" s="17" t="n">
        <x:f>G20*F20</x:f>
        <x:v>651617.9088000001</x:v>
      </x:c>
      <x:c r="I20" s="22" t="str">
        <x:f>HYPERLINK("https://etp-aktiv.ru/catalog/materialy/tara/2000552339-U117/","Открыть позицию")</x:f>
        <x:v>Открыть позицию</x:v>
      </x:c>
    </x:row>
    <x:row r="21" ht="28" customHeight="1">
      <x:c r="A21" s="16" t="str">
        <x:v>Приморская ГРЭС</x:v>
      </x:c>
      <x:c r="B21" s="16" t="str">
        <x:v>2000259129-U117</x:v>
      </x:c>
      <x:c r="C21" s="16" t="str">
        <x:v>БАЛЛОН УГЛЕКИСЛОТНЫЙ 40Л ГОСТ949-73</x:v>
      </x:c>
      <x:c r="D21" s="16" t="str">
        <x:v>Тара, тарные и вспомогательные материалы для упаковки</x:v>
      </x:c>
      <x:c r="E21" s="16" t="str">
        <x:v>ШТ</x:v>
      </x:c>
      <x:c r="F21" s="21" t="n">
        <x:v>69</x:v>
      </x:c>
      <x:c r="G21" s="17" t="n">
        <x:v>14232.764000000001</x:v>
      </x:c>
      <x:c r="H21" s="17" t="n">
        <x:f>G21*F21</x:f>
        <x:v>982060.716</x:v>
      </x:c>
      <x:c r="I21" s="22" t="str">
        <x:f>HYPERLINK("https://etp-aktiv.ru/catalog/materialy/tara/2000259129-U117/","Открыть позицию")</x:f>
        <x:v>Открыть позицию</x:v>
      </x:c>
    </x:row>
    <x:row r="22" ht="28" customHeight="1">
      <x:c r="A22" s="16" t="str">
        <x:v>Приморская ГРЭС</x:v>
      </x:c>
      <x:c r="B22" s="16" t="str">
        <x:v>2000712420-U117</x:v>
      </x:c>
      <x:c r="C22" s="16" t="str">
        <x:v>БОЛТ M22*110 ГОСТ7805-70</x:v>
      </x:c>
      <x:c r="D22" s="16" t="str">
        <x:v>Метизы</x:v>
      </x:c>
      <x:c r="E22" s="16" t="str">
        <x:v>КГ</x:v>
      </x:c>
      <x:c r="F22" s="30" t="n">
        <x:v>232.95</x:v>
      </x:c>
      <x:c r="G22" s="17" t="n">
        <x:v>94.09859999999999</x:v>
      </x:c>
      <x:c r="H22" s="17" t="n">
        <x:f>G22*F22</x:f>
        <x:v>21920.268869999996</x:v>
      </x:c>
      <x:c r="I22" s="22" t="str">
        <x:f>HYPERLINK("https://etp-aktiv.ru/catalog/materialy/metizy/2000712420-U117/","Открыть позицию")</x:f>
        <x:v>Открыть позицию</x:v>
      </x:c>
    </x:row>
    <x:row r="23" ht="28" customHeight="1">
      <x:c r="A23" s="16" t="str">
        <x:v>Приморская ГРЭС</x:v>
      </x:c>
      <x:c r="B23" s="16" t="str">
        <x:v>2000226767-U117</x:v>
      </x:c>
      <x:c r="C23" s="16" t="str">
        <x:v>БОЛТ АНКЕРНЫЙ М10*100 ГОСТ24379.1-80</x:v>
      </x:c>
      <x:c r="D23" s="16" t="str">
        <x:v>Метизы</x:v>
      </x:c>
      <x:c r="E23" s="16" t="str">
        <x:v>ШТ</x:v>
      </x:c>
      <x:c r="F23" s="21" t="n">
        <x:v>44</x:v>
      </x:c>
      <x:c r="G23" s="17" t="n">
        <x:v>9.0402</x:v>
      </x:c>
      <x:c r="H23" s="17" t="n">
        <x:f>G23*F23</x:f>
        <x:v>397.7688</x:v>
      </x:c>
      <x:c r="I23" s="22" t="str">
        <x:f>HYPERLINK("https://etp-aktiv.ru/catalog/materialy/metizy/2000226767-U117/","Открыть позицию")</x:f>
        <x:v>Открыть позицию</x:v>
      </x:c>
    </x:row>
    <x:row r="24" ht="28" customHeight="1">
      <x:c r="A24" s="16" t="str">
        <x:v>Приморская ГРЭС</x:v>
      </x:c>
      <x:c r="B24" s="16" t="str">
        <x:v>2000448496-U117</x:v>
      </x:c>
      <x:c r="C24" s="16" t="str">
        <x:v>БОЛТ АНКЕРНЫЙ М10*250 ГОСТ24379.1-80</x:v>
      </x:c>
      <x:c r="D24" s="16" t="str">
        <x:v>Метизы</x:v>
      </x:c>
      <x:c r="E24" s="16" t="str">
        <x:v>ШТ</x:v>
      </x:c>
      <x:c r="F24" s="21" t="n">
        <x:v>88</x:v>
      </x:c>
      <x:c r="G24" s="17" t="n">
        <x:v>18.6294</x:v>
      </x:c>
      <x:c r="H24" s="17" t="n">
        <x:f>G24*F24</x:f>
        <x:v>1639.3872000000001</x:v>
      </x:c>
      <x:c r="I24" s="22" t="str">
        <x:f>HYPERLINK("https://etp-aktiv.ru/catalog/materialy/metizy/2000448496-U117/","Открыть позицию")</x:f>
        <x:v>Открыть позицию</x:v>
      </x:c>
    </x:row>
    <x:row r="25" ht="28" customHeight="1">
      <x:c r="A25" s="16" t="str">
        <x:v>Приморская ГРЭС</x:v>
      </x:c>
      <x:c r="B25" s="16" t="str">
        <x:v>2000146907-U117</x:v>
      </x:c>
      <x:c r="C25" s="16" t="str">
        <x:v>БОЛТ АНКЕРНЫЙ М6*50 ГОСТ20700-75</x:v>
      </x:c>
      <x:c r="D25" s="16" t="str">
        <x:v>Метизы</x:v>
      </x:c>
      <x:c r="E25" s="16" t="str">
        <x:v>КГ</x:v>
      </x:c>
      <x:c r="F25" s="30" t="n">
        <x:v>1.5</x:v>
      </x:c>
      <x:c r="G25" s="17" t="n">
        <x:v>198.76239999999999</x:v>
      </x:c>
      <x:c r="H25" s="17" t="n">
        <x:f>G25*F25</x:f>
        <x:v>298.1436</x:v>
      </x:c>
      <x:c r="I25" s="22" t="str">
        <x:f>HYPERLINK("https://etp-aktiv.ru/catalog/materialy/metizy/2000146907-U117/","Открыть позицию")</x:f>
        <x:v>Открыть позицию</x:v>
      </x:c>
    </x:row>
    <x:row r="26" ht="28" customHeight="1">
      <x:c r="A26" s="16" t="str">
        <x:v>Приморская ГРЭС</x:v>
      </x:c>
      <x:c r="B26" s="16" t="str">
        <x:v>2000294358-U117</x:v>
      </x:c>
      <x:c r="C26" s="16" t="str">
        <x:v>БОЛТ АНКЕРНЫЙ М8*100 ГОСТ24379.1-80</x:v>
      </x:c>
      <x:c r="D26" s="16" t="str">
        <x:v>Метизы</x:v>
      </x:c>
      <x:c r="E26" s="16" t="str">
        <x:v>ШТ</x:v>
      </x:c>
      <x:c r="F26" s="21" t="n">
        <x:v>10</x:v>
      </x:c>
      <x:c r="G26" s="17" t="n">
        <x:v>12.956399999999999</x:v>
      </x:c>
      <x:c r="H26" s="17" t="n">
        <x:f>G26*F26</x:f>
        <x:v>129.564</x:v>
      </x:c>
      <x:c r="I26" s="22" t="str">
        <x:f>HYPERLINK("https://etp-aktiv.ru/catalog/materialy/metizy/2000294358-U117/","Открыть позицию")</x:f>
        <x:v>Открыть позицию</x:v>
      </x:c>
    </x:row>
    <x:row r="27" ht="28" customHeight="1">
      <x:c r="A27" s="16" t="str">
        <x:v>Приморская ГРЭС</x:v>
      </x:c>
      <x:c r="B27" s="16" t="str">
        <x:v>2000169882-U117</x:v>
      </x:c>
      <x:c r="C27" s="16" t="str">
        <x:v>БОЛТ М10*80 ГОСТ7798-70</x:v>
      </x:c>
      <x:c r="D27" s="16" t="str">
        <x:v>Метизы</x:v>
      </x:c>
      <x:c r="E27" s="16" t="str">
        <x:v>КГ</x:v>
      </x:c>
      <x:c r="F27" s="30" t="n">
        <x:v>4.6</x:v>
      </x:c>
      <x:c r="G27" s="17" t="n">
        <x:v>105.82279999999999</x:v>
      </x:c>
      <x:c r="H27" s="17" t="n">
        <x:f>G27*F27</x:f>
        <x:v>486.7848799999999</x:v>
      </x:c>
      <x:c r="I27" s="22" t="str">
        <x:f>HYPERLINK("https://etp-aktiv.ru/catalog/materialy/metizy/2000169882-U117/","Открыть позицию")</x:f>
        <x:v>Открыть позицию</x:v>
      </x:c>
    </x:row>
    <x:row r="28" ht="28" customHeight="1">
      <x:c r="A28" s="16" t="str">
        <x:v>Приморская ГРЭС</x:v>
      </x:c>
      <x:c r="B28" s="16" t="str">
        <x:v>2000068300-U117</x:v>
      </x:c>
      <x:c r="C28" s="16" t="str">
        <x:v>БОЛТ М12*100 ГОСТ7805-70</x:v>
      </x:c>
      <x:c r="D28" s="16" t="str">
        <x:v>Метизы</x:v>
      </x:c>
      <x:c r="E28" s="16" t="str">
        <x:v>КГ</x:v>
      </x:c>
      <x:c r="F28" s="30" t="n">
        <x:v>76.3</x:v>
      </x:c>
      <x:c r="G28" s="17" t="n">
        <x:v>94.78179999999999</x:v>
      </x:c>
      <x:c r="H28" s="17" t="n">
        <x:f>G28*F28</x:f>
        <x:v>7231.851339999999</x:v>
      </x:c>
      <x:c r="I28" s="22" t="str">
        <x:f>HYPERLINK("https://etp-aktiv.ru/catalog/materialy/metizy/2000068300-U117/","Открыть позицию")</x:f>
        <x:v>Открыть позицию</x:v>
      </x:c>
    </x:row>
    <x:row r="29" ht="28" customHeight="1">
      <x:c r="A29" s="16" t="str">
        <x:v>Приморская ГРЭС</x:v>
      </x:c>
      <x:c r="B29" s="16" t="str">
        <x:v>2000068413-U117</x:v>
      </x:c>
      <x:c r="C29" s="16" t="str">
        <x:v>БОЛТ М12*120 ГОСТ7805-70</x:v>
      </x:c>
      <x:c r="D29" s="16" t="str">
        <x:v>Метизы</x:v>
      </x:c>
      <x:c r="E29" s="16" t="str">
        <x:v>КГ</x:v>
      </x:c>
      <x:c r="F29" s="26" t="n">
        <x:v>0.009</x:v>
      </x:c>
      <x:c r="G29" s="17" t="n">
        <x:v>125.05</x:v>
      </x:c>
      <x:c r="H29" s="17" t="n">
        <x:f>G29*F29</x:f>
        <x:v>1.1254499999999998</x:v>
      </x:c>
      <x:c r="I29" s="22" t="str">
        <x:f>HYPERLINK("https://etp-aktiv.ru/catalog/materialy/metizy/2000068413-U117/","Открыть позицию")</x:f>
        <x:v>Открыть позицию</x:v>
      </x:c>
    </x:row>
    <x:row r="30" ht="28" customHeight="1">
      <x:c r="A30" s="16" t="str">
        <x:v>Приморская ГРЭС</x:v>
      </x:c>
      <x:c r="B30" s="16" t="str">
        <x:v>2000529957-U117</x:v>
      </x:c>
      <x:c r="C30" s="16" t="str">
        <x:v>БОЛТ М12*25 ГОСТ7798-70</x:v>
      </x:c>
      <x:c r="D30" s="16" t="str">
        <x:v>Метизы</x:v>
      </x:c>
      <x:c r="E30" s="16" t="str">
        <x:v>КГ</x:v>
      </x:c>
      <x:c r="F30" s="30" t="n">
        <x:v>3.243</x:v>
      </x:c>
      <x:c r="G30" s="17" t="n">
        <x:v>210.0352</x:v>
      </x:c>
      <x:c r="H30" s="17" t="n">
        <x:f>G30*F30</x:f>
        <x:v>681.1441536</x:v>
      </x:c>
      <x:c r="I30" s="22" t="str">
        <x:f>HYPERLINK("https://etp-aktiv.ru/catalog/materialy/metizy/2000529957-U117/","Открыть позицию")</x:f>
        <x:v>Открыть позицию</x:v>
      </x:c>
    </x:row>
    <x:row r="31" ht="28" customHeight="1">
      <x:c r="A31" s="16" t="str">
        <x:v>Приморская ГРЭС</x:v>
      </x:c>
      <x:c r="B31" s="16" t="str">
        <x:v>2000068403-U117</x:v>
      </x:c>
      <x:c r="C31" s="16" t="str">
        <x:v>БОЛТ М12*30 ГОСТ7805-70</x:v>
      </x:c>
      <x:c r="D31" s="16" t="str">
        <x:v>Метизы</x:v>
      </x:c>
      <x:c r="E31" s="16" t="str">
        <x:v>КГ</x:v>
      </x:c>
      <x:c r="F31" s="30" t="n">
        <x:v>179.75</x:v>
      </x:c>
      <x:c r="G31" s="17" t="n">
        <x:v>156.343</x:v>
      </x:c>
      <x:c r="H31" s="17" t="n">
        <x:f>G31*F31</x:f>
        <x:v>28102.65425</x:v>
      </x:c>
      <x:c r="I31" s="22" t="str">
        <x:f>HYPERLINK("https://etp-aktiv.ru/catalog/materialy/metizy/2000068403-U117/","Открыть позицию")</x:f>
        <x:v>Открыть позицию</x:v>
      </x:c>
    </x:row>
    <x:row r="32" ht="28" customHeight="1">
      <x:c r="A32" s="16" t="str">
        <x:v>Приморская ГРЭС</x:v>
      </x:c>
      <x:c r="B32" s="16" t="str">
        <x:v>2000020191-U117</x:v>
      </x:c>
      <x:c r="C32" s="16" t="str">
        <x:v>БОЛТ М12*65 ГОСТ7805-70</x:v>
      </x:c>
      <x:c r="D32" s="16" t="str">
        <x:v>Метизы</x:v>
      </x:c>
      <x:c r="E32" s="16" t="str">
        <x:v>КГ</x:v>
      </x:c>
      <x:c r="F32" s="26" t="n">
        <x:v>0.9</x:v>
      </x:c>
      <x:c r="G32" s="17" t="n">
        <x:v>108.7874</x:v>
      </x:c>
      <x:c r="H32" s="17" t="n">
        <x:f>G32*F32</x:f>
        <x:v>97.90866000000001</x:v>
      </x:c>
      <x:c r="I32" s="22" t="str">
        <x:f>HYPERLINK("https://etp-aktiv.ru/catalog/materialy/metizy/2000020191-U117/","Открыть позицию")</x:f>
        <x:v>Открыть позицию</x:v>
      </x:c>
    </x:row>
    <x:row r="33" ht="28" customHeight="1">
      <x:c r="A33" s="16" t="str">
        <x:v>Приморская ГРЭС</x:v>
      </x:c>
      <x:c r="B33" s="16" t="str">
        <x:v>2000569978-U117</x:v>
      </x:c>
      <x:c r="C33" s="16" t="str">
        <x:v>БОЛТ М12*80 8.8 ОЦИНК DIN931</x:v>
      </x:c>
      <x:c r="D33" s="16" t="str">
        <x:v>Метизы</x:v>
      </x:c>
      <x:c r="E33" s="16" t="str">
        <x:v>КГ</x:v>
      </x:c>
      <x:c r="F33" s="30" t="n">
        <x:v>14.85</x:v>
      </x:c>
      <x:c r="G33" s="17" t="n">
        <x:v>122.4514</x:v>
      </x:c>
      <x:c r="H33" s="17" t="n">
        <x:f>G33*F33</x:f>
        <x:v>1818.40329</x:v>
      </x:c>
      <x:c r="I33" s="22" t="str">
        <x:f>HYPERLINK("https://etp-aktiv.ru/catalog/materialy/metizy/2000569978-U117/","Открыть позицию")</x:f>
        <x:v>Открыть позицию</x:v>
      </x:c>
    </x:row>
    <x:row r="34" ht="28" customHeight="1">
      <x:c r="A34" s="16" t="str">
        <x:v>Приморская ГРЭС</x:v>
      </x:c>
      <x:c r="B34" s="16" t="str">
        <x:v>2000304491-U117</x:v>
      </x:c>
      <x:c r="C34" s="16" t="str">
        <x:v>БОЛТ М12*80 8.8 ОЦИНК DIN933</x:v>
      </x:c>
      <x:c r="D34" s="16" t="str">
        <x:v>Метизы</x:v>
      </x:c>
      <x:c r="E34" s="16" t="str">
        <x:v>КГ</x:v>
      </x:c>
      <x:c r="F34" s="30" t="n">
        <x:v>3.2</x:v>
      </x:c>
      <x:c r="G34" s="17" t="n">
        <x:v>229.26239999999999</x:v>
      </x:c>
      <x:c r="H34" s="17" t="n">
        <x:f>G34*F34</x:f>
        <x:v>733.63968</x:v>
      </x:c>
      <x:c r="I34" s="22" t="str">
        <x:f>HYPERLINK("https://etp-aktiv.ru/catalog/materialy/metizy/2000304491-U117/","Открыть позицию")</x:f>
        <x:v>Открыть позицию</x:v>
      </x:c>
    </x:row>
    <x:row r="35" ht="28" customHeight="1">
      <x:c r="A35" s="16" t="str">
        <x:v>Приморская ГРЭС</x:v>
      </x:c>
      <x:c r="B35" s="16" t="str">
        <x:v>2000142906-U117</x:v>
      </x:c>
      <x:c r="C35" s="16" t="str">
        <x:v>БОЛТ М12*80 ГОСТ7798-70</x:v>
      </x:c>
      <x:c r="D35" s="16" t="str">
        <x:v>Метизы</x:v>
      </x:c>
      <x:c r="E35" s="16" t="str">
        <x:v>КГ</x:v>
      </x:c>
      <x:c r="F35" s="30" t="n">
        <x:v>19.403</x:v>
      </x:c>
      <x:c r="G35" s="17" t="n">
        <x:v>87.7058</x:v>
      </x:c>
      <x:c r="H35" s="17" t="n">
        <x:f>G35*F35</x:f>
        <x:v>1701.7556373999998</x:v>
      </x:c>
      <x:c r="I35" s="22" t="str">
        <x:f>HYPERLINK("https://etp-aktiv.ru/catalog/materialy/metizy/2000142906-U117/","Открыть позицию")</x:f>
        <x:v>Открыть позицию</x:v>
      </x:c>
    </x:row>
    <x:row r="36" ht="28" customHeight="1">
      <x:c r="A36" s="16" t="str">
        <x:v>Приморская ГРЭС</x:v>
      </x:c>
      <x:c r="B36" s="16" t="str">
        <x:v>2000152003-U117</x:v>
      </x:c>
      <x:c r="C36" s="16" t="str">
        <x:v>БОЛТ М12*90 ГОСТ7798-70</x:v>
      </x:c>
      <x:c r="D36" s="16" t="str">
        <x:v>Метизы</x:v>
      </x:c>
      <x:c r="E36" s="16" t="str">
        <x:v>КГ</x:v>
      </x:c>
      <x:c r="F36" s="30" t="n">
        <x:v>3.133</x:v>
      </x:c>
      <x:c r="G36" s="17" t="n">
        <x:v>86.6078</x:v>
      </x:c>
      <x:c r="H36" s="17" t="n">
        <x:f>G36*F36</x:f>
        <x:v>271.3422374</x:v>
      </x:c>
      <x:c r="I36" s="22" t="str">
        <x:f>HYPERLINK("https://etp-aktiv.ru/catalog/materialy/metizy/2000152003-U117/","Открыть позицию")</x:f>
        <x:v>Открыть позицию</x:v>
      </x:c>
    </x:row>
    <x:row r="37" ht="28" customHeight="1">
      <x:c r="A37" s="16" t="str">
        <x:v>Приморская ГРЭС</x:v>
      </x:c>
      <x:c r="B37" s="16" t="str">
        <x:v>2000068457-U117</x:v>
      </x:c>
      <x:c r="C37" s="16" t="str">
        <x:v>БОЛТ М12*90 ГОСТ7805-70</x:v>
      </x:c>
      <x:c r="D37" s="16" t="str">
        <x:v>Метизы</x:v>
      </x:c>
      <x:c r="E37" s="16" t="str">
        <x:v>КГ</x:v>
      </x:c>
      <x:c r="F37" s="30" t="n">
        <x:v>1.15</x:v>
      </x:c>
      <x:c r="G37" s="17" t="n">
        <x:v>101.4796</x:v>
      </x:c>
      <x:c r="H37" s="17" t="n">
        <x:f>G37*F37</x:f>
        <x:v>116.70154</x:v>
      </x:c>
      <x:c r="I37" s="22" t="str">
        <x:f>HYPERLINK("https://etp-aktiv.ru/catalog/materialy/metizy/2000068457-U117/","Открыть позицию")</x:f>
        <x:v>Открыть позицию</x:v>
      </x:c>
    </x:row>
    <x:row r="38" ht="28" customHeight="1">
      <x:c r="A38" s="16" t="str">
        <x:v>Приморская ГРЭС</x:v>
      </x:c>
      <x:c r="B38" s="16" t="str">
        <x:v>2000235348-U117</x:v>
      </x:c>
      <x:c r="C38" s="16" t="str">
        <x:v>БОЛТ М14*40 ГОСТ7798-70</x:v>
      </x:c>
      <x:c r="D38" s="16" t="str">
        <x:v>Метизы</x:v>
      </x:c>
      <x:c r="E38" s="16" t="str">
        <x:v>КГ</x:v>
      </x:c>
      <x:c r="F38" s="21" t="n">
        <x:v>19</x:v>
      </x:c>
      <x:c r="G38" s="17" t="n">
        <x:v>92.3052</x:v>
      </x:c>
      <x:c r="H38" s="17" t="n">
        <x:f>G38*F38</x:f>
        <x:v>1753.7988</x:v>
      </x:c>
      <x:c r="I38" s="22" t="str">
        <x:f>HYPERLINK("https://etp-aktiv.ru/catalog/materialy/metizy/2000235348-U117/","Открыть позицию")</x:f>
        <x:v>Открыть позицию</x:v>
      </x:c>
    </x:row>
    <x:row r="39" ht="28" customHeight="1">
      <x:c r="A39" s="16" t="str">
        <x:v>Приморская ГРЭС</x:v>
      </x:c>
      <x:c r="B39" s="16" t="str">
        <x:v>2000068415-U117</x:v>
      </x:c>
      <x:c r="C39" s="16" t="str">
        <x:v>БОЛТ М14*40 ГОСТ7805-70</x:v>
      </x:c>
      <x:c r="D39" s="16" t="str">
        <x:v>Метизы</x:v>
      </x:c>
      <x:c r="E39" s="16" t="str">
        <x:v>КГ</x:v>
      </x:c>
      <x:c r="F39" s="21" t="n">
        <x:v>8</x:v>
      </x:c>
      <x:c r="G39" s="17" t="n">
        <x:v>109.1656</x:v>
      </x:c>
      <x:c r="H39" s="17" t="n">
        <x:f>G39*F39</x:f>
        <x:v>873.3248</x:v>
      </x:c>
      <x:c r="I39" s="22" t="str">
        <x:f>HYPERLINK("https://etp-aktiv.ru/catalog/materialy/metizy/2000068415-U117/","Открыть позицию")</x:f>
        <x:v>Открыть позицию</x:v>
      </x:c>
    </x:row>
    <x:row r="40" ht="28" customHeight="1">
      <x:c r="A40" s="16" t="str">
        <x:v>Приморская ГРЭС</x:v>
      </x:c>
      <x:c r="B40" s="16" t="str">
        <x:v>2000068292-U117</x:v>
      </x:c>
      <x:c r="C40" s="16" t="str">
        <x:v>БОЛТ М14*55 ГОСТ7805-70</x:v>
      </x:c>
      <x:c r="D40" s="16" t="str">
        <x:v>Метизы</x:v>
      </x:c>
      <x:c r="E40" s="16" t="str">
        <x:v>КГ</x:v>
      </x:c>
      <x:c r="F40" s="30" t="n">
        <x:v>11.334</x:v>
      </x:c>
      <x:c r="G40" s="17" t="n">
        <x:v>170.00699999999998</x:v>
      </x:c>
      <x:c r="H40" s="17" t="n">
        <x:f>G40*F40</x:f>
        <x:v>1926.8593379999998</x:v>
      </x:c>
      <x:c r="I40" s="22" t="str">
        <x:f>HYPERLINK("https://etp-aktiv.ru/catalog/materialy/metizy/2000068292-U117/","Открыть позицию")</x:f>
        <x:v>Открыть позицию</x:v>
      </x:c>
    </x:row>
    <x:row r="41" ht="28" customHeight="1">
      <x:c r="A41" s="16" t="str">
        <x:v>Приморская ГРЭС</x:v>
      </x:c>
      <x:c r="B41" s="16" t="str">
        <x:v>2000068318-U117</x:v>
      </x:c>
      <x:c r="C41" s="16" t="str">
        <x:v>БОЛТ М14*60 ГОСТ7798-70</x:v>
      </x:c>
      <x:c r="D41" s="16" t="str">
        <x:v>Метизы</x:v>
      </x:c>
      <x:c r="E41" s="16" t="str">
        <x:v>КГ</x:v>
      </x:c>
      <x:c r="F41" s="30" t="n">
        <x:v>1.5</x:v>
      </x:c>
      <x:c r="G41" s="17" t="n">
        <x:v>182.39</x:v>
      </x:c>
      <x:c r="H41" s="17" t="n">
        <x:f>G41*F41</x:f>
        <x:v>273.585</x:v>
      </x:c>
      <x:c r="I41" s="22" t="str">
        <x:f>HYPERLINK("https://etp-aktiv.ru/catalog/materialy/metizy/2000068318-U117/","Открыть позицию")</x:f>
        <x:v>Открыть позицию</x:v>
      </x:c>
    </x:row>
    <x:row r="42" ht="28" customHeight="1">
      <x:c r="A42" s="16" t="str">
        <x:v>Приморская ГРЭС</x:v>
      </x:c>
      <x:c r="B42" s="16" t="str">
        <x:v>2000332978-U117</x:v>
      </x:c>
      <x:c r="C42" s="16" t="str">
        <x:v>БОЛТ М14*65 ГОСТ7798-70</x:v>
      </x:c>
      <x:c r="D42" s="16" t="str">
        <x:v>Метизы</x:v>
      </x:c>
      <x:c r="E42" s="16" t="str">
        <x:v>КГ</x:v>
      </x:c>
      <x:c r="F42" s="21" t="n">
        <x:v>22</x:v>
      </x:c>
      <x:c r="G42" s="17" t="n">
        <x:v>90.19460000000001</x:v>
      </x:c>
      <x:c r="H42" s="17" t="n">
        <x:f>G42*F42</x:f>
        <x:v>1984.2812000000001</x:v>
      </x:c>
      <x:c r="I42" s="22" t="str">
        <x:f>HYPERLINK("https://etp-aktiv.ru/catalog/materialy/metizy/2000332978-U117/","Открыть позицию")</x:f>
        <x:v>Открыть позицию</x:v>
      </x:c>
    </x:row>
    <x:row r="43" ht="28" customHeight="1">
      <x:c r="A43" s="16" t="str">
        <x:v>Приморская ГРЭС</x:v>
      </x:c>
      <x:c r="B43" s="16" t="str">
        <x:v>2000068420-U117</x:v>
      </x:c>
      <x:c r="C43" s="16" t="str">
        <x:v>БОЛТ М16*45 ГОСТ7805-70</x:v>
      </x:c>
      <x:c r="D43" s="16" t="str">
        <x:v>Метизы</x:v>
      </x:c>
      <x:c r="E43" s="16" t="str">
        <x:v>КГ</x:v>
      </x:c>
      <x:c r="F43" s="26" t="n">
        <x:v>0.5</x:v>
      </x:c>
      <x:c r="G43" s="17" t="n">
        <x:v>103.00460000000001</x:v>
      </x:c>
      <x:c r="H43" s="17" t="n">
        <x:f>G43*F43</x:f>
        <x:v>51.502300000000005</x:v>
      </x:c>
      <x:c r="I43" s="22" t="str">
        <x:f>HYPERLINK("https://etp-aktiv.ru/catalog/materialy/metizy/2000068420-U117/","Открыть позицию")</x:f>
        <x:v>Открыть позицию</x:v>
      </x:c>
    </x:row>
    <x:row r="44" ht="28" customHeight="1">
      <x:c r="A44" s="16" t="str">
        <x:v>Приморская ГРЭС</x:v>
      </x:c>
      <x:c r="B44" s="16" t="str">
        <x:v>2000068351-U117</x:v>
      </x:c>
      <x:c r="C44" s="16" t="str">
        <x:v>БОЛТ М16*50 ГОСТ7798-70</x:v>
      </x:c>
      <x:c r="D44" s="16" t="str">
        <x:v>Метизы</x:v>
      </x:c>
      <x:c r="E44" s="16" t="str">
        <x:v>КГ</x:v>
      </x:c>
      <x:c r="F44" s="30" t="n">
        <x:v>8.251</x:v>
      </x:c>
      <x:c r="G44" s="17" t="n">
        <x:v>88.4866</x:v>
      </x:c>
      <x:c r="H44" s="17" t="n">
        <x:f>G44*F44</x:f>
        <x:v>730.1029365999999</x:v>
      </x:c>
      <x:c r="I44" s="22" t="str">
        <x:f>HYPERLINK("https://etp-aktiv.ru/catalog/materialy/metizy/2000068351-U117/","Открыть позицию")</x:f>
        <x:v>Открыть позицию</x:v>
      </x:c>
    </x:row>
    <x:row r="45" ht="28" customHeight="1">
      <x:c r="A45" s="16" t="str">
        <x:v>Приморская ГРЭС</x:v>
      </x:c>
      <x:c r="B45" s="16" t="str">
        <x:v>2000068421-U117</x:v>
      </x:c>
      <x:c r="C45" s="16" t="str">
        <x:v>БОЛТ М16*50 ГОСТ7805-70</x:v>
      </x:c>
      <x:c r="D45" s="16" t="str">
        <x:v>Метизы</x:v>
      </x:c>
      <x:c r="E45" s="16" t="str">
        <x:v>КГ</x:v>
      </x:c>
      <x:c r="F45" s="30" t="n">
        <x:v>28.6</x:v>
      </x:c>
      <x:c r="G45" s="17" t="n">
        <x:v>93.83019999999999</x:v>
      </x:c>
      <x:c r="H45" s="17" t="n">
        <x:f>G45*F45</x:f>
        <x:v>2683.5437199999997</x:v>
      </x:c>
      <x:c r="I45" s="22" t="str">
        <x:f>HYPERLINK("https://etp-aktiv.ru/catalog/materialy/metizy/2000068421-U117/","Открыть позицию")</x:f>
        <x:v>Открыть позицию</x:v>
      </x:c>
    </x:row>
    <x:row r="46" ht="28" customHeight="1">
      <x:c r="A46" s="16" t="str">
        <x:v>Приморская ГРЭС</x:v>
      </x:c>
      <x:c r="B46" s="16" t="str">
        <x:v>2000308074-U117</x:v>
      </x:c>
      <x:c r="C46" s="16" t="str">
        <x:v>БОЛТ М16*55 СТ40Х 2 8.8 ГОСТ7796-70</x:v>
      </x:c>
      <x:c r="D46" s="16" t="str">
        <x:v>Метизы</x:v>
      </x:c>
      <x:c r="E46" s="16" t="str">
        <x:v>КГ</x:v>
      </x:c>
      <x:c r="F46" s="21" t="n">
        <x:v>12</x:v>
      </x:c>
      <x:c r="G46" s="17" t="n">
        <x:v>156.6114</x:v>
      </x:c>
      <x:c r="H46" s="17" t="n">
        <x:f>G46*F46</x:f>
        <x:v>1879.3368</x:v>
      </x:c>
      <x:c r="I46" s="22" t="str">
        <x:f>HYPERLINK("https://etp-aktiv.ru/catalog/materialy/metizy/2000308074-U117/","Открыть позицию")</x:f>
        <x:v>Открыть позицию</x:v>
      </x:c>
    </x:row>
    <x:row r="47" ht="28" customHeight="1">
      <x:c r="A47" s="16" t="str">
        <x:v>Приморская ГРЭС</x:v>
      </x:c>
      <x:c r="B47" s="16" t="str">
        <x:v>2000673436-U117</x:v>
      </x:c>
      <x:c r="C47" s="16" t="str">
        <x:v>БОЛТ М16*80 СТ35Х 10.9 ГОСТРИСО4014-2013</x:v>
      </x:c>
      <x:c r="D47" s="16" t="str">
        <x:v>Метизы</x:v>
      </x:c>
      <x:c r="E47" s="16" t="str">
        <x:v>КГ</x:v>
      </x:c>
      <x:c r="F47" s="21" t="n">
        <x:v>99</x:v>
      </x:c>
      <x:c r="G47" s="17" t="n">
        <x:v>244.9882</x:v>
      </x:c>
      <x:c r="H47" s="17" t="n">
        <x:f>G47*F47</x:f>
        <x:v>24253.8318</x:v>
      </x:c>
      <x:c r="I47" s="22" t="str">
        <x:f>HYPERLINK("https://etp-aktiv.ru/catalog/materialy/metizy/2000673436-U117/","Открыть позицию")</x:f>
        <x:v>Открыть позицию</x:v>
      </x:c>
    </x:row>
    <x:row r="48" ht="28" customHeight="1">
      <x:c r="A48" s="16" t="str">
        <x:v>Приморская ГРЭС</x:v>
      </x:c>
      <x:c r="B48" s="16" t="str">
        <x:v>2000375857-U117</x:v>
      </x:c>
      <x:c r="C48" s="16" t="str">
        <x:v>БОЛТ М16-6G*35.58 S24 ГОСТ7798-70</x:v>
      </x:c>
      <x:c r="D48" s="16" t="str">
        <x:v>Метизы</x:v>
      </x:c>
      <x:c r="E48" s="16" t="str">
        <x:v>КГ</x:v>
      </x:c>
      <x:c r="F48" s="30" t="n">
        <x:v>54.96</x:v>
      </x:c>
      <x:c r="G48" s="17" t="n">
        <x:v>176.83899999999997</x:v>
      </x:c>
      <x:c r="H48" s="17" t="n">
        <x:f>G48*F48</x:f>
        <x:v>9719.071439999998</x:v>
      </x:c>
      <x:c r="I48" s="22" t="str">
        <x:f>HYPERLINK("https://etp-aktiv.ru/catalog/materialy/metizy/2000375857-U117/","Открыть позицию")</x:f>
        <x:v>Открыть позицию</x:v>
      </x:c>
    </x:row>
    <x:row r="49" ht="28" customHeight="1">
      <x:c r="A49" s="16" t="str">
        <x:v>Приморская ГРЭС</x:v>
      </x:c>
      <x:c r="B49" s="16" t="str">
        <x:v>2000142910-U117</x:v>
      </x:c>
      <x:c r="C49" s="16" t="str">
        <x:v>БОЛТ М18*100 ГОСТ7798-70</x:v>
      </x:c>
      <x:c r="D49" s="16" t="str">
        <x:v>Метизы</x:v>
      </x:c>
      <x:c r="E49" s="16" t="str">
        <x:v>КГ</x:v>
      </x:c>
      <x:c r="F49" s="26" t="n">
        <x:v>0.03</x:v>
      </x:c>
      <x:c r="G49" s="17" t="n">
        <x:v>211.06</x:v>
      </x:c>
      <x:c r="H49" s="17" t="n">
        <x:f>G49*F49</x:f>
        <x:v>6.331799999999999</x:v>
      </x:c>
      <x:c r="I49" s="22" t="str">
        <x:f>HYPERLINK("https://etp-aktiv.ru/catalog/materialy/metizy/2000142910-U117/","Открыть позицию")</x:f>
        <x:v>Открыть позицию</x:v>
      </x:c>
    </x:row>
    <x:row r="50" ht="28" customHeight="1">
      <x:c r="A50" s="16" t="str">
        <x:v>Приморская ГРЭС</x:v>
      </x:c>
      <x:c r="B50" s="16" t="str">
        <x:v>2000161527-U117</x:v>
      </x:c>
      <x:c r="C50" s="16" t="str">
        <x:v>БОЛТ М18*150 ГОСТ7798-70</x:v>
      </x:c>
      <x:c r="D50" s="16" t="str">
        <x:v>Метизы</x:v>
      </x:c>
      <x:c r="E50" s="16" t="str">
        <x:v>КГ</x:v>
      </x:c>
      <x:c r="F50" s="30" t="n">
        <x:v>3.3</x:v>
      </x:c>
      <x:c r="G50" s="17" t="n">
        <x:v>114.8874</x:v>
      </x:c>
      <x:c r="H50" s="17" t="n">
        <x:f>G50*F50</x:f>
        <x:v>379.12842</x:v>
      </x:c>
      <x:c r="I50" s="22" t="str">
        <x:f>HYPERLINK("https://etp-aktiv.ru/catalog/materialy/metizy/2000161527-U117/","Открыть позицию")</x:f>
        <x:v>Открыть позицию</x:v>
      </x:c>
    </x:row>
    <x:row r="51" ht="28" customHeight="1">
      <x:c r="A51" s="16" t="str">
        <x:v>Приморская ГРЭС</x:v>
      </x:c>
      <x:c r="B51" s="16" t="str">
        <x:v>2000529971-U117</x:v>
      </x:c>
      <x:c r="C51" s="16" t="str">
        <x:v>БОЛТ М18*60 ГОСТ7798-70</x:v>
      </x:c>
      <x:c r="D51" s="16" t="str">
        <x:v>Метизы</x:v>
      </x:c>
      <x:c r="E51" s="16" t="str">
        <x:v>КГ</x:v>
      </x:c>
      <x:c r="F51" s="30" t="n">
        <x:v>8.56</x:v>
      </x:c>
      <x:c r="G51" s="17" t="n">
        <x:v>170.00699999999998</x:v>
      </x:c>
      <x:c r="H51" s="17" t="n">
        <x:f>G51*F51</x:f>
        <x:v>1455.25992</x:v>
      </x:c>
      <x:c r="I51" s="22" t="str">
        <x:f>HYPERLINK("https://etp-aktiv.ru/catalog/materialy/metizy/2000529971-U117/","Открыть позицию")</x:f>
        <x:v>Открыть позицию</x:v>
      </x:c>
    </x:row>
    <x:row r="52" ht="28" customHeight="1">
      <x:c r="A52" s="16" t="str">
        <x:v>Приморская ГРЭС</x:v>
      </x:c>
      <x:c r="B52" s="16" t="str">
        <x:v>2000131424-U117</x:v>
      </x:c>
      <x:c r="C52" s="16" t="str">
        <x:v>БОЛТ М18*80 ГОСТ7798-70</x:v>
      </x:c>
      <x:c r="D52" s="16" t="str">
        <x:v>Метизы специализированные и под заказ</x:v>
      </x:c>
      <x:c r="E52" s="16" t="str">
        <x:v>КГ</x:v>
      </x:c>
      <x:c r="F52" s="26" t="n">
        <x:v>0.72</x:v>
      </x:c>
      <x:c r="G52" s="17" t="n">
        <x:v>202.9836</x:v>
      </x:c>
      <x:c r="H52" s="17" t="n">
        <x:f>G52*F52</x:f>
        <x:v>146.148192</x:v>
      </x:c>
      <x:c r="I52" s="22" t="str">
        <x:f>HYPERLINK("https://etp-aktiv.ru/catalog/materialy/metizy/2000131424-U117/","Открыть позицию")</x:f>
        <x:v>Открыть позицию</x:v>
      </x:c>
    </x:row>
    <x:row r="53" ht="28" customHeight="1">
      <x:c r="A53" s="16" t="str">
        <x:v>Приморская ГРЭС</x:v>
      </x:c>
      <x:c r="B53" s="16" t="str">
        <x:v>2000504527-U117</x:v>
      </x:c>
      <x:c r="C53" s="16" t="str">
        <x:v>БОЛТ М20*110 10,9 ГОСТ52644-2006</x:v>
      </x:c>
      <x:c r="D53" s="16" t="str">
        <x:v>Метизы</x:v>
      </x:c>
      <x:c r="E53" s="16" t="str">
        <x:v>КГ</x:v>
      </x:c>
      <x:c r="F53" s="30" t="n">
        <x:v>47.3</x:v>
      </x:c>
      <x:c r="G53" s="17" t="n">
        <x:v>92.4882</x:v>
      </x:c>
      <x:c r="H53" s="17" t="n">
        <x:f>G53*F53</x:f>
        <x:v>4374.69186</x:v>
      </x:c>
      <x:c r="I53" s="22" t="str">
        <x:f>HYPERLINK("https://etp-aktiv.ru/catalog/materialy/metizy/2000504527-U117/","Открыть позицию")</x:f>
        <x:v>Открыть позицию</x:v>
      </x:c>
    </x:row>
    <x:row r="54" ht="28" customHeight="1">
      <x:c r="A54" s="16" t="str">
        <x:v>Приморская ГРЭС</x:v>
      </x:c>
      <x:c r="B54" s="16" t="str">
        <x:v>2000068309-U117</x:v>
      </x:c>
      <x:c r="C54" s="16" t="str">
        <x:v>БОЛТ М20*110 ГОСТ7798-70</x:v>
      </x:c>
      <x:c r="D54" s="16" t="str">
        <x:v>Метизы</x:v>
      </x:c>
      <x:c r="E54" s="16" t="str">
        <x:v>КГ</x:v>
      </x:c>
      <x:c r="F54" s="30" t="n">
        <x:v>2.9</x:v>
      </x:c>
      <x:c r="G54" s="17" t="n">
        <x:v>87.2788</x:v>
      </x:c>
      <x:c r="H54" s="17" t="n">
        <x:f>G54*F54</x:f>
        <x:v>253.10852</x:v>
      </x:c>
      <x:c r="I54" s="22" t="str">
        <x:f>HYPERLINK("https://etp-aktiv.ru/catalog/materialy/metizy/2000068309-U117/","Открыть позицию")</x:f>
        <x:v>Открыть позицию</x:v>
      </x:c>
    </x:row>
    <x:row r="55" ht="28" customHeight="1">
      <x:c r="A55" s="16" t="str">
        <x:v>Приморская ГРЭС</x:v>
      </x:c>
      <x:c r="B55" s="16" t="str">
        <x:v>2000068346-U117</x:v>
      </x:c>
      <x:c r="C55" s="16" t="str">
        <x:v>БОЛТ М20*130 ГОСТ7798-70</x:v>
      </x:c>
      <x:c r="D55" s="16" t="str">
        <x:v>Метизы</x:v>
      </x:c>
      <x:c r="E55" s="16" t="str">
        <x:v>КГ</x:v>
      </x:c>
      <x:c r="F55" s="30" t="n">
        <x:v>1.3</x:v>
      </x:c>
      <x:c r="G55" s="17" t="n">
        <x:v>182.39</x:v>
      </x:c>
      <x:c r="H55" s="17" t="n">
        <x:f>G55*F55</x:f>
        <x:v>237.107</x:v>
      </x:c>
      <x:c r="I55" s="22" t="str">
        <x:f>HYPERLINK("https://etp-aktiv.ru/catalog/materialy/metizy/2000068346-U117/","Открыть позицию")</x:f>
        <x:v>Открыть позицию</x:v>
      </x:c>
    </x:row>
    <x:row r="56" ht="28" customHeight="1">
      <x:c r="A56" s="16" t="str">
        <x:v>Приморская ГРЭС</x:v>
      </x:c>
      <x:c r="B56" s="16" t="str">
        <x:v>2000068437-U117</x:v>
      </x:c>
      <x:c r="C56" s="16" t="str">
        <x:v>БОЛТ М20*150 ГОСТ7805-70</x:v>
      </x:c>
      <x:c r="D56" s="16" t="str">
        <x:v>Метизы</x:v>
      </x:c>
      <x:c r="E56" s="16" t="str">
        <x:v>КГ</x:v>
      </x:c>
      <x:c r="F56" s="21" t="n">
        <x:v>6</x:v>
      </x:c>
      <x:c r="G56" s="17" t="n">
        <x:v>196.42</x:v>
      </x:c>
      <x:c r="H56" s="17" t="n">
        <x:f>G56*F56</x:f>
        <x:v>1178.52</x:v>
      </x:c>
      <x:c r="I56" s="22" t="str">
        <x:f>HYPERLINK("https://etp-aktiv.ru/catalog/materialy/metizy/2000068437-U117/","Открыть позицию")</x:f>
        <x:v>Открыть позицию</x:v>
      </x:c>
    </x:row>
    <x:row r="57" ht="28" customHeight="1">
      <x:c r="A57" s="16" t="str">
        <x:v>Приморская ГРЭС</x:v>
      </x:c>
      <x:c r="B57" s="16" t="str">
        <x:v>2000210839-U117</x:v>
      </x:c>
      <x:c r="C57" s="16" t="str">
        <x:v>БОЛТ М20*200 ГОСТ7798-70</x:v>
      </x:c>
      <x:c r="D57" s="16" t="str">
        <x:v>Метизы</x:v>
      </x:c>
      <x:c r="E57" s="16" t="str">
        <x:v>КГ</x:v>
      </x:c>
      <x:c r="F57" s="21" t="n">
        <x:v>33</x:v>
      </x:c>
      <x:c r="G57" s="17" t="n">
        <x:v>175.61899999999997</x:v>
      </x:c>
      <x:c r="H57" s="17" t="n">
        <x:f>G57*F57</x:f>
        <x:v>5795.426999999999</x:v>
      </x:c>
      <x:c r="I57" s="22" t="str">
        <x:f>HYPERLINK("https://etp-aktiv.ru/catalog/materialy/metizy/2000210839-U117/","Открыть позицию")</x:f>
        <x:v>Открыть позицию</x:v>
      </x:c>
    </x:row>
    <x:row r="58" ht="28" customHeight="1">
      <x:c r="A58" s="16" t="str">
        <x:v>Приморская ГРЭС</x:v>
      </x:c>
      <x:c r="B58" s="16" t="str">
        <x:v>2000569975-U117</x:v>
      </x:c>
      <x:c r="C58" s="16" t="str">
        <x:v>БОЛТ М20*65 8.8 ОЦИНК DIN931</x:v>
      </x:c>
      <x:c r="D58" s="16" t="str">
        <x:v>Метизы</x:v>
      </x:c>
      <x:c r="E58" s="16" t="str">
        <x:v>КГ</x:v>
      </x:c>
      <x:c r="F58" s="26" t="n">
        <x:v>0.9</x:v>
      </x:c>
      <x:c r="G58" s="17" t="n">
        <x:v>110.105</x:v>
      </x:c>
      <x:c r="H58" s="17" t="n">
        <x:f>G58*F58</x:f>
        <x:v>99.09450000000001</x:v>
      </x:c>
      <x:c r="I58" s="22" t="str">
        <x:f>HYPERLINK("https://etp-aktiv.ru/catalog/materialy/metizy/2000569975-U117/","Открыть позицию")</x:f>
        <x:v>Открыть позицию</x:v>
      </x:c>
    </x:row>
    <x:row r="59" ht="28" customHeight="1">
      <x:c r="A59" s="16" t="str">
        <x:v>Приморская ГРЭС</x:v>
      </x:c>
      <x:c r="B59" s="16" t="str">
        <x:v>2000529976-U117</x:v>
      </x:c>
      <x:c r="C59" s="16" t="str">
        <x:v>БОЛТ М20*65 ГОСТ7798-70</x:v>
      </x:c>
      <x:c r="D59" s="16" t="str">
        <x:v>Метизы</x:v>
      </x:c>
      <x:c r="E59" s="16" t="str">
        <x:v>КГ</x:v>
      </x:c>
      <x:c r="F59" s="30" t="n">
        <x:v>68.392</x:v>
      </x:c>
      <x:c r="G59" s="17" t="n">
        <x:v>171.2392</x:v>
      </x:c>
      <x:c r="H59" s="17" t="n">
        <x:f>G59*F59</x:f>
        <x:v>11711.3913664</x:v>
      </x:c>
      <x:c r="I59" s="22" t="str">
        <x:f>HYPERLINK("https://etp-aktiv.ru/catalog/materialy/metizy/2000529976-U117/","Открыть позицию")</x:f>
        <x:v>Открыть позицию</x:v>
      </x:c>
    </x:row>
    <x:row r="60" ht="28" customHeight="1">
      <x:c r="A60" s="16" t="str">
        <x:v>Приморская ГРЭС</x:v>
      </x:c>
      <x:c r="B60" s="16" t="str">
        <x:v>2000800261-U117</x:v>
      </x:c>
      <x:c r="C60" s="16" t="str">
        <x:v>БОЛТ М20*75 8.8 ОЦИНК DIN933</x:v>
      </x:c>
      <x:c r="D60" s="16" t="str">
        <x:v>Метизы</x:v>
      </x:c>
      <x:c r="E60" s="16" t="str">
        <x:v>КГ</x:v>
      </x:c>
      <x:c r="F60" s="21" t="n">
        <x:v>5</x:v>
      </x:c>
      <x:c r="G60" s="17" t="n">
        <x:v>110.105</x:v>
      </x:c>
      <x:c r="H60" s="17" t="n">
        <x:f>G60*F60</x:f>
        <x:v>550.525</x:v>
      </x:c>
      <x:c r="I60" s="22" t="str">
        <x:f>HYPERLINK("https://etp-aktiv.ru/catalog/materialy/metizy/2000800261-U117/","Открыть позицию")</x:f>
        <x:v>Открыть позицию</x:v>
      </x:c>
    </x:row>
    <x:row r="61" ht="28" customHeight="1">
      <x:c r="A61" s="16" t="str">
        <x:v>Приморская ГРЭС</x:v>
      </x:c>
      <x:c r="B61" s="16" t="str">
        <x:v>2000068452-U117</x:v>
      </x:c>
      <x:c r="C61" s="16" t="str">
        <x:v>БОЛТ М22*120 ГОСТ7805-70</x:v>
      </x:c>
      <x:c r="D61" s="16" t="str">
        <x:v>Метизы</x:v>
      </x:c>
      <x:c r="E61" s="16" t="str">
        <x:v>КГ</x:v>
      </x:c>
      <x:c r="F61" s="30" t="n">
        <x:v>91.71</x:v>
      </x:c>
      <x:c r="G61" s="17" t="n">
        <x:v>104.22460000000001</x:v>
      </x:c>
      <x:c r="H61" s="17" t="n">
        <x:f>G61*F61</x:f>
        <x:v>9558.438066</x:v>
      </x:c>
      <x:c r="I61" s="22" t="str">
        <x:f>HYPERLINK("https://etp-aktiv.ru/catalog/materialy/metizy/2000068452-U117/","Открыть позицию")</x:f>
        <x:v>Открыть позицию</x:v>
      </x:c>
    </x:row>
    <x:row r="62" ht="28" customHeight="1">
      <x:c r="A62" s="16" t="str">
        <x:v>Приморская ГРЭС</x:v>
      </x:c>
      <x:c r="B62" s="16" t="str">
        <x:v>2000359065-U117</x:v>
      </x:c>
      <x:c r="C62" s="16" t="str">
        <x:v>БОЛТ М22*50 10.9 ОЦИНК DIN933</x:v>
      </x:c>
      <x:c r="D62" s="16" t="str">
        <x:v>Метизы</x:v>
      </x:c>
      <x:c r="E62" s="16" t="str">
        <x:v>КГ</x:v>
      </x:c>
      <x:c r="F62" s="30" t="n">
        <x:v>150.9</x:v>
      </x:c>
      <x:c r="G62" s="17" t="n">
        <x:v>678.2102</x:v>
      </x:c>
      <x:c r="H62" s="17" t="n">
        <x:f>G62*F62</x:f>
        <x:v>102341.91918</x:v>
      </x:c>
      <x:c r="I62" s="22" t="str">
        <x:f>HYPERLINK("https://etp-aktiv.ru/catalog/materialy/metizy/2000359065-U117/","Открыть позицию")</x:f>
        <x:v>Открыть позицию</x:v>
      </x:c>
    </x:row>
    <x:row r="63" ht="28" customHeight="1">
      <x:c r="A63" s="16" t="str">
        <x:v>Приморская ГРЭС</x:v>
      </x:c>
      <x:c r="B63" s="16" t="str">
        <x:v>2000068264-U117</x:v>
      </x:c>
      <x:c r="C63" s="16" t="str">
        <x:v>БОЛТ М22*60 ГОСТ7805-70</x:v>
      </x:c>
      <x:c r="D63" s="16" t="str">
        <x:v>Метизы</x:v>
      </x:c>
      <x:c r="E63" s="16" t="str">
        <x:v>КГ</x:v>
      </x:c>
      <x:c r="F63" s="30" t="n">
        <x:v>15.2</x:v>
      </x:c>
      <x:c r="G63" s="17" t="n">
        <x:v>186.7088</x:v>
      </x:c>
      <x:c r="H63" s="17" t="n">
        <x:f>G63*F63</x:f>
        <x:v>2837.97376</x:v>
      </x:c>
      <x:c r="I63" s="22" t="str">
        <x:f>HYPERLINK("https://etp-aktiv.ru/catalog/materialy/metizy/2000068264-U117/","Открыть позицию")</x:f>
        <x:v>Открыть позицию</x:v>
      </x:c>
    </x:row>
    <x:row r="64" ht="28" customHeight="1">
      <x:c r="A64" s="16" t="str">
        <x:v>Приморская ГРЭС</x:v>
      </x:c>
      <x:c r="B64" s="16" t="str">
        <x:v>2000068456-U117</x:v>
      </x:c>
      <x:c r="C64" s="16" t="str">
        <x:v>БОЛТ М22*70 ГОСТ7805-70</x:v>
      </x:c>
      <x:c r="D64" s="16" t="str">
        <x:v>Метизы</x:v>
      </x:c>
      <x:c r="E64" s="16" t="str">
        <x:v>КГ</x:v>
      </x:c>
      <x:c r="F64" s="30" t="n">
        <x:v>1.23</x:v>
      </x:c>
      <x:c r="G64" s="17" t="n">
        <x:v>165.18800000000002</x:v>
      </x:c>
      <x:c r="H64" s="17" t="n">
        <x:f>G64*F64</x:f>
        <x:v>203.18124000000003</x:v>
      </x:c>
      <x:c r="I64" s="22" t="str">
        <x:f>HYPERLINK("https://etp-aktiv.ru/catalog/materialy/metizy/2000068456-U117/","Открыть позицию")</x:f>
        <x:v>Открыть позицию</x:v>
      </x:c>
    </x:row>
    <x:row r="65" ht="28" customHeight="1">
      <x:c r="A65" s="16" t="str">
        <x:v>Приморская ГРЭС</x:v>
      </x:c>
      <x:c r="B65" s="16" t="str">
        <x:v>2000529982-U117</x:v>
      </x:c>
      <x:c r="C65" s="16" t="str">
        <x:v>БОЛТ М24*110 ГОСТ7798-70</x:v>
      </x:c>
      <x:c r="D65" s="16" t="str">
        <x:v>Метизы</x:v>
      </x:c>
      <x:c r="E65" s="16" t="str">
        <x:v>КГ</x:v>
      </x:c>
      <x:c r="F65" s="30" t="n">
        <x:v>5.18</x:v>
      </x:c>
      <x:c r="G65" s="17" t="n">
        <x:v>186.172</x:v>
      </x:c>
      <x:c r="H65" s="17" t="n">
        <x:f>G65*F65</x:f>
        <x:v>964.37096</x:v>
      </x:c>
      <x:c r="I65" s="22" t="str">
        <x:f>HYPERLINK("https://etp-aktiv.ru/catalog/materialy/metizy/2000529982-U117/","Открыть позицию")</x:f>
        <x:v>Открыть позицию</x:v>
      </x:c>
    </x:row>
    <x:row r="66" ht="28" customHeight="1">
      <x:c r="A66" s="16" t="str">
        <x:v>Приморская ГРЭС</x:v>
      </x:c>
      <x:c r="B66" s="16" t="str">
        <x:v>2000068441-U117</x:v>
      </x:c>
      <x:c r="C66" s="16" t="str">
        <x:v>БОЛТ М24*110 ГОСТ7805-70</x:v>
      </x:c>
      <x:c r="D66" s="16" t="str">
        <x:v>Метизы</x:v>
      </x:c>
      <x:c r="E66" s="16" t="str">
        <x:v>КГ</x:v>
      </x:c>
      <x:c r="F66" s="30" t="n">
        <x:v>1.75</x:v>
      </x:c>
      <x:c r="G66" s="17" t="n">
        <x:v>193.98</x:v>
      </x:c>
      <x:c r="H66" s="17" t="n">
        <x:f>G66*F66</x:f>
        <x:v>339.465</x:v>
      </x:c>
      <x:c r="I66" s="22" t="str">
        <x:f>HYPERLINK("https://etp-aktiv.ru/catalog/materialy/metizy/2000068441-U117/","Открыть позицию")</x:f>
        <x:v>Открыть позицию</x:v>
      </x:c>
    </x:row>
    <x:row r="67" ht="28" customHeight="1">
      <x:c r="A67" s="16" t="str">
        <x:v>Приморская ГРЭС</x:v>
      </x:c>
      <x:c r="B67" s="16" t="str">
        <x:v>2000304150-U117</x:v>
      </x:c>
      <x:c r="C67" s="16" t="str">
        <x:v>БОЛТ М24*120 8.8 ОЦИНК DIN933</x:v>
      </x:c>
      <x:c r="D67" s="16" t="str">
        <x:v>Метизы</x:v>
      </x:c>
      <x:c r="E67" s="16" t="str">
        <x:v>КГ</x:v>
      </x:c>
      <x:c r="F67" s="21" t="n">
        <x:v>10</x:v>
      </x:c>
      <x:c r="G67" s="17" t="n">
        <x:v>196.85920000000002</x:v>
      </x:c>
      <x:c r="H67" s="17" t="n">
        <x:f>G67*F67</x:f>
        <x:v>1968.592</x:v>
      </x:c>
      <x:c r="I67" s="22" t="str">
        <x:f>HYPERLINK("https://etp-aktiv.ru/catalog/materialy/metizy/2000304150-U117/","Открыть позицию")</x:f>
        <x:v>Открыть позицию</x:v>
      </x:c>
    </x:row>
    <x:row r="68" ht="28" customHeight="1">
      <x:c r="A68" s="16" t="str">
        <x:v>Приморская ГРЭС</x:v>
      </x:c>
      <x:c r="B68" s="16" t="str">
        <x:v>2000068272-U117</x:v>
      </x:c>
      <x:c r="C68" s="16" t="str">
        <x:v>БОЛТ М24*120 ГОСТ7805-70</x:v>
      </x:c>
      <x:c r="D68" s="16" t="str">
        <x:v>Метизы</x:v>
      </x:c>
      <x:c r="E68" s="16" t="str">
        <x:v>КГ</x:v>
      </x:c>
      <x:c r="F68" s="30" t="n">
        <x:v>151.664</x:v>
      </x:c>
      <x:c r="G68" s="17" t="n">
        <x:v>94.0376</x:v>
      </x:c>
      <x:c r="H68" s="17" t="n">
        <x:f>G68*F68</x:f>
        <x:v>14262.118566399999</x:v>
      </x:c>
      <x:c r="I68" s="22" t="str">
        <x:f>HYPERLINK("https://etp-aktiv.ru/catalog/materialy/metizy/2000068272-U117/","Открыть позицию")</x:f>
        <x:v>Открыть позицию</x:v>
      </x:c>
    </x:row>
    <x:row r="69" ht="28" customHeight="1">
      <x:c r="A69" s="16" t="str">
        <x:v>Приморская ГРЭС</x:v>
      </x:c>
      <x:c r="B69" s="16" t="str">
        <x:v>2000068270-U117</x:v>
      </x:c>
      <x:c r="C69" s="16" t="str">
        <x:v>БОЛТ М24*140 ГОСТ7805-70</x:v>
      </x:c>
      <x:c r="D69" s="16" t="str">
        <x:v>Метизы</x:v>
      </x:c>
      <x:c r="E69" s="16" t="str">
        <x:v>КГ</x:v>
      </x:c>
      <x:c r="F69" s="21" t="n">
        <x:v>48</x:v>
      </x:c>
      <x:c r="G69" s="17" t="n">
        <x:v>96.746</x:v>
      </x:c>
      <x:c r="H69" s="17" t="n">
        <x:f>G69*F69</x:f>
        <x:v>4643.808</x:v>
      </x:c>
      <x:c r="I69" s="22" t="str">
        <x:f>HYPERLINK("https://etp-aktiv.ru/catalog/materialy/metizy/2000068270-U117/","Открыть позицию")</x:f>
        <x:v>Открыть позицию</x:v>
      </x:c>
    </x:row>
    <x:row r="70" ht="28" customHeight="1">
      <x:c r="A70" s="16" t="str">
        <x:v>Приморская ГРЭС</x:v>
      </x:c>
      <x:c r="B70" s="16" t="str">
        <x:v>2000142917-U117</x:v>
      </x:c>
      <x:c r="C70" s="16" t="str">
        <x:v>БОЛТ М24*150 ГОСТ7798-70</x:v>
      </x:c>
      <x:c r="D70" s="16" t="str">
        <x:v>Метизы</x:v>
      </x:c>
      <x:c r="E70" s="16" t="str">
        <x:v>КГ</x:v>
      </x:c>
      <x:c r="F70" s="30" t="n">
        <x:v>3.4</x:v>
      </x:c>
      <x:c r="G70" s="17" t="n">
        <x:v>196.42</x:v>
      </x:c>
      <x:c r="H70" s="17" t="n">
        <x:f>G70*F70</x:f>
        <x:v>667.828</x:v>
      </x:c>
      <x:c r="I70" s="22" t="str">
        <x:f>HYPERLINK("https://etp-aktiv.ru/catalog/materialy/metizy/2000142917-U117/","Открыть позицию")</x:f>
        <x:v>Открыть позицию</x:v>
      </x:c>
    </x:row>
    <x:row r="71" ht="28" customHeight="1">
      <x:c r="A71" s="16" t="str">
        <x:v>Приморская ГРЭС</x:v>
      </x:c>
      <x:c r="B71" s="16" t="str">
        <x:v>2000068269-U117</x:v>
      </x:c>
      <x:c r="C71" s="16" t="str">
        <x:v>БОЛТ М24*150 ГОСТ7805-70</x:v>
      </x:c>
      <x:c r="D71" s="16" t="str">
        <x:v>Метизы</x:v>
      </x:c>
      <x:c r="E71" s="16" t="str">
        <x:v>КГ</x:v>
      </x:c>
      <x:c r="F71" s="30" t="n">
        <x:v>3.532</x:v>
      </x:c>
      <x:c r="G71" s="17" t="n">
        <x:v>106.3108</x:v>
      </x:c>
      <x:c r="H71" s="17" t="n">
        <x:f>G71*F71</x:f>
        <x:v>375.4897456</x:v>
      </x:c>
      <x:c r="I71" s="22" t="str">
        <x:f>HYPERLINK("https://etp-aktiv.ru/catalog/materialy/metizy/2000068269-U117/","Открыть позицию")</x:f>
        <x:v>Открыть позицию</x:v>
      </x:c>
    </x:row>
    <x:row r="72" ht="28" customHeight="1">
      <x:c r="A72" s="16" t="str">
        <x:v>Приморская ГРЭС</x:v>
      </x:c>
      <x:c r="B72" s="16" t="str">
        <x:v>2000068450-U117</x:v>
      </x:c>
      <x:c r="C72" s="16" t="str">
        <x:v>БОЛТ М24*50 ГОСТ7805-70</x:v>
      </x:c>
      <x:c r="D72" s="16" t="str">
        <x:v>Метизы</x:v>
      </x:c>
      <x:c r="E72" s="16" t="str">
        <x:v>КГ</x:v>
      </x:c>
      <x:c r="F72" s="30" t="n">
        <x:v>4.2</x:v>
      </x:c>
      <x:c r="G72" s="17" t="n">
        <x:v>125.74539999999999</x:v>
      </x:c>
      <x:c r="H72" s="17" t="n">
        <x:f>G72*F72</x:f>
        <x:v>528.13068</x:v>
      </x:c>
      <x:c r="I72" s="22" t="str">
        <x:f>HYPERLINK("https://etp-aktiv.ru/catalog/materialy/metizy/2000068450-U117/","Открыть позицию")</x:f>
        <x:v>Открыть позицию</x:v>
      </x:c>
    </x:row>
    <x:row r="73" ht="28" customHeight="1">
      <x:c r="A73" s="16" t="str">
        <x:v>Приморская ГРЭС</x:v>
      </x:c>
      <x:c r="B73" s="16" t="str">
        <x:v>2000499087-U117</x:v>
      </x:c>
      <x:c r="C73" s="16" t="str">
        <x:v>БОЛТ М24*55 1,5 12.9 ГОСТ7796-70</x:v>
      </x:c>
      <x:c r="D73" s="16" t="str">
        <x:v>Метизы</x:v>
      </x:c>
      <x:c r="E73" s="16" t="str">
        <x:v>КГ</x:v>
      </x:c>
      <x:c r="F73" s="21" t="n">
        <x:v>15</x:v>
      </x:c>
      <x:c r="G73" s="17" t="n">
        <x:v>882.8896</x:v>
      </x:c>
      <x:c r="H73" s="17" t="n">
        <x:f>G73*F73</x:f>
        <x:v>13243.344</x:v>
      </x:c>
      <x:c r="I73" s="22" t="str">
        <x:f>HYPERLINK("https://etp-aktiv.ru/catalog/materialy/metizy/2000499087-U117/","Открыть позицию")</x:f>
        <x:v>Открыть позицию</x:v>
      </x:c>
    </x:row>
    <x:row r="74" ht="28" customHeight="1">
      <x:c r="A74" s="16" t="str">
        <x:v>Приморская ГРЭС</x:v>
      </x:c>
      <x:c r="B74" s="16" t="str">
        <x:v>2000068330-U117</x:v>
      </x:c>
      <x:c r="C74" s="16" t="str">
        <x:v>БОЛТ М24*60 ГОСТ7798-70</x:v>
      </x:c>
      <x:c r="D74" s="16" t="str">
        <x:v>Метизы</x:v>
      </x:c>
      <x:c r="E74" s="16" t="str">
        <x:v>КГ</x:v>
      </x:c>
      <x:c r="F74" s="21" t="n">
        <x:v>10</x:v>
      </x:c>
      <x:c r="G74" s="17" t="n">
        <x:v>163.48</x:v>
      </x:c>
      <x:c r="H74" s="17" t="n">
        <x:f>G74*F74</x:f>
        <x:v>1634.8</x:v>
      </x:c>
      <x:c r="I74" s="22" t="str">
        <x:f>HYPERLINK("https://etp-aktiv.ru/catalog/materialy/metizy/2000068330-U117/","Открыть позицию")</x:f>
        <x:v>Открыть позицию</x:v>
      </x:c>
    </x:row>
    <x:row r="75" ht="28" customHeight="1">
      <x:c r="A75" s="16" t="str">
        <x:v>Приморская ГРЭС</x:v>
      </x:c>
      <x:c r="B75" s="16" t="str">
        <x:v>2000529983-U117</x:v>
      </x:c>
      <x:c r="C75" s="16" t="str">
        <x:v>БОЛТ М24*65 ГОСТ7798-70</x:v>
      </x:c>
      <x:c r="D75" s="16" t="str">
        <x:v>Метизы</x:v>
      </x:c>
      <x:c r="E75" s="16" t="str">
        <x:v>КГ</x:v>
      </x:c>
      <x:c r="F75" s="21" t="n">
        <x:v>32</x:v>
      </x:c>
      <x:c r="G75" s="17" t="n">
        <x:v>119.377</x:v>
      </x:c>
      <x:c r="H75" s="17" t="n">
        <x:f>G75*F75</x:f>
        <x:v>3820.064</x:v>
      </x:c>
      <x:c r="I75" s="22" t="str">
        <x:f>HYPERLINK("https://etp-aktiv.ru/catalog/materialy/metizy/2000529983-U117/","Открыть позицию")</x:f>
        <x:v>Открыть позицию</x:v>
      </x:c>
    </x:row>
    <x:row r="76" ht="28" customHeight="1">
      <x:c r="A76" s="16" t="str">
        <x:v>Приморская ГРЭС</x:v>
      </x:c>
      <x:c r="B76" s="16" t="str">
        <x:v>2000068448-U117</x:v>
      </x:c>
      <x:c r="C76" s="16" t="str">
        <x:v>БОЛТ М24*65 ГОСТ7805-70</x:v>
      </x:c>
      <x:c r="D76" s="16" t="str">
        <x:v>Метизы</x:v>
      </x:c>
      <x:c r="E76" s="16" t="str">
        <x:v>КГ</x:v>
      </x:c>
      <x:c r="F76" s="30" t="n">
        <x:v>17.2</x:v>
      </x:c>
      <x:c r="G76" s="17" t="n">
        <x:v>98.89320000000001</x:v>
      </x:c>
      <x:c r="H76" s="17" t="n">
        <x:f>G76*F76</x:f>
        <x:v>1700.96304</x:v>
      </x:c>
      <x:c r="I76" s="22" t="str">
        <x:f>HYPERLINK("https://etp-aktiv.ru/catalog/materialy/metizy/2000068448-U117/","Открыть позицию")</x:f>
        <x:v>Открыть позицию</x:v>
      </x:c>
    </x:row>
    <x:row r="77" ht="28" customHeight="1">
      <x:c r="A77" s="16" t="str">
        <x:v>Приморская ГРЭС</x:v>
      </x:c>
      <x:c r="B77" s="16" t="str">
        <x:v>2000886801-U117</x:v>
      </x:c>
      <x:c r="C77" s="16" t="str">
        <x:v>БОЛТ М27*170 10.9 ГОСТ Р52644-2006</x:v>
      </x:c>
      <x:c r="D77" s="16" t="str">
        <x:v>Метизы</x:v>
      </x:c>
      <x:c r="E77" s="16" t="str">
        <x:v>КГ</x:v>
      </x:c>
      <x:c r="F77" s="30" t="n">
        <x:v>74.96</x:v>
      </x:c>
      <x:c r="G77" s="17" t="n">
        <x:v>94.59880000000001</x:v>
      </x:c>
      <x:c r="H77" s="17" t="n">
        <x:f>G77*F77</x:f>
        <x:v>7091.126048</x:v>
      </x:c>
      <x:c r="I77" s="22" t="str">
        <x:f>HYPERLINK("https://etp-aktiv.ru/catalog/materialy/metizy/2000886801-U117/","Открыть позицию")</x:f>
        <x:v>Открыть позицию</x:v>
      </x:c>
    </x:row>
    <x:row r="78" ht="28" customHeight="1">
      <x:c r="A78" s="16" t="str">
        <x:v>Приморская ГРЭС</x:v>
      </x:c>
      <x:c r="B78" s="16" t="str">
        <x:v>2000529986-U117</x:v>
      </x:c>
      <x:c r="C78" s="16" t="str">
        <x:v>БОЛТ М27*200 ГОСТ7798-70</x:v>
      </x:c>
      <x:c r="D78" s="16" t="str">
        <x:v>Метизы</x:v>
      </x:c>
      <x:c r="E78" s="16" t="str">
        <x:v>КГ</x:v>
      </x:c>
      <x:c r="F78" s="30" t="n">
        <x:v>205.5</x:v>
      </x:c>
      <x:c r="G78" s="17" t="n">
        <x:v>96.3068</x:v>
      </x:c>
      <x:c r="H78" s="17" t="n">
        <x:f>G78*F78</x:f>
        <x:v>19791.0474</x:v>
      </x:c>
      <x:c r="I78" s="22" t="str">
        <x:f>HYPERLINK("https://etp-aktiv.ru/catalog/materialy/metizy/2000529986-U117/","Открыть позицию")</x:f>
        <x:v>Открыть позицию</x:v>
      </x:c>
    </x:row>
    <x:row r="79" ht="28" customHeight="1">
      <x:c r="A79" s="16" t="str">
        <x:v>Приморская ГРЭС</x:v>
      </x:c>
      <x:c r="B79" s="16" t="str">
        <x:v>2000135773-U117</x:v>
      </x:c>
      <x:c r="C79" s="16" t="str">
        <x:v>БОЛТ М27*70 ГОСТ7798-70</x:v>
      </x:c>
      <x:c r="D79" s="16" t="str">
        <x:v>Метизы</x:v>
      </x:c>
      <x:c r="E79" s="16" t="str">
        <x:v>КГ</x:v>
      </x:c>
      <x:c r="F79" s="21" t="n">
        <x:v>8</x:v>
      </x:c>
      <x:c r="G79" s="17" t="n">
        <x:v>199.0186</x:v>
      </x:c>
      <x:c r="H79" s="17" t="n">
        <x:f>G79*F79</x:f>
        <x:v>1592.1488</x:v>
      </x:c>
      <x:c r="I79" s="22" t="str">
        <x:f>HYPERLINK("https://etp-aktiv.ru/catalog/materialy/metizy/2000135773-U117/","Открыть позицию")</x:f>
        <x:v>Открыть позицию</x:v>
      </x:c>
    </x:row>
    <x:row r="80" ht="28" customHeight="1">
      <x:c r="A80" s="16" t="str">
        <x:v>Приморская ГРЭС</x:v>
      </x:c>
      <x:c r="B80" s="16" t="str">
        <x:v>2000068321-U117</x:v>
      </x:c>
      <x:c r="C80" s="16" t="str">
        <x:v>БОЛТ М30*130 ГОСТ7805-70</x:v>
      </x:c>
      <x:c r="D80" s="16" t="str">
        <x:v>Метизы</x:v>
      </x:c>
      <x:c r="E80" s="16" t="str">
        <x:v>КГ</x:v>
      </x:c>
      <x:c r="F80" s="30" t="n">
        <x:v>30.36</x:v>
      </x:c>
      <x:c r="G80" s="17" t="n">
        <x:v>113.3136</x:v>
      </x:c>
      <x:c r="H80" s="17" t="n">
        <x:f>G80*F80</x:f>
        <x:v>3440.200896</x:v>
      </x:c>
      <x:c r="I80" s="22" t="str">
        <x:f>HYPERLINK("https://etp-aktiv.ru/catalog/materialy/metizy/2000068321-U117/","Открыть позицию")</x:f>
        <x:v>Открыть позицию</x:v>
      </x:c>
    </x:row>
    <x:row r="81" ht="28" customHeight="1">
      <x:c r="A81" s="16" t="str">
        <x:v>Приморская ГРЭС</x:v>
      </x:c>
      <x:c r="B81" s="16" t="str">
        <x:v>2000068256-U117</x:v>
      </x:c>
      <x:c r="C81" s="16" t="str">
        <x:v>БОЛТ М30*150 ГОСТ7805-70</x:v>
      </x:c>
      <x:c r="D81" s="16" t="str">
        <x:v>Метизы</x:v>
      </x:c>
      <x:c r="E81" s="16" t="str">
        <x:v>КГ</x:v>
      </x:c>
      <x:c r="F81" s="26" t="n">
        <x:v>0.5</x:v>
      </x:c>
      <x:c r="G81" s="17" t="n">
        <x:v>210.4988</x:v>
      </x:c>
      <x:c r="H81" s="17" t="n">
        <x:f>G81*F81</x:f>
        <x:v>105.2494</x:v>
      </x:c>
      <x:c r="I81" s="22" t="str">
        <x:f>HYPERLINK("https://etp-aktiv.ru/catalog/materialy/metizy/2000068256-U117/","Открыть позицию")</x:f>
        <x:v>Открыть позицию</x:v>
      </x:c>
    </x:row>
    <x:row r="82" ht="28" customHeight="1">
      <x:c r="A82" s="16" t="str">
        <x:v>Приморская ГРЭС</x:v>
      </x:c>
      <x:c r="B82" s="16" t="str">
        <x:v>2000158334-U117</x:v>
      </x:c>
      <x:c r="C82" s="16" t="str">
        <x:v>БОЛТ М30*160 ГОСТ7805-70</x:v>
      </x:c>
      <x:c r="D82" s="16" t="str">
        <x:v>Метизы</x:v>
      </x:c>
      <x:c r="E82" s="16" t="str">
        <x:v>КГ</x:v>
      </x:c>
      <x:c r="F82" s="30" t="n">
        <x:v>99.83</x:v>
      </x:c>
      <x:c r="G82" s="17" t="n">
        <x:v>207.5098</x:v>
      </x:c>
      <x:c r="H82" s="17" t="n">
        <x:f>G82*F82</x:f>
        <x:v>20715.703334</x:v>
      </x:c>
      <x:c r="I82" s="22" t="str">
        <x:f>HYPERLINK("https://etp-aktiv.ru/catalog/materialy/metizy/2000158334-U117/","Открыть позицию")</x:f>
        <x:v>Открыть позицию</x:v>
      </x:c>
    </x:row>
    <x:row r="83" ht="28" customHeight="1">
      <x:c r="A83" s="16" t="str">
        <x:v>Приморская ГРЭС</x:v>
      </x:c>
      <x:c r="B83" s="16" t="str">
        <x:v>2000150081-U117</x:v>
      </x:c>
      <x:c r="C83" s="16" t="str">
        <x:v>БОЛТ М30*200 ГОСТ7798-70</x:v>
      </x:c>
      <x:c r="D83" s="16" t="str">
        <x:v>Метизы</x:v>
      </x:c>
      <x:c r="E83" s="16" t="str">
        <x:v>КГ</x:v>
      </x:c>
      <x:c r="F83" s="30" t="n">
        <x:v>7.2</x:v>
      </x:c>
      <x:c r="G83" s="17" t="n">
        <x:v>110.22699999999999</x:v>
      </x:c>
      <x:c r="H83" s="17" t="n">
        <x:f>G83*F83</x:f>
        <x:v>793.6343999999999</x:v>
      </x:c>
      <x:c r="I83" s="22" t="str">
        <x:f>HYPERLINK("https://etp-aktiv.ru/catalog/materialy/metizy/2000150081-U117/","Открыть позицию")</x:f>
        <x:v>Открыть позицию</x:v>
      </x:c>
    </x:row>
    <x:row r="84" ht="28" customHeight="1">
      <x:c r="A84" s="16" t="str">
        <x:v>Приморская ГРЭС</x:v>
      </x:c>
      <x:c r="B84" s="16" t="str">
        <x:v>2000521620-U117</x:v>
      </x:c>
      <x:c r="C84" s="16" t="str">
        <x:v>БОЛТ М30-6G*280.58(S46).20.0112 ГОСТ7798</x:v>
      </x:c>
      <x:c r="D84" s="16" t="str">
        <x:v>Метизы</x:v>
      </x:c>
      <x:c r="E84" s="16" t="str">
        <x:v>КГ</x:v>
      </x:c>
      <x:c r="F84" s="21" t="n">
        <x:v>71</x:v>
      </x:c>
      <x:c r="G84" s="17" t="n">
        <x:v>296.8016</x:v>
      </x:c>
      <x:c r="H84" s="17" t="n">
        <x:f>G84*F84</x:f>
        <x:v>21072.9136</x:v>
      </x:c>
      <x:c r="I84" s="22" t="str">
        <x:f>HYPERLINK("https://etp-aktiv.ru/catalog/materialy/metizy/2000521620-U117/","Открыть позицию")</x:f>
        <x:v>Открыть позицию</x:v>
      </x:c>
    </x:row>
    <x:row r="85" ht="28" customHeight="1">
      <x:c r="A85" s="16" t="str">
        <x:v>Приморская ГРЭС</x:v>
      </x:c>
      <x:c r="B85" s="16" t="str">
        <x:v>2000163261-U117</x:v>
      </x:c>
      <x:c r="C85" s="16" t="str">
        <x:v>БОЛТ М36*120 ГОСТ7805-70</x:v>
      </x:c>
      <x:c r="D85" s="16" t="str">
        <x:v>Метизы</x:v>
      </x:c>
      <x:c r="E85" s="16" t="str">
        <x:v>КГ</x:v>
      </x:c>
      <x:c r="F85" s="21" t="n">
        <x:v>28</x:v>
      </x:c>
      <x:c r="G85" s="17" t="n">
        <x:v>265.0084</x:v>
      </x:c>
      <x:c r="H85" s="17" t="n">
        <x:f>G85*F85</x:f>
        <x:v>7420.2352</x:v>
      </x:c>
      <x:c r="I85" s="22" t="str">
        <x:f>HYPERLINK("https://etp-aktiv.ru/catalog/materialy/metizy/2000163261-U117/","Открыть позицию")</x:f>
        <x:v>Открыть позицию</x:v>
      </x:c>
    </x:row>
    <x:row r="86" ht="28" customHeight="1">
      <x:c r="A86" s="16" t="str">
        <x:v>Приморская ГРЭС</x:v>
      </x:c>
      <x:c r="B86" s="16" t="str">
        <x:v>2000529992-U117</x:v>
      </x:c>
      <x:c r="C86" s="16" t="str">
        <x:v>БОЛТ М36*160 ГОСТ7798-70</x:v>
      </x:c>
      <x:c r="D86" s="16" t="str">
        <x:v>Метизы</x:v>
      </x:c>
      <x:c r="E86" s="16" t="str">
        <x:v>КГ</x:v>
      </x:c>
      <x:c r="F86" s="30" t="n">
        <x:v>200.653</x:v>
      </x:c>
      <x:c r="G86" s="17" t="n">
        <x:v>228.11559999999997</x:v>
      </x:c>
      <x:c r="H86" s="17" t="n">
        <x:f>G86*F86</x:f>
        <x:v>45772.079486799994</x:v>
      </x:c>
      <x:c r="I86" s="22" t="str">
        <x:f>HYPERLINK("https://etp-aktiv.ru/catalog/materialy/metizy/2000529992-U117/","Открыть позицию")</x:f>
        <x:v>Открыть позицию</x:v>
      </x:c>
    </x:row>
    <x:row r="87" ht="28" customHeight="1">
      <x:c r="A87" s="16" t="str">
        <x:v>Приморская ГРЭС</x:v>
      </x:c>
      <x:c r="B87" s="16" t="str">
        <x:v>2000068251-U117</x:v>
      </x:c>
      <x:c r="C87" s="16" t="str">
        <x:v>БОЛТ М36*200 ГОСТ7805-70</x:v>
      </x:c>
      <x:c r="D87" s="16" t="str">
        <x:v>Метизы</x:v>
      </x:c>
      <x:c r="E87" s="16" t="str">
        <x:v>КГ</x:v>
      </x:c>
      <x:c r="F87" s="30" t="n">
        <x:v>91.35</x:v>
      </x:c>
      <x:c r="G87" s="17" t="n">
        <x:v>182.4998</x:v>
      </x:c>
      <x:c r="H87" s="17" t="n">
        <x:f>G87*F87</x:f>
        <x:v>16671.35673</x:v>
      </x:c>
      <x:c r="I87" s="22" t="str">
        <x:f>HYPERLINK("https://etp-aktiv.ru/catalog/materialy/metizy/2000068251-U117/","Открыть позицию")</x:f>
        <x:v>Открыть позицию</x:v>
      </x:c>
    </x:row>
    <x:row r="88" ht="28" customHeight="1">
      <x:c r="A88" s="16" t="str">
        <x:v>Приморская ГРЭС</x:v>
      </x:c>
      <x:c r="B88" s="16" t="str">
        <x:v>2000330213-U117</x:v>
      </x:c>
      <x:c r="C88" s="16" t="str">
        <x:v>БОЛТ М5*10 8.8 ОЦИНК DIN933</x:v>
      </x:c>
      <x:c r="D88" s="16" t="str">
        <x:v>Метизы</x:v>
      </x:c>
      <x:c r="E88" s="16" t="str">
        <x:v>КГ</x:v>
      </x:c>
      <x:c r="F88" s="21" t="n">
        <x:v>1</x:v>
      </x:c>
      <x:c r="G88" s="17" t="n">
        <x:v>265.34999999999997</x:v>
      </x:c>
      <x:c r="H88" s="17" t="n">
        <x:f>G88*F88</x:f>
        <x:v>265.34999999999997</x:v>
      </x:c>
      <x:c r="I88" s="22" t="str">
        <x:f>HYPERLINK("https://etp-aktiv.ru/catalog/materialy/metizy/2000330213-U117/","Открыть позицию")</x:f>
        <x:v>Открыть позицию</x:v>
      </x:c>
    </x:row>
    <x:row r="89" ht="28" customHeight="1">
      <x:c r="A89" s="16" t="str">
        <x:v>Приморская ГРЭС</x:v>
      </x:c>
      <x:c r="B89" s="16" t="str">
        <x:v>2000452836-U117</x:v>
      </x:c>
      <x:c r="C89" s="16" t="str">
        <x:v>БОЛТ М5*20 8.8 ОЦИНК DIN933</x:v>
      </x:c>
      <x:c r="D89" s="16" t="str">
        <x:v>Метизы</x:v>
      </x:c>
      <x:c r="E89" s="16" t="str">
        <x:v>КГ</x:v>
      </x:c>
      <x:c r="F89" s="21" t="n">
        <x:v>2</x:v>
      </x:c>
      <x:c r="G89" s="17" t="n">
        <x:v>196.4566</x:v>
      </x:c>
      <x:c r="H89" s="17" t="n">
        <x:f>G89*F89</x:f>
        <x:v>392.9132</x:v>
      </x:c>
      <x:c r="I89" s="22" t="str">
        <x:f>HYPERLINK("https://etp-aktiv.ru/catalog/materialy/metizy/2000452836-U117/","Открыть позицию")</x:f>
        <x:v>Открыть позицию</x:v>
      </x:c>
    </x:row>
    <x:row r="90" ht="28" customHeight="1">
      <x:c r="A90" s="16" t="str">
        <x:v>Приморская ГРЭС</x:v>
      </x:c>
      <x:c r="B90" s="16" t="str">
        <x:v>2000208370-U117</x:v>
      </x:c>
      <x:c r="C90" s="16" t="str">
        <x:v>БОЛТ М6*20 8.8 ОЦИНК DIN933</x:v>
      </x:c>
      <x:c r="D90" s="16" t="str">
        <x:v>Метизы</x:v>
      </x:c>
      <x:c r="E90" s="16" t="str">
        <x:v>КГ</x:v>
      </x:c>
      <x:c r="F90" s="30" t="n">
        <x:v>28.5</x:v>
      </x:c>
      <x:c r="G90" s="17" t="n">
        <x:v>170.00699999999998</x:v>
      </x:c>
      <x:c r="H90" s="17" t="n">
        <x:f>G90*F90</x:f>
        <x:v>4845.1995</x:v>
      </x:c>
      <x:c r="I90" s="22" t="str">
        <x:f>HYPERLINK("https://etp-aktiv.ru/catalog/materialy/metizy/2000208370-U117/","Открыть позицию")</x:f>
        <x:v>Открыть позицию</x:v>
      </x:c>
    </x:row>
    <x:row r="91" ht="28" customHeight="1">
      <x:c r="A91" s="16" t="str">
        <x:v>Приморская ГРЭС</x:v>
      </x:c>
      <x:c r="B91" s="16" t="str">
        <x:v>2000068336-U117</x:v>
      </x:c>
      <x:c r="C91" s="16" t="str">
        <x:v>БОЛТ М6*20 ГОСТ7805-70</x:v>
      </x:c>
      <x:c r="D91" s="16" t="str">
        <x:v>Метизы</x:v>
      </x:c>
      <x:c r="E91" s="16" t="str">
        <x:v>КГ</x:v>
      </x:c>
      <x:c r="F91" s="30" t="n">
        <x:v>2.126</x:v>
      </x:c>
      <x:c r="G91" s="17" t="n">
        <x:v>112.6426</x:v>
      </x:c>
      <x:c r="H91" s="17" t="n">
        <x:f>G91*F91</x:f>
        <x:v>239.47816759999998</x:v>
      </x:c>
      <x:c r="I91" s="22" t="str">
        <x:f>HYPERLINK("https://etp-aktiv.ru/catalog/materialy/metizy/2000068336-U117/","Открыть позицию")</x:f>
        <x:v>Открыть позицию</x:v>
      </x:c>
    </x:row>
    <x:row r="92" ht="28" customHeight="1">
      <x:c r="A92" s="16" t="str">
        <x:v>Приморская ГРЭС</x:v>
      </x:c>
      <x:c r="B92" s="16" t="str">
        <x:v>2000068344-U117</x:v>
      </x:c>
      <x:c r="C92" s="16" t="str">
        <x:v>БОЛТ М6*30 ГОСТ7805-70</x:v>
      </x:c>
      <x:c r="D92" s="16" t="str">
        <x:v>Метизы</x:v>
      </x:c>
      <x:c r="E92" s="16" t="str">
        <x:v>КГ</x:v>
      </x:c>
      <x:c r="F92" s="26" t="n">
        <x:v>0.918</x:v>
      </x:c>
      <x:c r="G92" s="17" t="n">
        <x:v>107.4576</x:v>
      </x:c>
      <x:c r="H92" s="17" t="n">
        <x:f>G92*F92</x:f>
        <x:v>98.6460768</x:v>
      </x:c>
      <x:c r="I92" s="22" t="str">
        <x:f>HYPERLINK("https://etp-aktiv.ru/catalog/materialy/metizy/2000068344-U117/","Открыть позицию")</x:f>
        <x:v>Открыть позицию</x:v>
      </x:c>
    </x:row>
    <x:row r="93" ht="28" customHeight="1">
      <x:c r="A93" s="16" t="str">
        <x:v>Приморская ГРЭС</x:v>
      </x:c>
      <x:c r="B93" s="16" t="str">
        <x:v>2000068348-U117</x:v>
      </x:c>
      <x:c r="C93" s="16" t="str">
        <x:v>БОЛТ М6*40 ГОСТ7805-70</x:v>
      </x:c>
      <x:c r="D93" s="16" t="str">
        <x:v>Метизы</x:v>
      </x:c>
      <x:c r="E93" s="16" t="str">
        <x:v>КГ</x:v>
      </x:c>
      <x:c r="F93" s="30" t="n">
        <x:v>18.486</x:v>
      </x:c>
      <x:c r="G93" s="17" t="n">
        <x:v>108.98259999999999</x:v>
      </x:c>
      <x:c r="H93" s="17" t="n">
        <x:f>G93*F93</x:f>
        <x:v>2014.6523436</x:v>
      </x:c>
      <x:c r="I93" s="22" t="str">
        <x:f>HYPERLINK("https://etp-aktiv.ru/catalog/materialy/metizy/2000068348-U117/","Открыть позицию")</x:f>
        <x:v>Открыть позицию</x:v>
      </x:c>
    </x:row>
    <x:row r="94" ht="28" customHeight="1">
      <x:c r="A94" s="16" t="str">
        <x:v>Приморская ГРЭС</x:v>
      </x:c>
      <x:c r="B94" s="16" t="str">
        <x:v>2000337622-U117</x:v>
      </x:c>
      <x:c r="C94" s="16" t="str">
        <x:v>БОЛТ М6*50 8.8 ОЦИНК DIN933</x:v>
      </x:c>
      <x:c r="D94" s="16" t="str">
        <x:v>Метизы</x:v>
      </x:c>
      <x:c r="E94" s="16" t="str">
        <x:v>КГ</x:v>
      </x:c>
      <x:c r="F94" s="26" t="n">
        <x:v>0.2</x:v>
      </x:c>
      <x:c r="G94" s="17" t="n">
        <x:v>146.1316</x:v>
      </x:c>
      <x:c r="H94" s="17" t="n">
        <x:f>G94*F94</x:f>
        <x:v>29.22632</x:v>
      </x:c>
      <x:c r="I94" s="22" t="str">
        <x:f>HYPERLINK("https://etp-aktiv.ru/catalog/materialy/metizy/2000337622-U117/","Открыть позицию")</x:f>
        <x:v>Открыть позицию</x:v>
      </x:c>
    </x:row>
    <x:row r="95" ht="28" customHeight="1">
      <x:c r="A95" s="16" t="str">
        <x:v>Приморская ГРЭС</x:v>
      </x:c>
      <x:c r="B95" s="16" t="str">
        <x:v>2000068366-U117</x:v>
      </x:c>
      <x:c r="C95" s="16" t="str">
        <x:v>БОЛТ М6*50 ГОСТ7798-70</x:v>
      </x:c>
      <x:c r="D95" s="16" t="str">
        <x:v>Метизы</x:v>
      </x:c>
      <x:c r="E95" s="16" t="str">
        <x:v>КГ</x:v>
      </x:c>
      <x:c r="F95" s="30" t="n">
        <x:v>22.3</x:v>
      </x:c>
      <x:c r="G95" s="17" t="n">
        <x:v>114.924</x:v>
      </x:c>
      <x:c r="H95" s="17" t="n">
        <x:f>G95*F95</x:f>
        <x:v>2562.8052000000002</x:v>
      </x:c>
      <x:c r="I95" s="22" t="str">
        <x:f>HYPERLINK("https://etp-aktiv.ru/catalog/materialy/metizy/2000068366-U117/","Открыть позицию")</x:f>
        <x:v>Открыть позицию</x:v>
      </x:c>
    </x:row>
    <x:row r="96" ht="28" customHeight="1">
      <x:c r="A96" s="16" t="str">
        <x:v>Приморская ГРЭС</x:v>
      </x:c>
      <x:c r="B96" s="16" t="str">
        <x:v>2000171394-U117</x:v>
      </x:c>
      <x:c r="C96" s="16" t="str">
        <x:v>БОЛТ М6*80 ГОСТ7798-70</x:v>
      </x:c>
      <x:c r="D96" s="16" t="str">
        <x:v>Метизы</x:v>
      </x:c>
      <x:c r="E96" s="16" t="str">
        <x:v>КГ</x:v>
      </x:c>
      <x:c r="F96" s="21" t="n">
        <x:v>13</x:v>
      </x:c>
      <x:c r="G96" s="17" t="n">
        <x:v>114.50919999999999</x:v>
      </x:c>
      <x:c r="H96" s="17" t="n">
        <x:f>G96*F96</x:f>
        <x:v>1488.6196</x:v>
      </x:c>
      <x:c r="I96" s="22" t="str">
        <x:f>HYPERLINK("https://etp-aktiv.ru/catalog/materialy/metizy/2000171394-U117/","Открыть позицию")</x:f>
        <x:v>Открыть позицию</x:v>
      </x:c>
    </x:row>
    <x:row r="97" ht="28" customHeight="1">
      <x:c r="A97" s="16" t="str">
        <x:v>Приморская ГРЭС</x:v>
      </x:c>
      <x:c r="B97" s="16" t="str">
        <x:v>2000020385-U117</x:v>
      </x:c>
      <x:c r="C97" s="16" t="str">
        <x:v>БОЛТ М8*20 ОЦИНК ГОСТ7798-70</x:v>
      </x:c>
      <x:c r="D97" s="16" t="str">
        <x:v>Метизы</x:v>
      </x:c>
      <x:c r="E97" s="16" t="str">
        <x:v>КГ</x:v>
      </x:c>
      <x:c r="F97" s="30" t="n">
        <x:v>20.4</x:v>
      </x:c>
      <x:c r="G97" s="17" t="n">
        <x:v>130.0032</x:v>
      </x:c>
      <x:c r="H97" s="17" t="n">
        <x:f>G97*F97</x:f>
        <x:v>2652.06528</x:v>
      </x:c>
      <x:c r="I97" s="22" t="str">
        <x:f>HYPERLINK("https://etp-aktiv.ru/catalog/materialy/metizy/2000020385-U117/","Открыть позицию")</x:f>
        <x:v>Открыть позицию</x:v>
      </x:c>
    </x:row>
    <x:row r="98" ht="28" customHeight="1">
      <x:c r="A98" s="16" t="str">
        <x:v>Приморская ГРЭС</x:v>
      </x:c>
      <x:c r="B98" s="16" t="str">
        <x:v>2000387634-U117</x:v>
      </x:c>
      <x:c r="C98" s="16" t="str">
        <x:v>БОЛТ М8*25 8.8 ОЦИНК DIN933</x:v>
      </x:c>
      <x:c r="D98" s="16" t="str">
        <x:v>Метизы</x:v>
      </x:c>
      <x:c r="E98" s="16" t="str">
        <x:v>КГ</x:v>
      </x:c>
      <x:c r="F98" s="26" t="n">
        <x:v>0.345</x:v>
      </x:c>
      <x:c r="G98" s="17" t="n">
        <x:v>190.50300000000001</x:v>
      </x:c>
      <x:c r="H98" s="17" t="n">
        <x:f>G98*F98</x:f>
        <x:v>65.723535</x:v>
      </x:c>
      <x:c r="I98" s="22" t="str">
        <x:f>HYPERLINK("https://etp-aktiv.ru/catalog/materialy/metizy/2000387634-U117/","Открыть позицию")</x:f>
        <x:v>Открыть позицию</x:v>
      </x:c>
    </x:row>
    <x:row r="99" ht="28" customHeight="1">
      <x:c r="A99" s="16" t="str">
        <x:v>Приморская ГРЭС</x:v>
      </x:c>
      <x:c r="B99" s="16" t="str">
        <x:v>2000130253-U117</x:v>
      </x:c>
      <x:c r="C99" s="16" t="str">
        <x:v>БОЛТ М8*25 ГОСТ7798-70</x:v>
      </x:c>
      <x:c r="D99" s="16" t="str">
        <x:v>Метизы</x:v>
      </x:c>
      <x:c r="E99" s="16" t="str">
        <x:v>КГ</x:v>
      </x:c>
      <x:c r="F99" s="30" t="n">
        <x:v>6.64</x:v>
      </x:c>
      <x:c r="G99" s="17" t="n">
        <x:v>92.80539999999999</x:v>
      </x:c>
      <x:c r="H99" s="17" t="n">
        <x:f>G99*F99</x:f>
        <x:v>616.2278559999999</x:v>
      </x:c>
      <x:c r="I99" s="22" t="str">
        <x:f>HYPERLINK("https://etp-aktiv.ru/catalog/materialy/metizy/2000130253-U117/","Открыть позицию")</x:f>
        <x:v>Открыть позицию</x:v>
      </x:c>
    </x:row>
    <x:row r="100" ht="28" customHeight="1">
      <x:c r="A100" s="16" t="str">
        <x:v>Приморская ГРЭС</x:v>
      </x:c>
      <x:c r="B100" s="16" t="str">
        <x:v>2000068373-U117</x:v>
      </x:c>
      <x:c r="C100" s="16" t="str">
        <x:v>БОЛТ М8*25 ГОСТ7805-70</x:v>
      </x:c>
      <x:c r="D100" s="16" t="str">
        <x:v>Метизы</x:v>
      </x:c>
      <x:c r="E100" s="16" t="str">
        <x:v>КГ</x:v>
      </x:c>
      <x:c r="F100" s="30" t="n">
        <x:v>17.8</x:v>
      </x:c>
      <x:c r="G100" s="17" t="n">
        <x:v>96.00179999999999</x:v>
      </x:c>
      <x:c r="H100" s="17" t="n">
        <x:f>G100*F100</x:f>
        <x:v>1708.8320399999998</x:v>
      </x:c>
      <x:c r="I100" s="22" t="str">
        <x:f>HYPERLINK("https://etp-aktiv.ru/catalog/materialy/metizy/2000068373-U117/","Открыть позицию")</x:f>
        <x:v>Открыть позицию</x:v>
      </x:c>
    </x:row>
    <x:row r="101" ht="28" customHeight="1">
      <x:c r="A101" s="16" t="str">
        <x:v>Приморская ГРЭС</x:v>
      </x:c>
      <x:c r="B101" s="16" t="str">
        <x:v>2000729656-U117</x:v>
      </x:c>
      <x:c r="C101" s="16" t="str">
        <x:v>БОЛТ М8*25 ОЦИНКОВАННЫЙ DIN933</x:v>
      </x:c>
      <x:c r="D101" s="16" t="str">
        <x:v>Метизы</x:v>
      </x:c>
      <x:c r="E101" s="16" t="str">
        <x:v>КГ</x:v>
      </x:c>
      <x:c r="F101" s="30" t="n">
        <x:v>7.9</x:v>
      </x:c>
      <x:c r="G101" s="17" t="n">
        <x:v>101.4064</x:v>
      </x:c>
      <x:c r="H101" s="17" t="n">
        <x:f>G101*F101</x:f>
        <x:v>801.1105600000001</x:v>
      </x:c>
      <x:c r="I101" s="22" t="str">
        <x:f>HYPERLINK("https://etp-aktiv.ru/catalog/materialy/metizy/2000729656-U117/","Открыть позицию")</x:f>
        <x:v>Открыть позицию</x:v>
      </x:c>
    </x:row>
    <x:row r="102" ht="28" customHeight="1">
      <x:c r="A102" s="16" t="str">
        <x:v>Приморская ГРЭС</x:v>
      </x:c>
      <x:c r="B102" s="16" t="str">
        <x:v>2000375999-U117</x:v>
      </x:c>
      <x:c r="C102" s="16" t="str">
        <x:v>БОЛТ М8*30 4.8 ОЦИНК DIN933</x:v>
      </x:c>
      <x:c r="D102" s="16" t="str">
        <x:v>Метизы</x:v>
      </x:c>
      <x:c r="E102" s="16" t="str">
        <x:v>КГ</x:v>
      </x:c>
      <x:c r="F102" s="21" t="n">
        <x:v>2</x:v>
      </x:c>
      <x:c r="G102" s="17" t="n">
        <x:v>244.12199999999999</x:v>
      </x:c>
      <x:c r="H102" s="17" t="n">
        <x:f>G102*F102</x:f>
        <x:v>488.24399999999997</x:v>
      </x:c>
      <x:c r="I102" s="22" t="str">
        <x:f>HYPERLINK("https://etp-aktiv.ru/catalog/materialy/metizy/2000375999-U117/","Открыть позицию")</x:f>
        <x:v>Открыть позицию</x:v>
      </x:c>
    </x:row>
    <x:row r="103" ht="28" customHeight="1">
      <x:c r="A103" s="16" t="str">
        <x:v>Приморская ГРЭС</x:v>
      </x:c>
      <x:c r="B103" s="16" t="str">
        <x:v>2000068374-U117</x:v>
      </x:c>
      <x:c r="C103" s="16" t="str">
        <x:v>БОЛТ М8*30 ГОСТ7805-70</x:v>
      </x:c>
      <x:c r="D103" s="16" t="str">
        <x:v>Метизы</x:v>
      </x:c>
      <x:c r="E103" s="16" t="str">
        <x:v>КГ</x:v>
      </x:c>
      <x:c r="F103" s="30" t="n">
        <x:v>10.33</x:v>
      </x:c>
      <x:c r="G103" s="17" t="n">
        <x:v>90.3166</x:v>
      </x:c>
      <x:c r="H103" s="17" t="n">
        <x:f>G103*F103</x:f>
        <x:v>932.970478</x:v>
      </x:c>
      <x:c r="I103" s="22" t="str">
        <x:f>HYPERLINK("https://etp-aktiv.ru/catalog/materialy/metizy/2000068374-U117/","Открыть позицию")</x:f>
        <x:v>Открыть позицию</x:v>
      </x:c>
    </x:row>
    <x:row r="104" ht="28" customHeight="1">
      <x:c r="A104" s="16" t="str">
        <x:v>Приморская ГРЭС</x:v>
      </x:c>
      <x:c r="B104" s="16" t="str">
        <x:v>2000304489-U117</x:v>
      </x:c>
      <x:c r="C104" s="16" t="str">
        <x:v>БОЛТ М8*40 8.8 ОЦИНК DIN933</x:v>
      </x:c>
      <x:c r="D104" s="16" t="str">
        <x:v>Метизы</x:v>
      </x:c>
      <x:c r="E104" s="16" t="str">
        <x:v>КГ</x:v>
      </x:c>
      <x:c r="F104" s="30" t="n">
        <x:v>23.3</x:v>
      </x:c>
      <x:c r="G104" s="17" t="n">
        <x:v>170.00699999999998</x:v>
      </x:c>
      <x:c r="H104" s="17" t="n">
        <x:f>G104*F104</x:f>
        <x:v>3961.1630999999998</x:v>
      </x:c>
      <x:c r="I104" s="22" t="str">
        <x:f>HYPERLINK("https://etp-aktiv.ru/catalog/materialy/metizy/2000304489-U117/","Открыть позицию")</x:f>
        <x:v>Открыть позицию</x:v>
      </x:c>
    </x:row>
    <x:row r="105" ht="28" customHeight="1">
      <x:c r="A105" s="16" t="str">
        <x:v>Приморская ГРЭС</x:v>
      </x:c>
      <x:c r="B105" s="16" t="str">
        <x:v>2000068376-U117</x:v>
      </x:c>
      <x:c r="C105" s="16" t="str">
        <x:v>БОЛТ М8*40 ГОСТ7805-70</x:v>
      </x:c>
      <x:c r="D105" s="16" t="str">
        <x:v>Метизы</x:v>
      </x:c>
      <x:c r="E105" s="16" t="str">
        <x:v>КГ</x:v>
      </x:c>
      <x:c r="F105" s="30" t="n">
        <x:v>15.495</x:v>
      </x:c>
      <x:c r="G105" s="17" t="n">
        <x:v>104.5174</x:v>
      </x:c>
      <x:c r="H105" s="17" t="n">
        <x:f>G105*F105</x:f>
        <x:v>1619.497113</x:v>
      </x:c>
      <x:c r="I105" s="22" t="str">
        <x:f>HYPERLINK("https://etp-aktiv.ru/catalog/materialy/metizy/2000068376-U117/","Открыть позицию")</x:f>
        <x:v>Открыть позицию</x:v>
      </x:c>
    </x:row>
    <x:row r="106" ht="28" customHeight="1">
      <x:c r="A106" s="16" t="str">
        <x:v>Приморская ГРЭС</x:v>
      </x:c>
      <x:c r="B106" s="16" t="str">
        <x:v>2000068377-U117</x:v>
      </x:c>
      <x:c r="C106" s="16" t="str">
        <x:v>БОЛТ М8*50 ГОСТ7805-70</x:v>
      </x:c>
      <x:c r="D106" s="16" t="str">
        <x:v>Метизы</x:v>
      </x:c>
      <x:c r="E106" s="16" t="str">
        <x:v>КГ</x:v>
      </x:c>
      <x:c r="F106" s="30" t="n">
        <x:v>3.1</x:v>
      </x:c>
      <x:c r="G106" s="17" t="n">
        <x:v>83.8872</x:v>
      </x:c>
      <x:c r="H106" s="17" t="n">
        <x:f>G106*F106</x:f>
        <x:v>260.05032000000006</x:v>
      </x:c>
      <x:c r="I106" s="22" t="str">
        <x:f>HYPERLINK("https://etp-aktiv.ru/catalog/materialy/metizy/2000068377-U117/","Открыть позицию")</x:f>
        <x:v>Открыть позицию</x:v>
      </x:c>
    </x:row>
    <x:row r="107" ht="28" customHeight="1">
      <x:c r="A107" s="16" t="str">
        <x:v>Приморская ГРЭС</x:v>
      </x:c>
      <x:c r="B107" s="16" t="str">
        <x:v>2000068378-U117</x:v>
      </x:c>
      <x:c r="C107" s="16" t="str">
        <x:v>БОЛТ М8*60 ГОСТ7805-70</x:v>
      </x:c>
      <x:c r="D107" s="16" t="str">
        <x:v>Метизы</x:v>
      </x:c>
      <x:c r="E107" s="16" t="str">
        <x:v>КГ</x:v>
      </x:c>
      <x:c r="F107" s="21" t="n">
        <x:v>49</x:v>
      </x:c>
      <x:c r="G107" s="17" t="n">
        <x:v>147.6932</x:v>
      </x:c>
      <x:c r="H107" s="17" t="n">
        <x:f>G107*F107</x:f>
        <x:v>7236.966799999999</x:v>
      </x:c>
      <x:c r="I107" s="22" t="str">
        <x:f>HYPERLINK("https://etp-aktiv.ru/catalog/materialy/metizy/2000068378-U117/","Открыть позицию")</x:f>
        <x:v>Открыть позицию</x:v>
      </x:c>
    </x:row>
    <x:row r="108" ht="28" customHeight="1">
      <x:c r="A108" s="16" t="str">
        <x:v>Приморская ГРЭС</x:v>
      </x:c>
      <x:c r="B108" s="16" t="str">
        <x:v>2000068379-U117</x:v>
      </x:c>
      <x:c r="C108" s="16" t="str">
        <x:v>БОЛТ М8*70 ГОСТ7805-70</x:v>
      </x:c>
      <x:c r="D108" s="16" t="str">
        <x:v>Метизы</x:v>
      </x:c>
      <x:c r="E108" s="16" t="str">
        <x:v>КГ</x:v>
      </x:c>
      <x:c r="F108" s="21" t="n">
        <x:v>4</x:v>
      </x:c>
      <x:c r="G108" s="17" t="n">
        <x:v>182.39</x:v>
      </x:c>
      <x:c r="H108" s="17" t="n">
        <x:f>G108*F108</x:f>
        <x:v>729.56</x:v>
      </x:c>
      <x:c r="I108" s="22" t="str">
        <x:f>HYPERLINK("https://etp-aktiv.ru/catalog/materialy/metizy/2000068379-U117/","Открыть позицию")</x:f>
        <x:v>Открыть позицию</x:v>
      </x:c>
    </x:row>
    <x:row r="109" ht="28" customHeight="1">
      <x:c r="A109" s="16" t="str">
        <x:v>Приморская ГРЭС</x:v>
      </x:c>
      <x:c r="B109" s="16" t="str">
        <x:v>2000452269-U117</x:v>
      </x:c>
      <x:c r="C109" s="16" t="str">
        <x:v>БОЛТ М8*80 8.8 ОЦИНК DIN933</x:v>
      </x:c>
      <x:c r="D109" s="16" t="str">
        <x:v>Метизы</x:v>
      </x:c>
      <x:c r="E109" s="16" t="str">
        <x:v>КГ</x:v>
      </x:c>
      <x:c r="F109" s="30" t="n">
        <x:v>1.2</x:v>
      </x:c>
      <x:c r="G109" s="17" t="n">
        <x:v>196.42</x:v>
      </x:c>
      <x:c r="H109" s="17" t="n">
        <x:f>G109*F109</x:f>
        <x:v>235.70399999999998</x:v>
      </x:c>
      <x:c r="I109" s="22" t="str">
        <x:f>HYPERLINK("https://etp-aktiv.ru/catalog/materialy/metizy/2000452269-U117/","Открыть позицию")</x:f>
        <x:v>Открыть позицию</x:v>
      </x:c>
    </x:row>
    <x:row r="110" ht="28" customHeight="1">
      <x:c r="A110" s="16" t="str">
        <x:v>Приморская ГРЭС</x:v>
      </x:c>
      <x:c r="B110" s="16" t="str">
        <x:v>2000240377-U117</x:v>
      </x:c>
      <x:c r="C110" s="16" t="str">
        <x:v>БОЛТ М8*90 8.8 ОЦИНК DIN933</x:v>
      </x:c>
      <x:c r="D110" s="16" t="str">
        <x:v>Метизы</x:v>
      </x:c>
      <x:c r="E110" s="16" t="str">
        <x:v>КГ</x:v>
      </x:c>
      <x:c r="F110" s="21" t="n">
        <x:v>9</x:v>
      </x:c>
      <x:c r="G110" s="17" t="n">
        <x:v>170.00699999999998</x:v>
      </x:c>
      <x:c r="H110" s="17" t="n">
        <x:f>G110*F110</x:f>
        <x:v>1530.0629999999999</x:v>
      </x:c>
      <x:c r="I110" s="22" t="str">
        <x:f>HYPERLINK("https://etp-aktiv.ru/catalog/materialy/metizy/2000240377-U117/","Открыть позицию")</x:f>
        <x:v>Открыть позицию</x:v>
      </x:c>
    </x:row>
    <x:row r="111" ht="28" customHeight="1">
      <x:c r="A111" s="16" t="str">
        <x:v>Приморская ГРЭС</x:v>
      </x:c>
      <x:c r="B111" s="16" t="str">
        <x:v>2000549742-U117</x:v>
      </x:c>
      <x:c r="C111" s="16" t="str">
        <x:v>ВИЛКА КАБЕЛЬНАЯ ISQ0070 10-25 СВАРОГ</x:v>
      </x:c>
      <x:c r="D111" s="16" t="str">
        <x:v>Комплектующие и запасные части к сварочному оборудованию</x:v>
      </x:c>
      <x:c r="E111" s="16" t="str">
        <x:v>ШТ</x:v>
      </x:c>
      <x:c r="F111" s="21" t="n">
        <x:v>5</x:v>
      </x:c>
      <x:c r="G111" s="17" t="n">
        <x:v>113.2282</x:v>
      </x:c>
      <x:c r="H111" s="17" t="n">
        <x:f>G111*F111</x:f>
        <x:v>566.141</x:v>
      </x:c>
      <x:c r="I111" s="22" t="str">
        <x:f>HYPERLINK("https://etp-aktiv.ru/catalog/materialy/zapasnye-chasti-promyshlennogo-oborudovaniya/2000549742-U117/","Открыть позицию")</x:f>
        <x:v>Открыть позицию</x:v>
      </x:c>
    </x:row>
    <x:row r="112" ht="28" customHeight="1">
      <x:c r="A112" s="16" t="str">
        <x:v>Приморская ГРЭС</x:v>
      </x:c>
      <x:c r="B112" s="16" t="str">
        <x:v>2000549743-U117</x:v>
      </x:c>
      <x:c r="C112" s="16" t="str">
        <x:v>ВИЛКА КАБЕЛЬНАЯ ISQ0077 35-50 СВАРОГ</x:v>
      </x:c>
      <x:c r="D112" s="16" t="str">
        <x:v>Комплектующие и запасные части к сварочному оборудованию</x:v>
      </x:c>
      <x:c r="E112" s="16" t="str">
        <x:v>ШТ</x:v>
      </x:c>
      <x:c r="F112" s="21" t="n">
        <x:v>14</x:v>
      </x:c>
      <x:c r="G112" s="17" t="n">
        <x:v>900.5795999999999</x:v>
      </x:c>
      <x:c r="H112" s="17" t="n">
        <x:f>G112*F112</x:f>
        <x:v>12608.114399999999</x:v>
      </x:c>
      <x:c r="I112" s="22" t="str">
        <x:f>HYPERLINK("https://etp-aktiv.ru/catalog/materialy/zapasnye-chasti-promyshlennogo-oborudovaniya/2000549743-U117/","Открыть позицию")</x:f>
        <x:v>Открыть позицию</x:v>
      </x:c>
    </x:row>
    <x:row r="113" ht="28" customHeight="1">
      <x:c r="A113" s="16" t="str">
        <x:v>Приморская ГРЭС</x:v>
      </x:c>
      <x:c r="B113" s="16" t="str">
        <x:v>2000068504-U117</x:v>
      </x:c>
      <x:c r="C113" s="16" t="str">
        <x:v>ВИНТ 4*10 ГОСТ17473-80</x:v>
      </x:c>
      <x:c r="D113" s="16" t="str">
        <x:v>Метизы</x:v>
      </x:c>
      <x:c r="E113" s="16" t="str">
        <x:v>КГ</x:v>
      </x:c>
      <x:c r="F113" s="30" t="n">
        <x:v>25.588</x:v>
      </x:c>
      <x:c r="G113" s="17" t="n">
        <x:v>385.67859999999996</x:v>
      </x:c>
      <x:c r="H113" s="17" t="n">
        <x:f>G113*F113</x:f>
        <x:v>9868.7440168</x:v>
      </x:c>
      <x:c r="I113" s="22" t="str">
        <x:f>HYPERLINK("https://etp-aktiv.ru/catalog/materialy/metizy/2000068504-U117/","Открыть позицию")</x:f>
        <x:v>Открыть позицию</x:v>
      </x:c>
    </x:row>
    <x:row r="114" ht="28" customHeight="1">
      <x:c r="A114" s="16" t="str">
        <x:v>Приморская ГРЭС</x:v>
      </x:c>
      <x:c r="B114" s="16" t="str">
        <x:v>2000261019-U117</x:v>
      </x:c>
      <x:c r="C114" s="16" t="str">
        <x:v>ВИНТ 4*16.01.016 ГОСТ10621-80</x:v>
      </x:c>
      <x:c r="D114" s="16" t="str">
        <x:v>Метизы</x:v>
      </x:c>
      <x:c r="E114" s="16" t="str">
        <x:v>КГ</x:v>
      </x:c>
      <x:c r="F114" s="30" t="n">
        <x:v>33.215</x:v>
      </x:c>
      <x:c r="G114" s="17" t="n">
        <x:v>581.5129999999999</x:v>
      </x:c>
      <x:c r="H114" s="17" t="n">
        <x:f>G114*F114</x:f>
        <x:v>19314.954295</x:v>
      </x:c>
      <x:c r="I114" s="22" t="str">
        <x:f>HYPERLINK("https://etp-aktiv.ru/catalog/materialy/metizy/2000261019-U117/","Открыть позицию")</x:f>
        <x:v>Открыть позицию</x:v>
      </x:c>
    </x:row>
    <x:row r="115" ht="28" customHeight="1">
      <x:c r="A115" s="16" t="str">
        <x:v>Приморская ГРЭС</x:v>
      </x:c>
      <x:c r="B115" s="16" t="str">
        <x:v>2000321467-U117</x:v>
      </x:c>
      <x:c r="C115" s="16" t="str">
        <x:v>ВИНТ M3*30 4.8 ОЦИНК DIN7985</x:v>
      </x:c>
      <x:c r="D115" s="16" t="str">
        <x:v>Метизы</x:v>
      </x:c>
      <x:c r="E115" s="16" t="str">
        <x:v>ШТ</x:v>
      </x:c>
      <x:c r="F115" s="21" t="n">
        <x:v>200</x:v>
      </x:c>
      <x:c r="G115" s="17" t="n">
        <x:v>1.2078</x:v>
      </x:c>
      <x:c r="H115" s="17" t="n">
        <x:f>G115*F115</x:f>
        <x:v>241.56</x:v>
      </x:c>
      <x:c r="I115" s="22" t="str">
        <x:f>HYPERLINK("https://etp-aktiv.ru/catalog/materialy/metizy/2000321467-U117/","Открыть позицию")</x:f>
        <x:v>Открыть позицию</x:v>
      </x:c>
    </x:row>
    <x:row r="116" ht="28" customHeight="1">
      <x:c r="A116" s="16" t="str">
        <x:v>Приморская ГРЭС</x:v>
      </x:c>
      <x:c r="B116" s="16" t="str">
        <x:v>2000739082-U117</x:v>
      </x:c>
      <x:c r="C116" s="16" t="str">
        <x:v>ВИНТ М4*12 10.9 A2 DIN912</x:v>
      </x:c>
      <x:c r="D116" s="16" t="str">
        <x:v>Метизы</x:v>
      </x:c>
      <x:c r="E116" s="16" t="str">
        <x:v>КГ</x:v>
      </x:c>
      <x:c r="F116" s="30" t="n">
        <x:v>1.696</x:v>
      </x:c>
      <x:c r="G116" s="17" t="n">
        <x:v>378.99299999999994</x:v>
      </x:c>
      <x:c r="H116" s="17" t="n">
        <x:f>G116*F116</x:f>
        <x:v>642.7721279999998</x:v>
      </x:c>
      <x:c r="I116" s="22" t="str">
        <x:f>HYPERLINK("https://etp-aktiv.ru/catalog/materialy/metizy/2000739082-U117/","Открыть позицию")</x:f>
        <x:v>Открыть позицию</x:v>
      </x:c>
    </x:row>
    <x:row r="117" ht="28" customHeight="1">
      <x:c r="A117" s="16" t="str">
        <x:v>Приморская ГРЭС</x:v>
      </x:c>
      <x:c r="B117" s="16" t="str">
        <x:v>2000590739-U117</x:v>
      </x:c>
      <x:c r="C117" s="16" t="str">
        <x:v>ВИНТ М4*40.88 ОЦ DIN912</x:v>
      </x:c>
      <x:c r="D117" s="16" t="str">
        <x:v>Метизы</x:v>
      </x:c>
      <x:c r="E117" s="16" t="str">
        <x:v>ШТ</x:v>
      </x:c>
      <x:c r="F117" s="21" t="n">
        <x:v>300</x:v>
      </x:c>
      <x:c r="G117" s="17" t="n">
        <x:v>3.1841999999999997</x:v>
      </x:c>
      <x:c r="H117" s="17" t="n">
        <x:f>G117*F117</x:f>
        <x:v>955.2599999999999</x:v>
      </x:c>
      <x:c r="I117" s="22" t="str">
        <x:f>HYPERLINK("https://etp-aktiv.ru/catalog/materialy/metizy/2000590739-U117/","Открыть позицию")</x:f>
        <x:v>Открыть позицию</x:v>
      </x:c>
    </x:row>
    <x:row r="118" ht="28" customHeight="1">
      <x:c r="A118" s="16" t="str">
        <x:v>Приморская ГРЭС</x:v>
      </x:c>
      <x:c r="B118" s="16" t="str">
        <x:v>2000150086-U117</x:v>
      </x:c>
      <x:c r="C118" s="16" t="str">
        <x:v>ВИНТ М6*10 ГОСТ17473-80</x:v>
      </x:c>
      <x:c r="D118" s="16" t="str">
        <x:v>Метизы</x:v>
      </x:c>
      <x:c r="E118" s="16" t="str">
        <x:v>КГ</x:v>
      </x:c>
      <x:c r="F118" s="30" t="n">
        <x:v>2.1</x:v>
      </x:c>
      <x:c r="G118" s="17" t="n">
        <x:v>286.578</x:v>
      </x:c>
      <x:c r="H118" s="17" t="n">
        <x:f>G118*F118</x:f>
        <x:v>601.8138</x:v>
      </x:c>
      <x:c r="I118" s="22" t="str">
        <x:f>HYPERLINK("https://etp-aktiv.ru/catalog/materialy/metizy/2000150086-U117/","Открыть позицию")</x:f>
        <x:v>Открыть позицию</x:v>
      </x:c>
    </x:row>
    <x:row r="119" ht="28" customHeight="1">
      <x:c r="A119" s="16" t="str">
        <x:v>Приморская ГРЭС</x:v>
      </x:c>
      <x:c r="B119" s="16" t="str">
        <x:v>2000243934-U117</x:v>
      </x:c>
      <x:c r="C119" s="16" t="str">
        <x:v>ГАЙКА М10 10 ОЦИНК DIN985</x:v>
      </x:c>
      <x:c r="D119" s="16" t="str">
        <x:v>Метизы</x:v>
      </x:c>
      <x:c r="E119" s="16" t="str">
        <x:v>КГ</x:v>
      </x:c>
      <x:c r="F119" s="30" t="n">
        <x:v>3.077</x:v>
      </x:c>
      <x:c r="G119" s="17" t="n">
        <x:v>292.312</x:v>
      </x:c>
      <x:c r="H119" s="17" t="n">
        <x:f>G119*F119</x:f>
        <x:v>899.444024</x:v>
      </x:c>
      <x:c r="I119" s="22" t="str">
        <x:f>HYPERLINK("https://etp-aktiv.ru/catalog/materialy/metizy/2000243934-U117/","Открыть позицию")</x:f>
        <x:v>Открыть позицию</x:v>
      </x:c>
    </x:row>
    <x:row r="120" ht="28" customHeight="1">
      <x:c r="A120" s="16" t="str">
        <x:v>Приморская ГРЭС</x:v>
      </x:c>
      <x:c r="B120" s="16" t="str">
        <x:v>2000178804-U117</x:v>
      </x:c>
      <x:c r="C120" s="16" t="str">
        <x:v>ГАЙКА М10 8.8 ОЦИНК DIN934 ШТ</x:v>
      </x:c>
      <x:c r="D120" s="16" t="str">
        <x:v>Метизы</x:v>
      </x:c>
      <x:c r="E120" s="16" t="str">
        <x:v>ШТ</x:v>
      </x:c>
      <x:c r="F120" s="30" t="n">
        <x:v>9.8</x:v>
      </x:c>
      <x:c r="G120" s="17" t="n">
        <x:v>2.6596</x:v>
      </x:c>
      <x:c r="H120" s="17" t="n">
        <x:f>G120*F120</x:f>
        <x:v>26.064080000000004</x:v>
      </x:c>
      <x:c r="I120" s="22" t="str">
        <x:f>HYPERLINK("https://etp-aktiv.ru/catalog/materialy/metizy/2000178804-U117/","Открыть позицию")</x:f>
        <x:v>Открыть позицию</x:v>
      </x:c>
    </x:row>
    <x:row r="121" ht="28" customHeight="1">
      <x:c r="A121" s="16" t="str">
        <x:v>Приморская ГРЭС</x:v>
      </x:c>
      <x:c r="B121" s="16" t="str">
        <x:v>2000529848-U117</x:v>
      </x:c>
      <x:c r="C121" s="16" t="str">
        <x:v>ГАЙКА М14 8 ОЦ DIN934</x:v>
      </x:c>
      <x:c r="D121" s="16" t="str">
        <x:v>Метизы</x:v>
      </x:c>
      <x:c r="E121" s="16" t="str">
        <x:v>КГ</x:v>
      </x:c>
      <x:c r="F121" s="30" t="n">
        <x:v>9.522</x:v>
      </x:c>
      <x:c r="G121" s="17" t="n">
        <x:v>221.79600000000002</x:v>
      </x:c>
      <x:c r="H121" s="17" t="n">
        <x:f>G121*F121</x:f>
        <x:v>2111.9415120000003</x:v>
      </x:c>
      <x:c r="I121" s="22" t="str">
        <x:f>HYPERLINK("https://etp-aktiv.ru/catalog/materialy/metizy/2000529848-U117/","Открыть позицию")</x:f>
        <x:v>Открыть позицию</x:v>
      </x:c>
    </x:row>
    <x:row r="122" ht="28" customHeight="1">
      <x:c r="A122" s="16" t="str">
        <x:v>Приморская ГРЭС</x:v>
      </x:c>
      <x:c r="B122" s="16" t="str">
        <x:v>2000293955-U117</x:v>
      </x:c>
      <x:c r="C122" s="16" t="str">
        <x:v>ГАЙКА М14*6 DIN934</x:v>
      </x:c>
      <x:c r="D122" s="16" t="str">
        <x:v>Метизы</x:v>
      </x:c>
      <x:c r="E122" s="16" t="str">
        <x:v>КГ</x:v>
      </x:c>
      <x:c r="F122" s="21" t="n">
        <x:v>9</x:v>
      </x:c>
      <x:c r="G122" s="17" t="n">
        <x:v>125.9284</x:v>
      </x:c>
      <x:c r="H122" s="17" t="n">
        <x:f>G122*F122</x:f>
        <x:v>1133.3555999999999</x:v>
      </x:c>
      <x:c r="I122" s="22" t="str">
        <x:f>HYPERLINK("https://etp-aktiv.ru/catalog/materialy/metizy/2000293955-U117/","Открыть позицию")</x:f>
        <x:v>Открыть позицию</x:v>
      </x:c>
    </x:row>
    <x:row r="123" ht="28" customHeight="1">
      <x:c r="A123" s="16" t="str">
        <x:v>Приморская ГРЭС</x:v>
      </x:c>
      <x:c r="B123" s="16" t="str">
        <x:v>2000330702-U117</x:v>
      </x:c>
      <x:c r="C123" s="16" t="str">
        <x:v>ГАЙКА М16 5.6 ОЦИНК DIN934</x:v>
      </x:c>
      <x:c r="D123" s="16" t="str">
        <x:v>Метизы</x:v>
      </x:c>
      <x:c r="E123" s="16" t="str">
        <x:v>КГ</x:v>
      </x:c>
      <x:c r="F123" s="30" t="n">
        <x:v>20.77</x:v>
      </x:c>
      <x:c r="G123" s="17" t="n">
        <x:v>130.0032</x:v>
      </x:c>
      <x:c r="H123" s="17" t="n">
        <x:f>G123*F123</x:f>
        <x:v>2700.166464</x:v>
      </x:c>
      <x:c r="I123" s="22" t="str">
        <x:f>HYPERLINK("https://etp-aktiv.ru/catalog/materialy/metizy/2000330702-U117/","Открыть позицию")</x:f>
        <x:v>Открыть позицию</x:v>
      </x:c>
    </x:row>
    <x:row r="124" ht="28" customHeight="1">
      <x:c r="A124" s="16" t="str">
        <x:v>Приморская ГРЭС</x:v>
      </x:c>
      <x:c r="B124" s="16" t="str">
        <x:v>2000529851-U117</x:v>
      </x:c>
      <x:c r="C124" s="16" t="str">
        <x:v>ГАЙКА М16 8 ОЦ DIN934</x:v>
      </x:c>
      <x:c r="D124" s="16" t="str">
        <x:v>Метизы</x:v>
      </x:c>
      <x:c r="E124" s="16" t="str">
        <x:v>КГ</x:v>
      </x:c>
      <x:c r="F124" s="30" t="n">
        <x:v>10.848</x:v>
      </x:c>
      <x:c r="G124" s="17" t="n">
        <x:v>262.7758</x:v>
      </x:c>
      <x:c r="H124" s="17" t="n">
        <x:f>G124*F124</x:f>
        <x:v>2850.5918784</x:v>
      </x:c>
      <x:c r="I124" s="22" t="str">
        <x:f>HYPERLINK("https://etp-aktiv.ru/catalog/materialy/metizy/2000529851-U117/","Открыть позицию")</x:f>
        <x:v>Открыть позицию</x:v>
      </x:c>
    </x:row>
    <x:row r="125" ht="28" customHeight="1">
      <x:c r="A125" s="16" t="str">
        <x:v>Приморская ГРЭС</x:v>
      </x:c>
      <x:c r="B125" s="16" t="str">
        <x:v>2000530051-U117</x:v>
      </x:c>
      <x:c r="C125" s="16" t="str">
        <x:v>ГАЙКА М16 ГОСТ5915-70</x:v>
      </x:c>
      <x:c r="D125" s="16" t="str">
        <x:v>Метизы</x:v>
      </x:c>
      <x:c r="E125" s="16" t="str">
        <x:v>КГ</x:v>
      </x:c>
      <x:c r="F125" s="30" t="n">
        <x:v>6.81</x:v>
      </x:c>
      <x:c r="G125" s="17" t="n">
        <x:v>108.4336</x:v>
      </x:c>
      <x:c r="H125" s="17" t="n">
        <x:f>G125*F125</x:f>
        <x:v>738.432816</x:v>
      </x:c>
      <x:c r="I125" s="22" t="str">
        <x:f>HYPERLINK("https://etp-aktiv.ru/catalog/materialy/metizy/2000530051-U117/","Открыть позицию")</x:f>
        <x:v>Открыть позицию</x:v>
      </x:c>
    </x:row>
    <x:row r="126" ht="28" customHeight="1">
      <x:c r="A126" s="16" t="str">
        <x:v>Приморская ГРЭС</x:v>
      </x:c>
      <x:c r="B126" s="16" t="str">
        <x:v>2000068483-U117</x:v>
      </x:c>
      <x:c r="C126" s="16" t="str">
        <x:v>ГАЙКА М16*1,5 ГОСТ5927-70</x:v>
      </x:c>
      <x:c r="D126" s="16" t="str">
        <x:v>Метизы</x:v>
      </x:c>
      <x:c r="E126" s="16" t="str">
        <x:v>КГ</x:v>
      </x:c>
      <x:c r="F126" s="21" t="n">
        <x:v>6</x:v>
      </x:c>
      <x:c r="G126" s="17" t="n">
        <x:v>439.6636</x:v>
      </x:c>
      <x:c r="H126" s="17" t="n">
        <x:f>G126*F126</x:f>
        <x:v>2637.9816</x:v>
      </x:c>
      <x:c r="I126" s="22" t="str">
        <x:f>HYPERLINK("https://etp-aktiv.ru/catalog/materialy/metizy/2000068483-U117/","Открыть позицию")</x:f>
        <x:v>Открыть позицию</x:v>
      </x:c>
    </x:row>
    <x:row r="127" ht="28" customHeight="1">
      <x:c r="A127" s="16" t="str">
        <x:v>Приморская ГРЭС</x:v>
      </x:c>
      <x:c r="B127" s="16" t="str">
        <x:v>2000577455-U117</x:v>
      </x:c>
      <x:c r="C127" s="16" t="str">
        <x:v>ГАЙКА М20 СТ20 8 ГОСТ ISO4032-2014</x:v>
      </x:c>
      <x:c r="D127" s="16" t="str">
        <x:v>Метизы</x:v>
      </x:c>
      <x:c r="E127" s="16" t="str">
        <x:v>КГ</x:v>
      </x:c>
      <x:c r="F127" s="26" t="n">
        <x:v>0.4</x:v>
      </x:c>
      <x:c r="G127" s="17" t="n">
        <x:v>259.25</x:v>
      </x:c>
      <x:c r="H127" s="17" t="n">
        <x:f>G127*F127</x:f>
        <x:v>103.7</x:v>
      </x:c>
      <x:c r="I127" s="22" t="str">
        <x:f>HYPERLINK("https://etp-aktiv.ru/catalog/materialy/metizy/2000577455-U117/","Открыть позицию")</x:f>
        <x:v>Открыть позицию</x:v>
      </x:c>
    </x:row>
    <x:row r="128" ht="28" customHeight="1">
      <x:c r="A128" s="16" t="str">
        <x:v>Приморская ГРЭС</x:v>
      </x:c>
      <x:c r="B128" s="16" t="str">
        <x:v>2000297706-U117</x:v>
      </x:c>
      <x:c r="C128" s="16" t="str">
        <x:v>ГАЙКА М24 8.8 ОЦИНК DIN934</x:v>
      </x:c>
      <x:c r="D128" s="16" t="str">
        <x:v>Метизы</x:v>
      </x:c>
      <x:c r="E128" s="16" t="str">
        <x:v>ШТ</x:v>
      </x:c>
      <x:c r="F128" s="30" t="n">
        <x:v>3.3</x:v>
      </x:c>
      <x:c r="G128" s="17" t="n">
        <x:v>16.4578</x:v>
      </x:c>
      <x:c r="H128" s="17" t="n">
        <x:f>G128*F128</x:f>
        <x:v>54.310739999999996</x:v>
      </x:c>
      <x:c r="I128" s="22" t="str">
        <x:f>HYPERLINK("https://etp-aktiv.ru/catalog/materialy/metizy/2000297706-U117/","Открыть позицию")</x:f>
        <x:v>Открыть позицию</x:v>
      </x:c>
    </x:row>
    <x:row r="129" ht="28" customHeight="1">
      <x:c r="A129" s="16" t="str">
        <x:v>Приморская ГРЭС</x:v>
      </x:c>
      <x:c r="B129" s="16" t="str">
        <x:v>2000530068-U117</x:v>
      </x:c>
      <x:c r="C129" s="16" t="str">
        <x:v>ГАЙКА М24 ГОСТ5935-73</x:v>
      </x:c>
      <x:c r="D129" s="16" t="str">
        <x:v>Метизы</x:v>
      </x:c>
      <x:c r="E129" s="16" t="str">
        <x:v>КГ</x:v>
      </x:c>
      <x:c r="F129" s="26" t="n">
        <x:v>0.56</x:v>
      </x:c>
      <x:c r="G129" s="17" t="n">
        <x:v>1826.0349999999999</x:v>
      </x:c>
      <x:c r="H129" s="17" t="n">
        <x:f>G129*F129</x:f>
        <x:v>1022.5796</x:v>
      </x:c>
      <x:c r="I129" s="22" t="str">
        <x:f>HYPERLINK("https://etp-aktiv.ru/catalog/materialy/metizy/2000530068-U117/","Открыть позицию")</x:f>
        <x:v>Открыть позицию</x:v>
      </x:c>
    </x:row>
    <x:row r="130" ht="28" customHeight="1">
      <x:c r="A130" s="16" t="str">
        <x:v>Приморская ГРЭС</x:v>
      </x:c>
      <x:c r="B130" s="16" t="str">
        <x:v>2000179714-U117</x:v>
      </x:c>
      <x:c r="C130" s="16" t="str">
        <x:v>ГАЙКА М27 ГОСТ5927-70</x:v>
      </x:c>
      <x:c r="D130" s="16" t="str">
        <x:v>Метизы</x:v>
      </x:c>
      <x:c r="E130" s="16" t="str">
        <x:v>КГ</x:v>
      </x:c>
      <x:c r="F130" s="30" t="n">
        <x:v>10.7</x:v>
      </x:c>
      <x:c r="G130" s="17" t="n">
        <x:v>170.00699999999998</x:v>
      </x:c>
      <x:c r="H130" s="17" t="n">
        <x:f>G130*F130</x:f>
        <x:v>1819.0748999999996</x:v>
      </x:c>
      <x:c r="I130" s="22" t="str">
        <x:f>HYPERLINK("https://etp-aktiv.ru/catalog/materialy/metizy/2000179714-U117/","Открыть позицию")</x:f>
        <x:v>Открыть позицию</x:v>
      </x:c>
    </x:row>
    <x:row r="131" ht="28" customHeight="1">
      <x:c r="A131" s="16" t="str">
        <x:v>Приморская ГРЭС</x:v>
      </x:c>
      <x:c r="B131" s="16" t="str">
        <x:v>2000334333-U117</x:v>
      </x:c>
      <x:c r="C131" s="16" t="str">
        <x:v>ГАЙКА М27-8Н.5 ОЦИН ГОСТ5927-70</x:v>
      </x:c>
      <x:c r="D131" s="16" t="str">
        <x:v>Метизы</x:v>
      </x:c>
      <x:c r="E131" s="16" t="str">
        <x:v>КГ</x:v>
      </x:c>
      <x:c r="F131" s="21" t="n">
        <x:v>154</x:v>
      </x:c>
      <x:c r="G131" s="17" t="n">
        <x:v>111.4348</x:v>
      </x:c>
      <x:c r="H131" s="17" t="n">
        <x:f>G131*F131</x:f>
        <x:v>17160.959199999998</x:v>
      </x:c>
      <x:c r="I131" s="22" t="str">
        <x:f>HYPERLINK("https://etp-aktiv.ru/catalog/materialy/metizy/2000334333-U117/","Открыть позицию")</x:f>
        <x:v>Открыть позицию</x:v>
      </x:c>
    </x:row>
    <x:row r="132" ht="28" customHeight="1">
      <x:c r="A132" s="16" t="str">
        <x:v>Приморская ГРЭС</x:v>
      </x:c>
      <x:c r="B132" s="16" t="str">
        <x:v>2000068480-U117</x:v>
      </x:c>
      <x:c r="C132" s="16" t="str">
        <x:v>ГАЙКА М30 ГОСТ5915-70</x:v>
      </x:c>
      <x:c r="D132" s="16" t="str">
        <x:v>Метизы</x:v>
      </x:c>
      <x:c r="E132" s="16" t="str">
        <x:v>КГ</x:v>
      </x:c>
      <x:c r="F132" s="30" t="n">
        <x:v>733.245</x:v>
      </x:c>
      <x:c r="G132" s="17" t="n">
        <x:v>131.1622</x:v>
      </x:c>
      <x:c r="H132" s="17" t="n">
        <x:f>G132*F132</x:f>
        <x:v>96174.02733900001</x:v>
      </x:c>
      <x:c r="I132" s="22" t="str">
        <x:f>HYPERLINK("https://etp-aktiv.ru/catalog/materialy/metizy/2000068480-U117/","Открыть позицию")</x:f>
        <x:v>Открыть позицию</x:v>
      </x:c>
    </x:row>
    <x:row r="133" ht="28" customHeight="1">
      <x:c r="A133" s="16" t="str">
        <x:v>Приморская ГРЭС</x:v>
      </x:c>
      <x:c r="B133" s="16" t="str">
        <x:v>2000530073-U117</x:v>
      </x:c>
      <x:c r="C133" s="16" t="str">
        <x:v>ГАЙКА М30 ГОСТ5915-70</x:v>
      </x:c>
      <x:c r="D133" s="16" t="str">
        <x:v>Метизы</x:v>
      </x:c>
      <x:c r="E133" s="16" t="str">
        <x:v>ШТ</x:v>
      </x:c>
      <x:c r="F133" s="21" t="n">
        <x:v>1</x:v>
      </x:c>
      <x:c r="G133" s="17" t="n">
        <x:v>25.583399999999997</x:v>
      </x:c>
      <x:c r="H133" s="17" t="n">
        <x:f>G133*F133</x:f>
        <x:v>25.583399999999997</x:v>
      </x:c>
      <x:c r="I133" s="22" t="str">
        <x:f>HYPERLINK("https://etp-aktiv.ru/catalog/materialy/metizy/2000530073-U117/","Открыть позицию")</x:f>
        <x:v>Открыть позицию</x:v>
      </x:c>
    </x:row>
    <x:row r="134" ht="28" customHeight="1">
      <x:c r="A134" s="16" t="str">
        <x:v>Приморская ГРЭС</x:v>
      </x:c>
      <x:c r="B134" s="16" t="str">
        <x:v>2000022423-U117</x:v>
      </x:c>
      <x:c r="C134" s="16" t="str">
        <x:v>ГАЙКА М36 ГОСТ5931-88</x:v>
      </x:c>
      <x:c r="D134" s="16" t="str">
        <x:v>Метизы</x:v>
      </x:c>
      <x:c r="E134" s="16" t="str">
        <x:v>Т</x:v>
      </x:c>
      <x:c r="F134" s="26" t="n">
        <x:v>0.007</x:v>
      </x:c>
      <x:c r="G134" s="17" t="n">
        <x:v>519197.1446</x:v>
      </x:c>
      <x:c r="H134" s="17" t="n">
        <x:f>G134*F134</x:f>
        <x:v>3634.3800122000002</x:v>
      </x:c>
      <x:c r="I134" s="22" t="str">
        <x:f>HYPERLINK("https://etp-aktiv.ru/catalog/materialy/metizy/2000022423-U117/","Открыть позицию")</x:f>
        <x:v>Открыть позицию</x:v>
      </x:c>
    </x:row>
    <x:row r="135" ht="28" customHeight="1">
      <x:c r="A135" s="16" t="str">
        <x:v>Приморская ГРЭС</x:v>
      </x:c>
      <x:c r="B135" s="16" t="str">
        <x:v>2000068472-U117</x:v>
      </x:c>
      <x:c r="C135" s="16" t="str">
        <x:v>ГАЙКА М4 ГОСТ5915-70</x:v>
      </x:c>
      <x:c r="D135" s="16" t="str">
        <x:v>Метизы</x:v>
      </x:c>
      <x:c r="E135" s="16" t="str">
        <x:v>КГ</x:v>
      </x:c>
      <x:c r="F135" s="21" t="n">
        <x:v>1</x:v>
      </x:c>
      <x:c r="G135" s="17" t="n">
        <x:v>265.34999999999997</x:v>
      </x:c>
      <x:c r="H135" s="17" t="n">
        <x:f>G135*F135</x:f>
        <x:v>265.34999999999997</x:v>
      </x:c>
      <x:c r="I135" s="22" t="str">
        <x:f>HYPERLINK("https://etp-aktiv.ru/catalog/materialy/metizy/2000068472-U117/","Открыть позицию")</x:f>
        <x:v>Открыть позицию</x:v>
      </x:c>
    </x:row>
    <x:row r="136" ht="28" customHeight="1">
      <x:c r="A136" s="16" t="str">
        <x:v>Приморская ГРЭС</x:v>
      </x:c>
      <x:c r="B136" s="16" t="str">
        <x:v>2000068489-U117</x:v>
      </x:c>
      <x:c r="C136" s="16" t="str">
        <x:v>ГАЙКА М42 ГОСТ5915-70</x:v>
      </x:c>
      <x:c r="D136" s="16" t="str">
        <x:v>Метизы</x:v>
      </x:c>
      <x:c r="E136" s="16" t="str">
        <x:v>КГ</x:v>
      </x:c>
      <x:c r="F136" s="30" t="n">
        <x:v>66.5</x:v>
      </x:c>
      <x:c r="G136" s="17" t="n">
        <x:v>115.3388</x:v>
      </x:c>
      <x:c r="H136" s="17" t="n">
        <x:f>G136*F136</x:f>
        <x:v>7670.0302</x:v>
      </x:c>
      <x:c r="I136" s="22" t="str">
        <x:f>HYPERLINK("https://etp-aktiv.ru/catalog/materialy/metizy/2000068489-U117/","Открыть позицию")</x:f>
        <x:v>Открыть позицию</x:v>
      </x:c>
    </x:row>
    <x:row r="137" ht="28" customHeight="1">
      <x:c r="A137" s="16" t="str">
        <x:v>Приморская ГРЭС</x:v>
      </x:c>
      <x:c r="B137" s="16" t="str">
        <x:v>2000712107-U117</x:v>
      </x:c>
      <x:c r="C137" s="16" t="str">
        <x:v>ГАЙКА М48*3-35 СТ35СП ГОСТ5927-62</x:v>
      </x:c>
      <x:c r="D137" s="16" t="str">
        <x:v>Метизы</x:v>
      </x:c>
      <x:c r="E137" s="16" t="str">
        <x:v>КГ</x:v>
      </x:c>
      <x:c r="F137" s="30" t="n">
        <x:v>39.4</x:v>
      </x:c>
      <x:c r="G137" s="17" t="n">
        <x:v>132.1382</x:v>
      </x:c>
      <x:c r="H137" s="17" t="n">
        <x:f>G137*F137</x:f>
        <x:v>5206.245080000001</x:v>
      </x:c>
      <x:c r="I137" s="22" t="str">
        <x:f>HYPERLINK("https://etp-aktiv.ru/catalog/materialy/metizy/2000712107-U117/","Открыть позицию")</x:f>
        <x:v>Открыть позицию</x:v>
      </x:c>
    </x:row>
    <x:row r="138" ht="28" customHeight="1">
      <x:c r="A138" s="16" t="str">
        <x:v>Приморская ГРЭС</x:v>
      </x:c>
      <x:c r="B138" s="16" t="str">
        <x:v>2000327712-U117</x:v>
      </x:c>
      <x:c r="C138" s="16" t="str">
        <x:v>ГАЙКА М5 8.8 ОЦИНК DIN934</x:v>
      </x:c>
      <x:c r="D138" s="16" t="str">
        <x:v>Метизы</x:v>
      </x:c>
      <x:c r="E138" s="16" t="str">
        <x:v>КГ</x:v>
      </x:c>
      <x:c r="F138" s="21" t="n">
        <x:v>2</x:v>
      </x:c>
      <x:c r="G138" s="17" t="n">
        <x:v>210.45</x:v>
      </x:c>
      <x:c r="H138" s="17" t="n">
        <x:f>G138*F138</x:f>
        <x:v>420.9</x:v>
      </x:c>
      <x:c r="I138" s="22" t="str">
        <x:f>HYPERLINK("https://etp-aktiv.ru/catalog/materialy/metizy/2000327712-U117/","Открыть позицию")</x:f>
        <x:v>Открыть позицию</x:v>
      </x:c>
    </x:row>
    <x:row r="139" ht="28" customHeight="1">
      <x:c r="A139" s="16" t="str">
        <x:v>Приморская ГРЭС</x:v>
      </x:c>
      <x:c r="B139" s="16" t="str">
        <x:v>2000150092-U117</x:v>
      </x:c>
      <x:c r="C139" s="16" t="str">
        <x:v>ГАЙКА М6 ГОСТ5927-70</x:v>
      </x:c>
      <x:c r="D139" s="16" t="str">
        <x:v>Метизы</x:v>
      </x:c>
      <x:c r="E139" s="16" t="str">
        <x:v>КГ</x:v>
      </x:c>
      <x:c r="F139" s="30" t="n">
        <x:v>10.438</x:v>
      </x:c>
      <x:c r="G139" s="17" t="n">
        <x:v>101.78460000000001</x:v>
      </x:c>
      <x:c r="H139" s="17" t="n">
        <x:f>G139*F139</x:f>
        <x:v>1062.4276548000003</x:v>
      </x:c>
      <x:c r="I139" s="22" t="str">
        <x:f>HYPERLINK("https://etp-aktiv.ru/catalog/materialy/metizy/2000150092-U117/","Открыть позицию")</x:f>
        <x:v>Открыть позицию</x:v>
      </x:c>
    </x:row>
    <x:row r="140" ht="28" customHeight="1">
      <x:c r="A140" s="16" t="str">
        <x:v>Приморская ГРЭС</x:v>
      </x:c>
      <x:c r="B140" s="16" t="str">
        <x:v>2000156436-U117</x:v>
      </x:c>
      <x:c r="C140" s="16" t="str">
        <x:v>ГАЙКА М6 ОЦИНК ГОСТ5915-70</x:v>
      </x:c>
      <x:c r="D140" s="16" t="str">
        <x:v>Метизы</x:v>
      </x:c>
      <x:c r="E140" s="16" t="str">
        <x:v>ШТ</x:v>
      </x:c>
      <x:c r="F140" s="21" t="n">
        <x:v>40</x:v>
      </x:c>
      <x:c r="G140" s="17" t="n">
        <x:v>0.2562</x:v>
      </x:c>
      <x:c r="H140" s="17" t="n">
        <x:f>G140*F140</x:f>
        <x:v>10.248</x:v>
      </x:c>
      <x:c r="I140" s="22" t="str">
        <x:f>HYPERLINK("https://etp-aktiv.ru/catalog/materialy/metizy/2000156436-U117/","Открыть позицию")</x:f>
        <x:v>Открыть позицию</x:v>
      </x:c>
    </x:row>
    <x:row r="141" ht="28" customHeight="1">
      <x:c r="A141" s="16" t="str">
        <x:v>Приморская ГРЭС</x:v>
      </x:c>
      <x:c r="B141" s="16" t="str">
        <x:v>2000751670-U117</x:v>
      </x:c>
      <x:c r="C141" s="16" t="str">
        <x:v>ГАЙКА М8 8 ОЦИНК DIN982</x:v>
      </x:c>
      <x:c r="D141" s="16" t="str">
        <x:v>Метизы</x:v>
      </x:c>
      <x:c r="E141" s="16" t="str">
        <x:v>КГ</x:v>
      </x:c>
      <x:c r="F141" s="21" t="n">
        <x:v>3</x:v>
      </x:c>
      <x:c r="G141" s="17" t="n">
        <x:v>774.2973999999999</x:v>
      </x:c>
      <x:c r="H141" s="17" t="n">
        <x:f>G141*F141</x:f>
        <x:v>2322.8922</x:v>
      </x:c>
      <x:c r="I141" s="22" t="str">
        <x:f>HYPERLINK("https://etp-aktiv.ru/catalog/materialy/metizy/2000751670-U117/","Открыть позицию")</x:f>
        <x:v>Открыть позицию</x:v>
      </x:c>
    </x:row>
    <x:row r="142" ht="28" customHeight="1">
      <x:c r="A142" s="16" t="str">
        <x:v>Приморская ГРЭС</x:v>
      </x:c>
      <x:c r="B142" s="16" t="str">
        <x:v>2000068538-U117</x:v>
      </x:c>
      <x:c r="C142" s="16" t="str">
        <x:v>ГВОЗДЬ 2*40 ГОСТ4028-63</x:v>
      </x:c>
      <x:c r="D142" s="16" t="str">
        <x:v>Метизы</x:v>
      </x:c>
      <x:c r="E142" s="16" t="str">
        <x:v>КГ</x:v>
      </x:c>
      <x:c r="F142" s="21" t="n">
        <x:v>8</x:v>
      </x:c>
      <x:c r="G142" s="17" t="n">
        <x:v>80.9348</x:v>
      </x:c>
      <x:c r="H142" s="17" t="n">
        <x:f>G142*F142</x:f>
        <x:v>647.4784</x:v>
      </x:c>
      <x:c r="I142" s="22" t="str">
        <x:f>HYPERLINK("https://etp-aktiv.ru/catalog/materialy/metizy/2000068538-U117/","Открыть позицию")</x:f>
        <x:v>Открыть позицию</x:v>
      </x:c>
    </x:row>
    <x:row r="143" ht="28" customHeight="1">
      <x:c r="A143" s="16" t="str">
        <x:v>Приморская ГРЭС</x:v>
      </x:c>
      <x:c r="B143" s="16" t="str">
        <x:v>2000068548-U117</x:v>
      </x:c>
      <x:c r="C143" s="16" t="str">
        <x:v>ГВОЗДЬ 6*200 ГОСТ4028-63</x:v>
      </x:c>
      <x:c r="D143" s="16" t="str">
        <x:v>Метизы</x:v>
      </x:c>
      <x:c r="E143" s="16" t="str">
        <x:v>КГ</x:v>
      </x:c>
      <x:c r="F143" s="30" t="n">
        <x:v>134.38</x:v>
      </x:c>
      <x:c r="G143" s="17" t="n">
        <x:v>50.288399999999996</x:v>
      </x:c>
      <x:c r="H143" s="17" t="n">
        <x:f>G143*F143</x:f>
        <x:v>6757.755192</x:v>
      </x:c>
      <x:c r="I143" s="22" t="str">
        <x:f>HYPERLINK("https://etp-aktiv.ru/catalog/materialy/metizy/2000068548-U117/","Открыть позицию")</x:f>
        <x:v>Открыть позицию</x:v>
      </x:c>
    </x:row>
    <x:row r="144" ht="28" customHeight="1">
      <x:c r="A144" s="16" t="str">
        <x:v>Приморская ГРЭС</x:v>
      </x:c>
      <x:c r="B144" s="16" t="str">
        <x:v>2000652622-U117</x:v>
      </x:c>
      <x:c r="C144" s="16" t="str">
        <x:v>ГОЛОВКА А-7322.026 ГОРЕЛКИ 026 АГНИ</x:v>
      </x:c>
      <x:c r="D144" s="16" t="str">
        <x:v>Комплектующие и запасные части к сварочному оборудованию</x:v>
      </x:c>
      <x:c r="E144" s="16" t="str">
        <x:v>ШТ</x:v>
      </x:c>
      <x:c r="F144" s="21" t="n">
        <x:v>10</x:v>
      </x:c>
      <x:c r="G144" s="17" t="n">
        <x:v>2596.77</x:v>
      </x:c>
      <x:c r="H144" s="17" t="n">
        <x:f>G144*F144</x:f>
        <x:v>25967.7</x:v>
      </x:c>
      <x:c r="I144" s="22" t="str">
        <x:f>HYPERLINK("https://etp-aktiv.ru/catalog/materialy/zapasnye-chasti-promyshlennogo-oborudovaniya/2000652622-U117/","Открыть позицию")</x:f>
        <x:v>Открыть позицию</x:v>
      </x:c>
    </x:row>
    <x:row r="145" ht="28" customHeight="1">
      <x:c r="A145" s="16" t="str">
        <x:v>Приморская ГРЭС</x:v>
      </x:c>
      <x:c r="B145" s="16" t="str">
        <x:v>2000725044-U117</x:v>
      </x:c>
      <x:c r="C145" s="16" t="str">
        <x:v>ГОРЕЛКА СВАРОЧ АНГИ-3М 200А ШЛЕЙФ 8М</x:v>
      </x:c>
      <x:c r="D145" s="16" t="str">
        <x:v>Комплектующие и запасные части к сварочному оборудованию</x:v>
      </x:c>
      <x:c r="E145" s="16" t="str">
        <x:v>ШТ</x:v>
      </x:c>
      <x:c r="F145" s="21" t="n">
        <x:v>3</x:v>
      </x:c>
      <x:c r="G145" s="17" t="n">
        <x:v>12832.875</x:v>
      </x:c>
      <x:c r="H145" s="17" t="n">
        <x:f>G145*F145</x:f>
        <x:v>38498.625</x:v>
      </x:c>
      <x:c r="I145" s="22" t="str">
        <x:f>HYPERLINK("https://etp-aktiv.ru/catalog/materialy/zapasnye-chasti-promyshlennogo-oborudovaniya/2000725044-U117/","Открыть позицию")</x:f>
        <x:v>Открыть позицию</x:v>
      </x:c>
    </x:row>
    <x:row r="146" ht="28" customHeight="1">
      <x:c r="A146" s="16" t="str">
        <x:v>Приморская ГРЭС</x:v>
      </x:c>
      <x:c r="B146" s="16" t="str">
        <x:v>2000752154-U117</x:v>
      </x:c>
      <x:c r="C146" s="16" t="str">
        <x:v>ДВУТАВР С245 30К2 ГОСТ26020-83</x:v>
      </x:c>
      <x:c r="D146" s="16" t="str">
        <x:v>Металлопрокат черный</x:v>
      </x:c>
      <x:c r="E146" s="16" t="str">
        <x:v>Т</x:v>
      </x:c>
      <x:c r="F146" s="26" t="n">
        <x:v>0.572</x:v>
      </x:c>
      <x:c r="G146" s="17" t="n">
        <x:v>69219.75</x:v>
      </x:c>
      <x:c r="H146" s="17" t="n">
        <x:f>G146*F146</x:f>
        <x:v>39593.697</x:v>
      </x:c>
      <x:c r="I146" s="22" t="str">
        <x:f>HYPERLINK("https://etp-aktiv.ru/catalog/materialy/metalloprodukciya/2000752154-U117/","Открыть позицию")</x:f>
        <x:v>Открыть позицию</x:v>
      </x:c>
    </x:row>
    <x:row r="147" ht="28" customHeight="1">
      <x:c r="A147" s="16" t="str">
        <x:v>Приморская ГРЭС</x:v>
      </x:c>
      <x:c r="B147" s="16" t="str">
        <x:v>2000581933-U117</x:v>
      </x:c>
      <x:c r="C147" s="16" t="str">
        <x:v>ДВУТАВР С255 40Б1 СТО АСЧМ20-93</x:v>
      </x:c>
      <x:c r="D147" s="16" t="str">
        <x:v>Металлопрокат черный</x:v>
      </x:c>
      <x:c r="E147" s="16" t="str">
        <x:v>Т</x:v>
      </x:c>
      <x:c r="F147" s="26" t="n">
        <x:v>0.637</x:v>
      </x:c>
      <x:c r="G147" s="17" t="n">
        <x:v>60809.387200000005</x:v>
      </x:c>
      <x:c r="H147" s="17" t="n">
        <x:f>G147*F147</x:f>
        <x:v>38735.5796464</x:v>
      </x:c>
      <x:c r="I147" s="22" t="str">
        <x:f>HYPERLINK("https://etp-aktiv.ru/catalog/materialy/metalloprodukciya/2000581933-U117/","Открыть позицию")</x:f>
        <x:v>Открыть позицию</x:v>
      </x:c>
    </x:row>
    <x:row r="148" ht="28" customHeight="1">
      <x:c r="A148" s="16" t="str">
        <x:v>Приморская ГРЭС</x:v>
      </x:c>
      <x:c r="B148" s="16" t="str">
        <x:v>2000741607-U117</x:v>
      </x:c>
      <x:c r="C148" s="16" t="str">
        <x:v>ДВУТАВР С255 40К1 СТО АСЧМ20-93</x:v>
      </x:c>
      <x:c r="D148" s="16" t="str">
        <x:v>Металлопрокат черный</x:v>
      </x:c>
      <x:c r="E148" s="16" t="str">
        <x:v>Т</x:v>
      </x:c>
      <x:c r="F148" s="26" t="n">
        <x:v>0.261</x:v>
      </x:c>
      <x:c r="G148" s="17" t="n">
        <x:v>51552.441999999995</x:v>
      </x:c>
      <x:c r="H148" s="17" t="n">
        <x:f>G148*F148</x:f>
        <x:v>13455.187361999999</x:v>
      </x:c>
      <x:c r="I148" s="22" t="str">
        <x:f>HYPERLINK("https://etp-aktiv.ru/catalog/materialy/metalloprodukciya/2000741607-U117/","Открыть позицию")</x:f>
        <x:v>Открыть позицию</x:v>
      </x:c>
    </x:row>
    <x:row r="149" ht="28" customHeight="1">
      <x:c r="A149" s="16" t="str">
        <x:v>Приморская ГРЭС</x:v>
      </x:c>
      <x:c r="B149" s="16" t="str">
        <x:v>2000333741-U117</x:v>
      </x:c>
      <x:c r="C149" s="16" t="str">
        <x:v>ДВУТАВР С255 40Ш1 ГОСТ27772-88</x:v>
      </x:c>
      <x:c r="D149" s="16" t="str">
        <x:v>Металлопрокат черный</x:v>
      </x:c>
      <x:c r="E149" s="16" t="str">
        <x:v>Т</x:v>
      </x:c>
      <x:c r="F149" s="26" t="n">
        <x:v>0.033</x:v>
      </x:c>
      <x:c r="G149" s="17" t="n">
        <x:v>49862.2296</x:v>
      </x:c>
      <x:c r="H149" s="17" t="n">
        <x:f>G149*F149</x:f>
        <x:v>1645.4535768</x:v>
      </x:c>
      <x:c r="I149" s="22" t="str">
        <x:f>HYPERLINK("https://etp-aktiv.ru/catalog/materialy/metalloprodukciya/2000333741-U117/","Открыть позицию")</x:f>
        <x:v>Открыть позицию</x:v>
      </x:c>
    </x:row>
    <x:row r="150" ht="28" customHeight="1">
      <x:c r="A150" s="16" t="str">
        <x:v>Приморская ГРЭС</x:v>
      </x:c>
      <x:c r="B150" s="16" t="str">
        <x:v>2000152490-U117</x:v>
      </x:c>
      <x:c r="C150" s="16" t="str">
        <x:v>ДВУТАВР СТ3 16 ГОСТ8239-89</x:v>
      </x:c>
      <x:c r="D150" s="16" t="str">
        <x:v>Металлопрокат черный</x:v>
      </x:c>
      <x:c r="E150" s="16" t="str">
        <x:v>Т</x:v>
      </x:c>
      <x:c r="F150" s="30" t="n">
        <x:v>2.595</x:v>
      </x:c>
      <x:c r="G150" s="17" t="n">
        <x:v>60222.79899999999</x:v>
      </x:c>
      <x:c r="H150" s="17" t="n">
        <x:f>G150*F150</x:f>
        <x:v>156278.163405</x:v>
      </x:c>
      <x:c r="I150" s="22" t="str">
        <x:f>HYPERLINK("https://etp-aktiv.ru/catalog/materialy/metalloprodukciya/2000152490-U117/","Открыть позицию")</x:f>
        <x:v>Открыть позицию</x:v>
      </x:c>
    </x:row>
    <x:row r="151" ht="28" customHeight="1">
      <x:c r="A151" s="16" t="str">
        <x:v>Приморская ГРЭС</x:v>
      </x:c>
      <x:c r="B151" s="16" t="str">
        <x:v>2000213154-U117</x:v>
      </x:c>
      <x:c r="C151" s="16" t="str">
        <x:v>ДВУТАВР СТ3 24 ГОСТ8239-89</x:v>
      </x:c>
      <x:c r="D151" s="16" t="str">
        <x:v>Металлопрокат черный</x:v>
      </x:c>
      <x:c r="E151" s="16" t="str">
        <x:v>Т</x:v>
      </x:c>
      <x:c r="F151" s="26" t="n">
        <x:v>0.085</x:v>
      </x:c>
      <x:c r="G151" s="17" t="n">
        <x:v>140300</x:v>
      </x:c>
      <x:c r="H151" s="17" t="n">
        <x:f>G151*F151</x:f>
        <x:v>11925.5</x:v>
      </x:c>
      <x:c r="I151" s="22" t="str">
        <x:f>HYPERLINK("https://etp-aktiv.ru/catalog/materialy/metalloprodukciya/2000213154-U117/","Открыть позицию")</x:f>
        <x:v>Открыть позицию</x:v>
      </x:c>
    </x:row>
    <x:row r="152" ht="28" customHeight="1">
      <x:c r="A152" s="16" t="str">
        <x:v>Приморская ГРЭС</x:v>
      </x:c>
      <x:c r="B152" s="16" t="str">
        <x:v>2000555680-U117</x:v>
      </x:c>
      <x:c r="C152" s="16" t="str">
        <x:v>ДВУТАВР СТ3СП5 18Б1 СТО АСЧМ20-93</x:v>
      </x:c>
      <x:c r="D152" s="16" t="str">
        <x:v>Металлопрокат черный</x:v>
      </x:c>
      <x:c r="E152" s="16" t="str">
        <x:v>Т</x:v>
      </x:c>
      <x:c r="F152" s="26" t="n">
        <x:v>0.85</x:v>
      </x:c>
      <x:c r="G152" s="17" t="n">
        <x:v>61560.663199999995</x:v>
      </x:c>
      <x:c r="H152" s="17" t="n">
        <x:f>G152*F152</x:f>
        <x:v>52326.56372</x:v>
      </x:c>
      <x:c r="I152" s="22" t="str">
        <x:f>HYPERLINK("https://etp-aktiv.ru/catalog/materialy/metalloprodukciya/2000555680-U117/","Открыть позицию")</x:f>
        <x:v>Открыть позицию</x:v>
      </x:c>
    </x:row>
    <x:row r="153" ht="28" customHeight="1">
      <x:c r="A153" s="16" t="str">
        <x:v>Приморская ГРЭС</x:v>
      </x:c>
      <x:c r="B153" s="16" t="str">
        <x:v>2000920373-U117</x:v>
      </x:c>
      <x:c r="C153" s="16" t="str">
        <x:v>ДОНЫШКО 60*50*30-II СТП36.5041-004</x:v>
      </x:c>
      <x:c r="D153" s="16" t="str">
        <x:v>Поковка</x:v>
      </x:c>
      <x:c r="E153" s="16" t="str">
        <x:v>ШТ</x:v>
      </x:c>
      <x:c r="F153" s="21" t="n">
        <x:v>60</x:v>
      </x:c>
      <x:c r="G153" s="17" t="n">
        <x:v>3260.45</x:v>
      </x:c>
      <x:c r="H153" s="17" t="n">
        <x:f>G153*F153</x:f>
        <x:v>195627</x:v>
      </x:c>
      <x:c r="I153" s="22" t="str">
        <x:f>HYPERLINK("https://etp-aktiv.ru/catalog/materialy/metalloprodukciya/2000920373-U117/","Открыть позицию")</x:f>
        <x:v>Открыть позицию</x:v>
      </x:c>
    </x:row>
    <x:row r="154" ht="28" customHeight="1">
      <x:c r="A154" s="16" t="str">
        <x:v>Приморская ГРЭС</x:v>
      </x:c>
      <x:c r="B154" s="16" t="str">
        <x:v>2000114200-U117</x:v>
      </x:c>
      <x:c r="C154" s="16" t="str">
        <x:v>ДЮБЕЛЬ 6*40 ГОСТ28456-90</x:v>
      </x:c>
      <x:c r="D154" s="16" t="str">
        <x:v>Метизы</x:v>
      </x:c>
      <x:c r="E154" s="16" t="str">
        <x:v>ШТ</x:v>
      </x:c>
      <x:c r="F154" s="21" t="n">
        <x:v>10951</x:v>
      </x:c>
      <x:c r="G154" s="17" t="n">
        <x:v>0.915</x:v>
      </x:c>
      <x:c r="H154" s="17" t="n">
        <x:f>G154*F154</x:f>
        <x:v>10020.165</x:v>
      </x:c>
      <x:c r="I154" s="22" t="str">
        <x:f>HYPERLINK("https://etp-aktiv.ru/catalog/materialy/metizy/2000114200-U117/","Открыть позицию")</x:f>
        <x:v>Открыть позицию</x:v>
      </x:c>
    </x:row>
    <x:row r="155" ht="28" customHeight="1">
      <x:c r="A155" s="16" t="str">
        <x:v>Приморская ГРЭС</x:v>
      </x:c>
      <x:c r="B155" s="16" t="str">
        <x:v>2000220914-U117</x:v>
      </x:c>
      <x:c r="C155" s="16" t="str">
        <x:v>ДЮБЕЛЬ 6*50 ГОСТ28456-90</x:v>
      </x:c>
      <x:c r="D155" s="16" t="str">
        <x:v>Метизы</x:v>
      </x:c>
      <x:c r="E155" s="16" t="str">
        <x:v>УПК</x:v>
      </x:c>
      <x:c r="F155" s="21" t="n">
        <x:v>1</x:v>
      </x:c>
      <x:c r="G155" s="17" t="n">
        <x:v>81.4106</x:v>
      </x:c>
      <x:c r="H155" s="17" t="n">
        <x:f>G155*F155</x:f>
        <x:v>81.4106</x:v>
      </x:c>
      <x:c r="I155" s="22" t="str">
        <x:f>HYPERLINK("https://etp-aktiv.ru/catalog/materialy/metizy/2000220914-U117/","Открыть позицию")</x:f>
        <x:v>Открыть позицию</x:v>
      </x:c>
    </x:row>
    <x:row r="156" ht="28" customHeight="1">
      <x:c r="A156" s="16" t="str">
        <x:v>Приморская ГРЭС</x:v>
      </x:c>
      <x:c r="B156" s="16" t="str">
        <x:v>2000151705-U117</x:v>
      </x:c>
      <x:c r="C156" s="16" t="str">
        <x:v>ДЮБЕЛЬ 6*80 ГОСТ28456-90</x:v>
      </x:c>
      <x:c r="D156" s="16" t="str">
        <x:v>Метизы</x:v>
      </x:c>
      <x:c r="E156" s="16" t="str">
        <x:v>ШТ</x:v>
      </x:c>
      <x:c r="F156" s="21" t="n">
        <x:v>140</x:v>
      </x:c>
      <x:c r="G156" s="17" t="n">
        <x:v>0.427</x:v>
      </x:c>
      <x:c r="H156" s="17" t="n">
        <x:f>G156*F156</x:f>
        <x:v>59.78</x:v>
      </x:c>
      <x:c r="I156" s="22" t="str">
        <x:f>HYPERLINK("https://etp-aktiv.ru/catalog/materialy/metizy/2000151705-U117/","Открыть позицию")</x:f>
        <x:v>Открыть позицию</x:v>
      </x:c>
    </x:row>
    <x:row r="157" ht="28" customHeight="1">
      <x:c r="A157" s="16" t="str">
        <x:v>Приморская ГРЭС</x:v>
      </x:c>
      <x:c r="B157" s="16" t="str">
        <x:v>2000304581-U117</x:v>
      </x:c>
      <x:c r="C157" s="16" t="str">
        <x:v>ДЮБЕЛЬ 8*80 ГОСТ28456-90</x:v>
      </x:c>
      <x:c r="D157" s="16" t="str">
        <x:v>Метизы</x:v>
      </x:c>
      <x:c r="E157" s="16" t="str">
        <x:v>ШТ</x:v>
      </x:c>
      <x:c r="F157" s="21" t="n">
        <x:v>475</x:v>
      </x:c>
      <x:c r="G157" s="17" t="n">
        <x:v>0.915</x:v>
      </x:c>
      <x:c r="H157" s="17" t="n">
        <x:f>G157*F157</x:f>
        <x:v>434.625</x:v>
      </x:c>
      <x:c r="I157" s="22" t="str">
        <x:f>HYPERLINK("https://etp-aktiv.ru/catalog/materialy/metizy/2000304581-U117/","Открыть позицию")</x:f>
        <x:v>Открыть позицию</x:v>
      </x:c>
    </x:row>
    <x:row r="158" ht="28" customHeight="1">
      <x:c r="A158" s="16" t="str">
        <x:v>Приморская ГРЭС</x:v>
      </x:c>
      <x:c r="B158" s="16" t="str">
        <x:v>2000024182-U117</x:v>
      </x:c>
      <x:c r="C158" s="16" t="str">
        <x:v>ЗАКЛЕПКА 5*20 ГОСТ10299-80</x:v>
      </x:c>
      <x:c r="D158" s="16" t="str">
        <x:v>Метизы специализированные и под заказ</x:v>
      </x:c>
      <x:c r="E158" s="16" t="str">
        <x:v>Т</x:v>
      </x:c>
      <x:c r="F158" s="26" t="n">
        <x:v>0.001</x:v>
      </x:c>
      <x:c r="G158" s="17" t="n">
        <x:v>401319</x:v>
      </x:c>
      <x:c r="H158" s="17" t="n">
        <x:f>G158*F158</x:f>
        <x:v>401.319</x:v>
      </x:c>
      <x:c r="I158" s="22" t="str">
        <x:f>HYPERLINK("https://etp-aktiv.ru/catalog/materialy/metizy/2000024182-U117/","Открыть позицию")</x:f>
        <x:v>Открыть позицию</x:v>
      </x:c>
    </x:row>
    <x:row r="159" ht="28" customHeight="1">
      <x:c r="A159" s="16" t="str">
        <x:v>Приморская ГРЭС</x:v>
      </x:c>
      <x:c r="B159" s="16" t="str">
        <x:v>2000336588-U117</x:v>
      </x:c>
      <x:c r="C159" s="16" t="str">
        <x:v>ЗАКЛЕПКА 6*60.00 ГОСТ10300-80</x:v>
      </x:c>
      <x:c r="D159" s="16" t="str">
        <x:v>Метизы специализированные и под заказ</x:v>
      </x:c>
      <x:c r="E159" s="16" t="str">
        <x:v>КГ</x:v>
      </x:c>
      <x:c r="F159" s="21" t="n">
        <x:v>6</x:v>
      </x:c>
      <x:c r="G159" s="17" t="n">
        <x:v>512.6196</x:v>
      </x:c>
      <x:c r="H159" s="17" t="n">
        <x:f>G159*F159</x:f>
        <x:v>3075.7176</x:v>
      </x:c>
      <x:c r="I159" s="22" t="str">
        <x:f>HYPERLINK("https://etp-aktiv.ru/catalog/materialy/metizy/2000336588-U117/","Открыть позицию")</x:f>
        <x:v>Открыть позицию</x:v>
      </x:c>
    </x:row>
    <x:row r="160" ht="28" customHeight="1">
      <x:c r="A160" s="16" t="str">
        <x:v>Приморская ГРЭС</x:v>
      </x:c>
      <x:c r="B160" s="16" t="str">
        <x:v>2000376169-U117</x:v>
      </x:c>
      <x:c r="C160" s="16" t="str">
        <x:v>ЗАКЛЕПКА 8*26.00 ГОСТ10300-80</x:v>
      </x:c>
      <x:c r="D160" s="16" t="str">
        <x:v>Метизы специализированные и под заказ</x:v>
      </x:c>
      <x:c r="E160" s="16" t="str">
        <x:v>КГ</x:v>
      </x:c>
      <x:c r="F160" s="21" t="n">
        <x:v>9</x:v>
      </x:c>
      <x:c r="G160" s="17" t="n">
        <x:v>440.43219999999997</x:v>
      </x:c>
      <x:c r="H160" s="17" t="n">
        <x:f>G160*F160</x:f>
        <x:v>3963.8898</x:v>
      </x:c>
      <x:c r="I160" s="22" t="str">
        <x:f>HYPERLINK("https://etp-aktiv.ru/catalog/materialy/metizy/2000376169-U117/","Открыть позицию")</x:f>
        <x:v>Открыть позицию</x:v>
      </x:c>
    </x:row>
    <x:row r="161" ht="28" customHeight="1">
      <x:c r="A161" s="16" t="str">
        <x:v>Приморская ГРЭС</x:v>
      </x:c>
      <x:c r="B161" s="16" t="str">
        <x:v>2000530124-U117</x:v>
      </x:c>
      <x:c r="C161" s="16" t="str">
        <x:v>ЗАКЛЕПКА 8*60 00 ГОСТ10299-80</x:v>
      </x:c>
      <x:c r="D161" s="16" t="str">
        <x:v>Метизы специализированные и под заказ</x:v>
      </x:c>
      <x:c r="E161" s="16" t="str">
        <x:v>КГ</x:v>
      </x:c>
      <x:c r="F161" s="21" t="n">
        <x:v>2</x:v>
      </x:c>
      <x:c r="G161" s="17" t="n">
        <x:v>808.1279999999999</x:v>
      </x:c>
      <x:c r="H161" s="17" t="n">
        <x:f>G161*F161</x:f>
        <x:v>1616.2559999999999</x:v>
      </x:c>
      <x:c r="I161" s="22" t="str">
        <x:f>HYPERLINK("https://etp-aktiv.ru/catalog/materialy/metizy/2000530124-U117/","Открыть позицию")</x:f>
        <x:v>Открыть позицию</x:v>
      </x:c>
    </x:row>
    <x:row r="162" ht="28" customHeight="1">
      <x:c r="A162" s="16" t="str">
        <x:v>Приморская ГРЭС</x:v>
      </x:c>
      <x:c r="B162" s="16" t="str">
        <x:v>2000336589-U117</x:v>
      </x:c>
      <x:c r="C162" s="16" t="str">
        <x:v>ЗАКЛЕПКА 8*60.00 ГОСТ10300-80</x:v>
      </x:c>
      <x:c r="D162" s="16" t="str">
        <x:v>Метизы специализированные и под заказ</x:v>
      </x:c>
      <x:c r="E162" s="16" t="str">
        <x:v>КГ</x:v>
      </x:c>
      <x:c r="F162" s="21" t="n">
        <x:v>10</x:v>
      </x:c>
      <x:c r="G162" s="17" t="n">
        <x:v>515.2792000000001</x:v>
      </x:c>
      <x:c r="H162" s="17" t="n">
        <x:f>G162*F162</x:f>
        <x:v>5152.792</x:v>
      </x:c>
      <x:c r="I162" s="22" t="str">
        <x:f>HYPERLINK("https://etp-aktiv.ru/catalog/materialy/metizy/2000336589-U117/","Открыть позицию")</x:f>
        <x:v>Открыть позицию</x:v>
      </x:c>
    </x:row>
    <x:row r="163" ht="28" customHeight="1">
      <x:c r="A163" s="16" t="str">
        <x:v>Приморская ГРЭС</x:v>
      </x:c>
      <x:c r="B163" s="16" t="str">
        <x:v>5000047993-U117</x:v>
      </x:c>
      <x:c r="C163" s="16" t="str">
        <x:v>ИНВЕРТОР СВАРОЧНЫЙ РЕСАНТА САИ 250</x:v>
      </x:c>
      <x:c r="D163" s="16" t="str">
        <x:v>Электросварочное и газопламенное оборудование</x:v>
      </x:c>
      <x:c r="E163" s="16" t="str">
        <x:v>ШТ</x:v>
      </x:c>
      <x:c r="F163" s="21" t="n">
        <x:v>10</x:v>
      </x:c>
      <x:c r="G163" s="17" t="n">
        <x:v>13689.619999999999</x:v>
      </x:c>
      <x:c r="H163" s="17" t="n">
        <x:f>G163*F163</x:f>
        <x:v>136896.19999999998</x:v>
      </x:c>
      <x:c r="I163" s="22" t="str">
        <x:f>HYPERLINK("https://etp-aktiv.ru/catalog/materialy/zapasnye-chasti-promyshlennogo-oborudovaniya/5000047993-U117/","Открыть позицию")</x:f>
        <x:v>Открыть позицию</x:v>
      </x:c>
    </x:row>
    <x:row r="164" ht="28" customHeight="1">
      <x:c r="A164" s="16" t="str">
        <x:v>Приморская ГРЭС</x:v>
      </x:c>
      <x:c r="B164" s="16" t="str">
        <x:v>2000147433-U117</x:v>
      </x:c>
      <x:c r="C164" s="16" t="str">
        <x:v>КАТАНКА СТ3 D5ММ ТУ14-1-5283-94</x:v>
      </x:c>
      <x:c r="D164" s="16" t="str">
        <x:v>Металлопрокат прочий</x:v>
      </x:c>
      <x:c r="E164" s="16" t="str">
        <x:v>Т</x:v>
      </x:c>
      <x:c r="F164" s="26" t="n">
        <x:v>0.03</x:v>
      </x:c>
      <x:c r="G164" s="17" t="n">
        <x:v>110486.25</x:v>
      </x:c>
      <x:c r="H164" s="17" t="n">
        <x:f>G164*F164</x:f>
        <x:v>3314.5875</x:v>
      </x:c>
      <x:c r="I164" s="22" t="str">
        <x:f>HYPERLINK("https://etp-aktiv.ru/catalog/materialy/metalloprodukciya/2000147433-U117/","Открыть позицию")</x:f>
        <x:v>Открыть позицию</x:v>
      </x:c>
    </x:row>
    <x:row r="165" ht="28" customHeight="1">
      <x:c r="A165" s="16" t="str">
        <x:v>Приморская ГРЭС</x:v>
      </x:c>
      <x:c r="B165" s="16" t="str">
        <x:v>2000014934-U117</x:v>
      </x:c>
      <x:c r="C165" s="16" t="str">
        <x:v>КАТАНКА СТ3 D8ММ ТУ14-1-5282-94</x:v>
      </x:c>
      <x:c r="D165" s="16" t="str">
        <x:v>Металлопрокат прочий</x:v>
      </x:c>
      <x:c r="E165" s="16" t="str">
        <x:v>Т</x:v>
      </x:c>
      <x:c r="F165" s="26" t="n">
        <x:v>0.015</x:v>
      </x:c>
      <x:c r="G165" s="17" t="n">
        <x:v>69453.99</x:v>
      </x:c>
      <x:c r="H165" s="17" t="n">
        <x:f>G165*F165</x:f>
        <x:v>1041.80985</x:v>
      </x:c>
      <x:c r="I165" s="22" t="str">
        <x:f>HYPERLINK("https://etp-aktiv.ru/catalog/materialy/metalloprodukciya/2000014934-U117/","Открыть позицию")</x:f>
        <x:v>Открыть позицию</x:v>
      </x:c>
    </x:row>
    <x:row r="166" ht="28" customHeight="1">
      <x:c r="A166" s="16" t="str">
        <x:v>Приморская ГРЭС</x:v>
      </x:c>
      <x:c r="B166" s="16" t="str">
        <x:v>2000067679-U117</x:v>
      </x:c>
      <x:c r="C166" s="16" t="str">
        <x:v>КВАДРАТ СТ3 12ММ ГОСТ2591-2006</x:v>
      </x:c>
      <x:c r="D166" s="16" t="str">
        <x:v>Металлопрокат прочий</x:v>
      </x:c>
      <x:c r="E166" s="16" t="str">
        <x:v>Т</x:v>
      </x:c>
      <x:c r="F166" s="26" t="n">
        <x:v>0.675</x:v>
      </x:c>
      <x:c r="G166" s="17" t="n">
        <x:v>76642.25439999999</x:v>
      </x:c>
      <x:c r="H166" s="17" t="n">
        <x:f>G166*F166</x:f>
        <x:v>51733.52172</x:v>
      </x:c>
      <x:c r="I166" s="22" t="str">
        <x:f>HYPERLINK("https://etp-aktiv.ru/catalog/materialy/metalloprodukciya/2000067679-U117/","Открыть позицию")</x:f>
        <x:v>Открыть позицию</x:v>
      </x:c>
    </x:row>
    <x:row r="167" ht="28" customHeight="1">
      <x:c r="A167" s="16" t="str">
        <x:v>Приморская ГРЭС</x:v>
      </x:c>
      <x:c r="B167" s="16" t="str">
        <x:v>2000571428-U117</x:v>
      </x:c>
      <x:c r="C167" s="16" t="str">
        <x:v>КОЛПАЧОК А-7322.498 8ММ ГОРЕЛКИ АГНИ</x:v>
      </x:c>
      <x:c r="D167" s="16" t="str">
        <x:v>Комплектующие и запасные части к сварочному оборудованию</x:v>
      </x:c>
      <x:c r="E167" s="16" t="str">
        <x:v>ШТ</x:v>
      </x:c>
      <x:c r="F167" s="21" t="n">
        <x:v>10</x:v>
      </x:c>
      <x:c r="G167" s="17" t="n">
        <x:v>290.1526</x:v>
      </x:c>
      <x:c r="H167" s="17" t="n">
        <x:f>G167*F167</x:f>
        <x:v>2901.526</x:v>
      </x:c>
      <x:c r="I167" s="22" t="str">
        <x:f>HYPERLINK("https://etp-aktiv.ru/catalog/materialy/zapasnye-chasti-promyshlennogo-oborudovaniya/2000571428-U117/","Открыть позицию")</x:f>
        <x:v>Открыть позицию</x:v>
      </x:c>
    </x:row>
    <x:row r="168" ht="28" customHeight="1">
      <x:c r="A168" s="16" t="str">
        <x:v>Приморская ГРЭС</x:v>
      </x:c>
      <x:c r="B168" s="16" t="str">
        <x:v>2000251480-U117</x:v>
      </x:c>
      <x:c r="C168" s="16" t="str">
        <x:v>КОЛЬЦО МЕДНОЕ 14*1,5 DIN7603</x:v>
      </x:c>
      <x:c r="D168" s="16" t="str">
        <x:v>Метизы специализированные и под заказ</x:v>
      </x:c>
      <x:c r="E168" s="16" t="str">
        <x:v>ШТ</x:v>
      </x:c>
      <x:c r="F168" s="21" t="n">
        <x:v>50</x:v>
      </x:c>
      <x:c r="G168" s="17" t="n">
        <x:v>6.6124</x:v>
      </x:c>
      <x:c r="H168" s="17" t="n">
        <x:f>G168*F168</x:f>
        <x:v>330.62</x:v>
      </x:c>
      <x:c r="I168" s="22" t="str">
        <x:f>HYPERLINK("https://etp-aktiv.ru/catalog/materialy/metizy/2000251480-U117/","Открыть позицию")</x:f>
        <x:v>Открыть позицию</x:v>
      </x:c>
    </x:row>
    <x:row r="169" ht="28" customHeight="1">
      <x:c r="A169" s="16" t="str">
        <x:v>Приморская ГРЭС</x:v>
      </x:c>
      <x:c r="B169" s="16" t="str">
        <x:v>2000523414-U117</x:v>
      </x:c>
      <x:c r="C169" s="16" t="str">
        <x:v>КОЛЬЦО СТОПОРНОЕ B40 ГОСТ13942-86</x:v>
      </x:c>
      <x:c r="D169" s="16" t="str">
        <x:v>Метизы специализированные и под заказ</x:v>
      </x:c>
      <x:c r="E169" s="16" t="str">
        <x:v>КГ</x:v>
      </x:c>
      <x:c r="F169" s="26" t="n">
        <x:v>0.019</x:v>
      </x:c>
      <x:c r="G169" s="17" t="n">
        <x:v>58.4258</x:v>
      </x:c>
      <x:c r="H169" s="17" t="n">
        <x:f>G169*F169</x:f>
        <x:v>1.1100902</x:v>
      </x:c>
      <x:c r="I169" s="22" t="str">
        <x:f>HYPERLINK("https://etp-aktiv.ru/catalog/materialy/metizy/2000523414-U117/","Открыть позицию")</x:f>
        <x:v>Открыть позицию</x:v>
      </x:c>
    </x:row>
    <x:row r="170" ht="28" customHeight="1">
      <x:c r="A170" s="16" t="str">
        <x:v>Приморская ГРЭС</x:v>
      </x:c>
      <x:c r="B170" s="16" t="str">
        <x:v>2000640586-U117</x:v>
      </x:c>
      <x:c r="C170" s="16" t="str">
        <x:v>КРУГ 09Г2С D45ММ ГОСТ2590-2006</x:v>
      </x:c>
      <x:c r="D170" s="16" t="str">
        <x:v>Металлопрокат черный</x:v>
      </x:c>
      <x:c r="E170" s="16" t="str">
        <x:v>Т</x:v>
      </x:c>
      <x:c r="F170" s="26" t="n">
        <x:v>0.1</x:v>
      </x:c>
      <x:c r="G170" s="17" t="n">
        <x:v>79330.5</x:v>
      </x:c>
      <x:c r="H170" s="17" t="n">
        <x:f>G170*F170</x:f>
        <x:v>7933.05</x:v>
      </x:c>
      <x:c r="I170" s="22" t="str">
        <x:f>HYPERLINK("https://etp-aktiv.ru/catalog/materialy/metalloprodukciya/2000640586-U117/","Открыть позицию")</x:f>
        <x:v>Открыть позицию</x:v>
      </x:c>
    </x:row>
    <x:row r="171" ht="28" customHeight="1">
      <x:c r="A171" s="16" t="str">
        <x:v>Приморская ГРЭС</x:v>
      </x:c>
      <x:c r="B171" s="16" t="str">
        <x:v>2000863912-U117</x:v>
      </x:c>
      <x:c r="C171" s="16" t="str">
        <x:v>КРУГ 12Х18Н10Т 55ММ ГОСТ5949-75</x:v>
      </x:c>
      <x:c r="D171" s="16" t="str">
        <x:v>Металлопрокат из нержавеющей стали</x:v>
      </x:c>
      <x:c r="E171" s="16" t="str">
        <x:v>Т</x:v>
      </x:c>
      <x:c r="F171" s="26" t="n">
        <x:v>0.099</x:v>
      </x:c>
      <x:c r="G171" s="17" t="n">
        <x:v>414800</x:v>
      </x:c>
      <x:c r="H171" s="17" t="n">
        <x:f>G171*F171</x:f>
        <x:v>41065.200000000004</x:v>
      </x:c>
      <x:c r="I171" s="22" t="str">
        <x:f>HYPERLINK("https://etp-aktiv.ru/catalog/materialy/metalloprodukciya/2000863912-U117/","Открыть позицию")</x:f>
        <x:v>Открыть позицию</x:v>
      </x:c>
    </x:row>
    <x:row r="172" ht="28" customHeight="1">
      <x:c r="A172" s="16" t="str">
        <x:v>Приморская ГРЭС</x:v>
      </x:c>
      <x:c r="B172" s="16" t="str">
        <x:v>2000067806-U117</x:v>
      </x:c>
      <x:c r="C172" s="16" t="str">
        <x:v>КРУГ 12Х18Н10Т D12ММ ГОСТ5949-75</x:v>
      </x:c>
      <x:c r="D172" s="16" t="str">
        <x:v>Металлопрокат из нержавеющей стали</x:v>
      </x:c>
      <x:c r="E172" s="16" t="str">
        <x:v>Т</x:v>
      </x:c>
      <x:c r="F172" s="26" t="n">
        <x:v>0.031</x:v>
      </x:c>
      <x:c r="G172" s="17" t="n">
        <x:v>475479.75</x:v>
      </x:c>
      <x:c r="H172" s="17" t="n">
        <x:f>G172*F172</x:f>
        <x:v>14739.87225</x:v>
      </x:c>
      <x:c r="I172" s="22" t="str">
        <x:f>HYPERLINK("https://etp-aktiv.ru/catalog/materialy/metalloprodukciya/2000067806-U117/","Открыть позицию")</x:f>
        <x:v>Открыть позицию</x:v>
      </x:c>
    </x:row>
    <x:row r="173" ht="28" customHeight="1">
      <x:c r="A173" s="16" t="str">
        <x:v>Приморская ГРЭС</x:v>
      </x:c>
      <x:c r="B173" s="16" t="str">
        <x:v>2000150612-U117</x:v>
      </x:c>
      <x:c r="C173" s="16" t="str">
        <x:v>КРУГ 12Х18Н10Т D14ММ ГОСТ5949-75</x:v>
      </x:c>
      <x:c r="D173" s="16" t="str">
        <x:v>Металлопрокат из нержавеющей стали</x:v>
      </x:c>
      <x:c r="E173" s="16" t="str">
        <x:v>Т</x:v>
      </x:c>
      <x:c r="F173" s="26" t="n">
        <x:v>0.366</x:v>
      </x:c>
      <x:c r="G173" s="17" t="n">
        <x:v>484630.0794</x:v>
      </x:c>
      <x:c r="H173" s="17" t="n">
        <x:f>G173*F173</x:f>
        <x:v>177374.6090604</x:v>
      </x:c>
      <x:c r="I173" s="22" t="str">
        <x:f>HYPERLINK("https://etp-aktiv.ru/catalog/materialy/metalloprodukciya/2000150612-U117/","Открыть позицию")</x:f>
        <x:v>Открыть позицию</x:v>
      </x:c>
    </x:row>
    <x:row r="174" ht="28" customHeight="1">
      <x:c r="A174" s="16" t="str">
        <x:v>Приморская ГРЭС</x:v>
      </x:c>
      <x:c r="B174" s="16" t="str">
        <x:v>2000172715-U117</x:v>
      </x:c>
      <x:c r="C174" s="16" t="str">
        <x:v>КРУГ 12Х18Н10Т D160ММ ГОСТ5949-75</x:v>
      </x:c>
      <x:c r="D174" s="16" t="str">
        <x:v>Металлопрокат из нержавеющей стали</x:v>
      </x:c>
      <x:c r="E174" s="16" t="str">
        <x:v>Т</x:v>
      </x:c>
      <x:c r="F174" s="26" t="n">
        <x:v>0.035</x:v>
      </x:c>
      <x:c r="G174" s="17" t="n">
        <x:v>368015.86699999997</x:v>
      </x:c>
      <x:c r="H174" s="17" t="n">
        <x:f>G174*F174</x:f>
        <x:v>12880.555345</x:v>
      </x:c>
      <x:c r="I174" s="22" t="str">
        <x:f>HYPERLINK("https://etp-aktiv.ru/catalog/materialy/metalloprodukciya/2000172715-U117/","Открыть позицию")</x:f>
        <x:v>Открыть позицию</x:v>
      </x:c>
    </x:row>
    <x:row r="175" ht="28" customHeight="1">
      <x:c r="A175" s="16" t="str">
        <x:v>Приморская ГРЭС</x:v>
      </x:c>
      <x:c r="B175" s="16" t="str">
        <x:v>2000067810-U117</x:v>
      </x:c>
      <x:c r="C175" s="16" t="str">
        <x:v>КРУГ 12Х18Н10Т D20ММ ГОСТ5949-75</x:v>
      </x:c>
      <x:c r="D175" s="16" t="str">
        <x:v>Металлопрокат из нержавеющей стали</x:v>
      </x:c>
      <x:c r="E175" s="16" t="str">
        <x:v>Т</x:v>
      </x:c>
      <x:c r="F175" s="26" t="n">
        <x:v>0.219</x:v>
      </x:c>
      <x:c r="G175" s="17" t="n">
        <x:v>279129.0094</x:v>
      </x:c>
      <x:c r="H175" s="17" t="n">
        <x:f>G175*F175</x:f>
        <x:v>61129.2530586</x:v>
      </x:c>
      <x:c r="I175" s="22" t="str">
        <x:f>HYPERLINK("https://etp-aktiv.ru/catalog/materialy/metalloprodukciya/2000067810-U117/","Открыть позицию")</x:f>
        <x:v>Открыть позицию</x:v>
      </x:c>
    </x:row>
    <x:row r="176" ht="28" customHeight="1">
      <x:c r="A176" s="16" t="str">
        <x:v>Приморская ГРЭС</x:v>
      </x:c>
      <x:c r="B176" s="16" t="str">
        <x:v>2000162320-U117</x:v>
      </x:c>
      <x:c r="C176" s="16" t="str">
        <x:v>КРУГ 12Х18Н10Т D25ММ ГОСТ5949-75</x:v>
      </x:c>
      <x:c r="D176" s="16" t="str">
        <x:v>Металлопрокат из нержавеющей стали</x:v>
      </x:c>
      <x:c r="E176" s="16" t="str">
        <x:v>Т</x:v>
      </x:c>
      <x:c r="F176" s="26" t="n">
        <x:v>0.369</x:v>
      </x:c>
      <x:c r="G176" s="17" t="n">
        <x:v>496648.10419999994</x:v>
      </x:c>
      <x:c r="H176" s="17" t="n">
        <x:f>G176*F176</x:f>
        <x:v>183263.15044979998</x:v>
      </x:c>
      <x:c r="I176" s="22" t="str">
        <x:f>HYPERLINK("https://etp-aktiv.ru/catalog/materialy/metalloprodukciya/2000162320-U117/","Открыть позицию")</x:f>
        <x:v>Открыть позицию</x:v>
      </x:c>
    </x:row>
    <x:row r="177" ht="28" customHeight="1">
      <x:c r="A177" s="16" t="str">
        <x:v>Приморская ГРЭС</x:v>
      </x:c>
      <x:c r="B177" s="16" t="str">
        <x:v>2000945303-U117</x:v>
      </x:c>
      <x:c r="C177" s="16" t="str">
        <x:v>КРУГ 12Х18Н10Т D26ММ ГОСТ5949-2018</x:v>
      </x:c>
      <x:c r="D177" s="16" t="str">
        <x:v>Металлопрокат из нержавеющей стали</x:v>
      </x:c>
      <x:c r="E177" s="16" t="str">
        <x:v>Т</x:v>
      </x:c>
      <x:c r="F177" s="26" t="n">
        <x:v>0.093</x:v>
      </x:c>
      <x:c r="G177" s="17" t="n">
        <x:v>414800</x:v>
      </x:c>
      <x:c r="H177" s="17" t="n">
        <x:f>G177*F177</x:f>
        <x:v>38576.4</x:v>
      </x:c>
      <x:c r="I177" s="22" t="str">
        <x:f>HYPERLINK("https://etp-aktiv.ru/catalog/materialy/metalloprodukciya/2000945303-U117/","Открыть позицию")</x:f>
        <x:v>Открыть позицию</x:v>
      </x:c>
    </x:row>
    <x:row r="178" ht="28" customHeight="1">
      <x:c r="A178" s="16" t="str">
        <x:v>Приморская ГРЭС</x:v>
      </x:c>
      <x:c r="B178" s="16" t="str">
        <x:v>2000151141-U117</x:v>
      </x:c>
      <x:c r="C178" s="16" t="str">
        <x:v>КРУГ 12Х18Н10Т D60ММ ГОСТ5949-75</x:v>
      </x:c>
      <x:c r="D178" s="16" t="str">
        <x:v>Металлопрокат из нержавеющей стали</x:v>
      </x:c>
      <x:c r="E178" s="16" t="str">
        <x:v>Т</x:v>
      </x:c>
      <x:c r="F178" s="26" t="n">
        <x:v>0.964</x:v>
      </x:c>
      <x:c r="G178" s="17" t="n">
        <x:v>286998.7658</x:v>
      </x:c>
      <x:c r="H178" s="17" t="n">
        <x:f>G178*F178</x:f>
        <x:v>276666.8102312</x:v>
      </x:c>
      <x:c r="I178" s="22" t="str">
        <x:f>HYPERLINK("https://etp-aktiv.ru/catalog/materialy/metalloprodukciya/2000151141-U117/","Открыть позицию")</x:f>
        <x:v>Открыть позицию</x:v>
      </x:c>
    </x:row>
    <x:row r="179" ht="28" customHeight="1">
      <x:c r="A179" s="16" t="str">
        <x:v>Приморская ГРЭС</x:v>
      </x:c>
      <x:c r="B179" s="16" t="str">
        <x:v>2000569990-U117</x:v>
      </x:c>
      <x:c r="C179" s="16" t="str">
        <x:v>КРУГ 12Х18Н9Т D16ММ ГОСТ5949-75</x:v>
      </x:c>
      <x:c r="D179" s="16" t="str">
        <x:v>Металлопрокат из нержавеющей стали</x:v>
      </x:c>
      <x:c r="E179" s="16" t="str">
        <x:v>Т</x:v>
      </x:c>
      <x:c r="F179" s="26" t="n">
        <x:v>0.251</x:v>
      </x:c>
      <x:c r="G179" s="17" t="n">
        <x:v>549169.2994</x:v>
      </x:c>
      <x:c r="H179" s="17" t="n">
        <x:f>G179*F179</x:f>
        <x:v>137841.4941494</x:v>
      </x:c>
      <x:c r="I179" s="22" t="str">
        <x:f>HYPERLINK("https://etp-aktiv.ru/catalog/materialy/metalloprodukciya/2000569990-U117/","Открыть позицию")</x:f>
        <x:v>Открыть позицию</x:v>
      </x:c>
    </x:row>
    <x:row r="180" ht="28" customHeight="1">
      <x:c r="A180" s="16" t="str">
        <x:v>Приморская ГРЭС</x:v>
      </x:c>
      <x:c r="B180" s="16" t="str">
        <x:v>2000166879-U117</x:v>
      </x:c>
      <x:c r="C180" s="16" t="str">
        <x:v>КРУГ 12Х18Н9Т D30ММ ГОСТ5949-75</x:v>
      </x:c>
      <x:c r="D180" s="16" t="str">
        <x:v>Металлопрокат из нержавеющей стали</x:v>
      </x:c>
      <x:c r="E180" s="16" t="str">
        <x:v>Т</x:v>
      </x:c>
      <x:c r="F180" s="26" t="n">
        <x:v>0.15</x:v>
      </x:c>
      <x:c r="G180" s="17" t="n">
        <x:v>618311.25</x:v>
      </x:c>
      <x:c r="H180" s="17" t="n">
        <x:f>G180*F180</x:f>
        <x:v>92746.6875</x:v>
      </x:c>
      <x:c r="I180" s="22" t="str">
        <x:f>HYPERLINK("https://etp-aktiv.ru/catalog/materialy/metalloprodukciya/2000166879-U117/","Открыть позицию")</x:f>
        <x:v>Открыть позицию</x:v>
      </x:c>
    </x:row>
    <x:row r="181" ht="28" customHeight="1">
      <x:c r="A181" s="16" t="str">
        <x:v>Приморская ГРЭС</x:v>
      </x:c>
      <x:c r="B181" s="16" t="str">
        <x:v>2000177959-U117</x:v>
      </x:c>
      <x:c r="C181" s="16" t="str">
        <x:v>КРУГ 12Х1МФ D24ММ ГОСТ20072-74</x:v>
      </x:c>
      <x:c r="D181" s="16" t="str">
        <x:v>Металлопрокат из нержавеющей стали</x:v>
      </x:c>
      <x:c r="E181" s="16" t="str">
        <x:v>Т</x:v>
      </x:c>
      <x:c r="F181" s="26" t="n">
        <x:v>0.278</x:v>
      </x:c>
      <x:c r="G181" s="17" t="n">
        <x:v>160122.9992</x:v>
      </x:c>
      <x:c r="H181" s="17" t="n">
        <x:f>G181*F181</x:f>
        <x:v>44514.193777600005</x:v>
      </x:c>
      <x:c r="I181" s="22" t="str">
        <x:f>HYPERLINK("https://etp-aktiv.ru/catalog/materialy/metalloprodukciya/2000177959-U117/","Открыть позицию")</x:f>
        <x:v>Открыть позицию</x:v>
      </x:c>
    </x:row>
    <x:row r="182" ht="28" customHeight="1">
      <x:c r="A182" s="16" t="str">
        <x:v>Приморская ГРЭС</x:v>
      </x:c>
      <x:c r="B182" s="16" t="str">
        <x:v>2000555548-U117</x:v>
      </x:c>
      <x:c r="C182" s="16" t="str">
        <x:v>КРУГ 12Х1МФ D27ММ ГОСТ20072-74</x:v>
      </x:c>
      <x:c r="D182" s="16" t="str">
        <x:v>Металлопрокат из нержавеющей стали</x:v>
      </x:c>
      <x:c r="E182" s="16" t="str">
        <x:v>Т</x:v>
      </x:c>
      <x:c r="F182" s="26" t="n">
        <x:v>0.475</x:v>
      </x:c>
      <x:c r="G182" s="17" t="n">
        <x:v>609878</x:v>
      </x:c>
      <x:c r="H182" s="17" t="n">
        <x:f>G182*F182</x:f>
        <x:v>289692.05</x:v>
      </x:c>
      <x:c r="I182" s="22" t="str">
        <x:f>HYPERLINK("https://etp-aktiv.ru/catalog/materialy/metalloprodukciya/2000555548-U117/","Открыть позицию")</x:f>
        <x:v>Открыть позицию</x:v>
      </x:c>
    </x:row>
    <x:row r="183" ht="28" customHeight="1">
      <x:c r="A183" s="16" t="str">
        <x:v>Приморская ГРЭС</x:v>
      </x:c>
      <x:c r="B183" s="16" t="str">
        <x:v>2000176056-U117</x:v>
      </x:c>
      <x:c r="C183" s="16" t="str">
        <x:v>КРУГ 20Х13 D30ММ ГОСТ5949-75</x:v>
      </x:c>
      <x:c r="D183" s="16" t="str">
        <x:v>Металлопрокат из нержавеющей стали</x:v>
      </x:c>
      <x:c r="E183" s="16" t="str">
        <x:v>Т</x:v>
      </x:c>
      <x:c r="F183" s="26" t="n">
        <x:v>0.003</x:v>
      </x:c>
      <x:c r="G183" s="17" t="n">
        <x:v>273585</x:v>
      </x:c>
      <x:c r="H183" s="17" t="n">
        <x:f>G183*F183</x:f>
        <x:v>820.755</x:v>
      </x:c>
      <x:c r="I183" s="22" t="str">
        <x:f>HYPERLINK("https://etp-aktiv.ru/catalog/materialy/metalloprodukciya/2000176056-U117/","Открыть позицию")</x:f>
        <x:v>Открыть позицию</x:v>
      </x:c>
    </x:row>
    <x:row r="184" ht="28" customHeight="1">
      <x:c r="A184" s="16" t="str">
        <x:v>Приморская ГРЭС</x:v>
      </x:c>
      <x:c r="B184" s="16" t="str">
        <x:v>2000174413-U117</x:v>
      </x:c>
      <x:c r="C184" s="16" t="str">
        <x:v>КРУГ 20Х13 D50ММ ГОСТ5949-75</x:v>
      </x:c>
      <x:c r="D184" s="16" t="str">
        <x:v>Металлопрокат из нержавеющей стали</x:v>
      </x:c>
      <x:c r="E184" s="16" t="str">
        <x:v>Т</x:v>
      </x:c>
      <x:c r="F184" s="26" t="n">
        <x:v>0.049</x:v>
      </x:c>
      <x:c r="G184" s="17" t="n">
        <x:v>213595.3186</x:v>
      </x:c>
      <x:c r="H184" s="17" t="n">
        <x:f>G184*F184</x:f>
        <x:v>10466.1706114</x:v>
      </x:c>
      <x:c r="I184" s="22" t="str">
        <x:f>HYPERLINK("https://etp-aktiv.ru/catalog/materialy/metalloprodukciya/2000174413-U117/","Открыть позицию")</x:f>
        <x:v>Открыть позицию</x:v>
      </x:c>
    </x:row>
    <x:row r="185" ht="28" customHeight="1">
      <x:c r="A185" s="16" t="str">
        <x:v>Приморская ГРЭС</x:v>
      </x:c>
      <x:c r="B185" s="16" t="str">
        <x:v>2000555565-U117</x:v>
      </x:c>
      <x:c r="C185" s="16" t="str">
        <x:v>КРУГ 20Х13 D70ММ ГОСТ5949-75</x:v>
      </x:c>
      <x:c r="D185" s="16" t="str">
        <x:v>Металлопрокат из нержавеющей стали</x:v>
      </x:c>
      <x:c r="E185" s="16" t="str">
        <x:v>Т</x:v>
      </x:c>
      <x:c r="F185" s="26" t="n">
        <x:v>0.284</x:v>
      </x:c>
      <x:c r="G185" s="17" t="n">
        <x:v>227510.72400000002</x:v>
      </x:c>
      <x:c r="H185" s="17" t="n">
        <x:f>G185*F185</x:f>
        <x:v>64613.045615999996</x:v>
      </x:c>
      <x:c r="I185" s="22" t="str">
        <x:f>HYPERLINK("https://etp-aktiv.ru/catalog/materialy/metalloprodukciya/2000555565-U117/","Открыть позицию")</x:f>
        <x:v>Открыть позицию</x:v>
      </x:c>
    </x:row>
    <x:row r="186" ht="28" customHeight="1">
      <x:c r="A186" s="16" t="str">
        <x:v>Приморская ГРЭС</x:v>
      </x:c>
      <x:c r="B186" s="16" t="str">
        <x:v>2000222687-U117</x:v>
      </x:c>
      <x:c r="C186" s="16" t="str">
        <x:v>КРУГ 20Х13 D80 ГОСТ5949-75</x:v>
      </x:c>
      <x:c r="D186" s="16" t="str">
        <x:v>Металлопрокат из нержавеющей стали</x:v>
      </x:c>
      <x:c r="E186" s="16" t="str">
        <x:v>Т</x:v>
      </x:c>
      <x:c r="F186" s="26" t="n">
        <x:v>0.076</x:v>
      </x:c>
      <x:c r="G186" s="17" t="n">
        <x:v>237032.8118</x:v>
      </x:c>
      <x:c r="H186" s="17" t="n">
        <x:f>G186*F186</x:f>
        <x:v>18014.4936968</x:v>
      </x:c>
      <x:c r="I186" s="22" t="str">
        <x:f>HYPERLINK("https://etp-aktiv.ru/catalog/materialy/metalloprodukciya/2000222687-U117/","Открыть позицию")</x:f>
        <x:v>Открыть позицию</x:v>
      </x:c>
    </x:row>
    <x:row r="187" ht="28" customHeight="1">
      <x:c r="A187" s="16" t="str">
        <x:v>Приморская ГРЭС</x:v>
      </x:c>
      <x:c r="B187" s="16" t="str">
        <x:v>2000574342-U117</x:v>
      </x:c>
      <x:c r="C187" s="16" t="str">
        <x:v>КРУГ 20Х1М1Ф1ТР D125ММ ГОСТ20072-74</x:v>
      </x:c>
      <x:c r="D187" s="16" t="str">
        <x:v>Металлопрокат из нержавеющей стали</x:v>
      </x:c>
      <x:c r="E187" s="16" t="str">
        <x:v>Т</x:v>
      </x:c>
      <x:c r="F187" s="26" t="n">
        <x:v>0.201</x:v>
      </x:c>
      <x:c r="G187" s="17" t="n">
        <x:v>289750</x:v>
      </x:c>
      <x:c r="H187" s="17" t="n">
        <x:f>G187*F187</x:f>
        <x:v>58239.75</x:v>
      </x:c>
      <x:c r="I187" s="22" t="str">
        <x:f>HYPERLINK("https://etp-aktiv.ru/catalog/materialy/metalloprodukciya/2000574342-U117/","Открыть позицию")</x:f>
        <x:v>Открыть позицию</x:v>
      </x:c>
    </x:row>
    <x:row r="188" ht="28" customHeight="1">
      <x:c r="A188" s="16" t="str">
        <x:v>Приморская ГРЭС</x:v>
      </x:c>
      <x:c r="B188" s="16" t="str">
        <x:v>2000856296-U117</x:v>
      </x:c>
      <x:c r="C188" s="16" t="str">
        <x:v>КРУГ 20Х1М1Ф1ТР D145 ГОСТ20072-74</x:v>
      </x:c>
      <x:c r="D188" s="16" t="str">
        <x:v>Металлопрокат черный</x:v>
      </x:c>
      <x:c r="E188" s="16" t="str">
        <x:v>Т</x:v>
      </x:c>
      <x:c r="F188" s="26" t="n">
        <x:v>0.032</x:v>
      </x:c>
      <x:c r="G188" s="17" t="n">
        <x:v>289749.9024</x:v>
      </x:c>
      <x:c r="H188" s="17" t="n">
        <x:f>G188*F188</x:f>
        <x:v>9271.996876800002</x:v>
      </x:c>
      <x:c r="I188" s="22" t="str">
        <x:f>HYPERLINK("https://etp-aktiv.ru/catalog/materialy/metalloprodukciya/2000856296-U117/","Открыть позицию")</x:f>
        <x:v>Открыть позицию</x:v>
      </x:c>
    </x:row>
    <x:row r="189" ht="28" customHeight="1">
      <x:c r="A189" s="16" t="str">
        <x:v>Приморская ГРЭС</x:v>
      </x:c>
      <x:c r="B189" s="16" t="str">
        <x:v>2000221229-U117</x:v>
      </x:c>
      <x:c r="C189" s="16" t="str">
        <x:v>КРУГ 20Х1М1Ф1ТР D50ММ ГОСТ20072-74</x:v>
      </x:c>
      <x:c r="D189" s="16" t="str">
        <x:v>Металлопрокат из нержавеющей стали</x:v>
      </x:c>
      <x:c r="E189" s="16" t="str">
        <x:v>Т</x:v>
      </x:c>
      <x:c r="F189" s="26" t="n">
        <x:v>0.457</x:v>
      </x:c>
      <x:c r="G189" s="17" t="n">
        <x:v>356861.7974</x:v>
      </x:c>
      <x:c r="H189" s="17" t="n">
        <x:f>G189*F189</x:f>
        <x:v>163085.8414118</x:v>
      </x:c>
      <x:c r="I189" s="22" t="str">
        <x:f>HYPERLINK("https://etp-aktiv.ru/catalog/materialy/metalloprodukciya/2000221229-U117/","Открыть позицию")</x:f>
        <x:v>Открыть позицию</x:v>
      </x:c>
    </x:row>
    <x:row r="190" ht="28" customHeight="1">
      <x:c r="A190" s="16" t="str">
        <x:v>Приморская ГРЭС</x:v>
      </x:c>
      <x:c r="B190" s="16" t="str">
        <x:v>2000585384-U117</x:v>
      </x:c>
      <x:c r="C190" s="16" t="str">
        <x:v>КРУГ 25Х1МФ D120ММ ГОСТ20072-74</x:v>
      </x:c>
      <x:c r="D190" s="16" t="str">
        <x:v>Металлопрокат из нержавеющей стали</x:v>
      </x:c>
      <x:c r="E190" s="16" t="str">
        <x:v>Т</x:v>
      </x:c>
      <x:c r="F190" s="26" t="n">
        <x:v>0.6</x:v>
      </x:c>
      <x:c r="G190" s="17" t="n">
        <x:v>140735.8328</x:v>
      </x:c>
      <x:c r="H190" s="17" t="n">
        <x:f>G190*F190</x:f>
        <x:v>84441.49968</x:v>
      </x:c>
      <x:c r="I190" s="22" t="str">
        <x:f>HYPERLINK("https://etp-aktiv.ru/catalog/materialy/metalloprodukciya/2000585384-U117/","Открыть позицию")</x:f>
        <x:v>Открыть позицию</x:v>
      </x:c>
    </x:row>
    <x:row r="191" ht="28" customHeight="1">
      <x:c r="A191" s="16" t="str">
        <x:v>Приморская ГРЭС</x:v>
      </x:c>
      <x:c r="B191" s="16" t="str">
        <x:v>2000555552-U117</x:v>
      </x:c>
      <x:c r="C191" s="16" t="str">
        <x:v>КРУГ 30Х13 D300ММ ГОСТ5949-75</x:v>
      </x:c>
      <x:c r="D191" s="16" t="str">
        <x:v>Металлопрокат из нержавеющей стали</x:v>
      </x:c>
      <x:c r="E191" s="16" t="str">
        <x:v>Т</x:v>
      </x:c>
      <x:c r="F191" s="26" t="n">
        <x:v>0.023</x:v>
      </x:c>
      <x:c r="G191" s="17" t="n">
        <x:v>384901.93580000004</x:v>
      </x:c>
      <x:c r="H191" s="17" t="n">
        <x:f>G191*F191</x:f>
        <x:v>8852.7445234</x:v>
      </x:c>
      <x:c r="I191" s="22" t="str">
        <x:f>HYPERLINK("https://etp-aktiv.ru/catalog/materialy/metalloprodukciya/2000555552-U117/","Открыть позицию")</x:f>
        <x:v>Открыть позицию</x:v>
      </x:c>
    </x:row>
    <x:row r="192" ht="28" customHeight="1">
      <x:c r="A192" s="16" t="str">
        <x:v>Приморская ГРЭС</x:v>
      </x:c>
      <x:c r="B192" s="16" t="str">
        <x:v>2000555557-U117</x:v>
      </x:c>
      <x:c r="C192" s="16" t="str">
        <x:v>КРУГ 30ХМА D50ММ ГОСТ4543-71</x:v>
      </x:c>
      <x:c r="D192" s="16" t="str">
        <x:v>Металлопрокат из нержавеющей стали</x:v>
      </x:c>
      <x:c r="E192" s="16" t="str">
        <x:v>Т</x:v>
      </x:c>
      <x:c r="F192" s="26" t="n">
        <x:v>0.016</x:v>
      </x:c>
      <x:c r="G192" s="17" t="n">
        <x:v>223666.4186</x:v>
      </x:c>
      <x:c r="H192" s="17" t="n">
        <x:f>G192*F192</x:f>
        <x:v>3578.6626976000002</x:v>
      </x:c>
      <x:c r="I192" s="22" t="str">
        <x:f>HYPERLINK("https://etp-aktiv.ru/catalog/materialy/metalloprodukciya/2000555557-U117/","Открыть позицию")</x:f>
        <x:v>Открыть позицию</x:v>
      </x:c>
    </x:row>
    <x:row r="193" ht="28" customHeight="1">
      <x:c r="A193" s="16" t="str">
        <x:v>Приморская ГРЭС</x:v>
      </x:c>
      <x:c r="B193" s="16" t="str">
        <x:v>2000156383-U117</x:v>
      </x:c>
      <x:c r="C193" s="16" t="str">
        <x:v>КРУГ 30ХМА D60ММ ГОСТ4543-71</x:v>
      </x:c>
      <x:c r="D193" s="16" t="str">
        <x:v>Металлопрокат черный</x:v>
      </x:c>
      <x:c r="E193" s="16" t="str">
        <x:v>Т</x:v>
      </x:c>
      <x:c r="F193" s="26" t="n">
        <x:v>0.007</x:v>
      </x:c>
      <x:c r="G193" s="17" t="n">
        <x:v>279990</x:v>
      </x:c>
      <x:c r="H193" s="17" t="n">
        <x:f>G193*F193</x:f>
        <x:v>1959.93</x:v>
      </x:c>
      <x:c r="I193" s="22" t="str">
        <x:f>HYPERLINK("https://etp-aktiv.ru/catalog/materialy/metalloprodukciya/2000156383-U117/","Открыть позицию")</x:f>
        <x:v>Открыть позицию</x:v>
      </x:c>
    </x:row>
    <x:row r="194" ht="28" customHeight="1">
      <x:c r="A194" s="16" t="str">
        <x:v>Приморская ГРЭС</x:v>
      </x:c>
      <x:c r="B194" s="16" t="str">
        <x:v>2000305166-U117</x:v>
      </x:c>
      <x:c r="C194" s="16" t="str">
        <x:v>КРУГ БРАЖ 9-4 D30ММ ГОСТ1628-78</x:v>
      </x:c>
      <x:c r="D194" s="16" t="str">
        <x:v>Металлопрокат цветной</x:v>
      </x:c>
      <x:c r="E194" s="16" t="str">
        <x:v>КГ</x:v>
      </x:c>
      <x:c r="F194" s="21" t="n">
        <x:v>6</x:v>
      </x:c>
      <x:c r="G194" s="17" t="n">
        <x:v>1699.8503999999998</x:v>
      </x:c>
      <x:c r="H194" s="17" t="n">
        <x:f>G194*F194</x:f>
        <x:v>10199.1024</x:v>
      </x:c>
      <x:c r="I194" s="22" t="str">
        <x:f>HYPERLINK("https://etp-aktiv.ru/catalog/materialy/metalloprodukciya/2000305166-U117/","Открыть позицию")</x:f>
        <x:v>Открыть позицию</x:v>
      </x:c>
    </x:row>
    <x:row r="195" ht="28" customHeight="1">
      <x:c r="A195" s="16" t="str">
        <x:v>Приморская ГРЭС</x:v>
      </x:c>
      <x:c r="B195" s="16" t="str">
        <x:v>2000211893-U117</x:v>
      </x:c>
      <x:c r="C195" s="16" t="str">
        <x:v>КРУГ БРАЖ 9-4 D40ММ ГОСТ1628-78</x:v>
      </x:c>
      <x:c r="D195" s="16" t="str">
        <x:v>Металлопрокат цветной</x:v>
      </x:c>
      <x:c r="E195" s="16" t="str">
        <x:v>КГ</x:v>
      </x:c>
      <x:c r="F195" s="21" t="n">
        <x:v>0</x:v>
      </x:c>
      <x:c r="G195" s="17" t="n">
        <x:v>755.3264</x:v>
      </x:c>
      <x:c r="H195" s="17" t="n">
        <x:f>G195*F195</x:f>
        <x:v>0</x:v>
      </x:c>
      <x:c r="I195" s="22" t="str">
        <x:f>HYPERLINK("https://etp-aktiv.ru/catalog/materialy/metalloprodukciya/2000211893-U117/","Открыть позицию")</x:f>
        <x:v>Открыть позицию</x:v>
      </x:c>
    </x:row>
    <x:row r="196" ht="28" customHeight="1">
      <x:c r="A196" s="16" t="str">
        <x:v>Приморская ГРЭС</x:v>
      </x:c>
      <x:c r="B196" s="16" t="str">
        <x:v>2000300457-U117</x:v>
      </x:c>
      <x:c r="C196" s="16" t="str">
        <x:v>КРУГ БРОФ7-0,2 D100ММ ГОСТ1628-78</x:v>
      </x:c>
      <x:c r="D196" s="16" t="str">
        <x:v>Металлопрокат цветной</x:v>
      </x:c>
      <x:c r="E196" s="16" t="str">
        <x:v>КГ</x:v>
      </x:c>
      <x:c r="F196" s="21" t="n">
        <x:v>260</x:v>
      </x:c>
      <x:c r="G196" s="17" t="n">
        <x:v>1416.4443999999999</x:v>
      </x:c>
      <x:c r="H196" s="17" t="n">
        <x:f>G196*F196</x:f>
        <x:v>368275.54399999994</x:v>
      </x:c>
      <x:c r="I196" s="22" t="str">
        <x:f>HYPERLINK("https://etp-aktiv.ru/catalog/materialy/metalloprodukciya/2000300457-U117/","Открыть позицию")</x:f>
        <x:v>Открыть позицию</x:v>
      </x:c>
    </x:row>
    <x:row r="197" ht="28" customHeight="1">
      <x:c r="A197" s="16" t="str">
        <x:v>Приморская ГРЭС</x:v>
      </x:c>
      <x:c r="B197" s="16" t="str">
        <x:v>2000183919-U117</x:v>
      </x:c>
      <x:c r="C197" s="16" t="str">
        <x:v>КРУГ СТ20 D10ММ ГОСТ2590-2006</x:v>
      </x:c>
      <x:c r="D197" s="16" t="str">
        <x:v>Металлопрокат черный</x:v>
      </x:c>
      <x:c r="E197" s="16" t="str">
        <x:v>Т</x:v>
      </x:c>
      <x:c r="F197" s="26" t="n">
        <x:v>0.131</x:v>
      </x:c>
      <x:c r="G197" s="17" t="n">
        <x:v>71572.3126</x:v>
      </x:c>
      <x:c r="H197" s="17" t="n">
        <x:f>G197*F197</x:f>
        <x:v>9375.9729506</x:v>
      </x:c>
      <x:c r="I197" s="22" t="str">
        <x:f>HYPERLINK("https://etp-aktiv.ru/catalog/materialy/metalloprodukciya/2000183919-U117/","Открыть позицию")</x:f>
        <x:v>Открыть позицию</x:v>
      </x:c>
    </x:row>
    <x:row r="198" ht="28" customHeight="1">
      <x:c r="A198" s="16" t="str">
        <x:v>Приморская ГРЭС</x:v>
      </x:c>
      <x:c r="B198" s="16" t="str">
        <x:v>2000014871-U117</x:v>
      </x:c>
      <x:c r="C198" s="16" t="str">
        <x:v>КРУГ СТ20 D36ММ ГОСТ1050-88</x:v>
      </x:c>
      <x:c r="D198" s="16" t="str">
        <x:v>Металлопрокат черный</x:v>
      </x:c>
      <x:c r="E198" s="16" t="str">
        <x:v>Т</x:v>
      </x:c>
      <x:c r="F198" s="26" t="n">
        <x:v>0.29</x:v>
      </x:c>
      <x:c r="G198" s="17" t="n">
        <x:v>111020</x:v>
      </x:c>
      <x:c r="H198" s="17" t="n">
        <x:f>G198*F198</x:f>
        <x:v>32195.8</x:v>
      </x:c>
      <x:c r="I198" s="22" t="str">
        <x:f>HYPERLINK("https://etp-aktiv.ru/catalog/materialy/metalloprodukciya/2000014871-U117/","Открыть позицию")</x:f>
        <x:v>Открыть позицию</x:v>
      </x:c>
    </x:row>
    <x:row r="199" ht="28" customHeight="1">
      <x:c r="A199" s="16" t="str">
        <x:v>Приморская ГРЭС</x:v>
      </x:c>
      <x:c r="B199" s="16" t="str">
        <x:v>2000948913-U117</x:v>
      </x:c>
      <x:c r="C199" s="16" t="str">
        <x:v>КРУГ СТ20 D48ММ ГОСТ2590-2006</x:v>
      </x:c>
      <x:c r="D199" s="16" t="str">
        <x:v>Металлопрокат черный</x:v>
      </x:c>
      <x:c r="E199" s="16" t="str">
        <x:v>Т</x:v>
      </x:c>
      <x:c r="F199" s="30" t="n">
        <x:v>2.044</x:v>
      </x:c>
      <x:c r="G199" s="17" t="n">
        <x:v>121878</x:v>
      </x:c>
      <x:c r="H199" s="17" t="n">
        <x:f>G199*F199</x:f>
        <x:v>249118.632</x:v>
      </x:c>
      <x:c r="I199" s="22" t="str">
        <x:f>HYPERLINK("https://etp-aktiv.ru/catalog/materialy/metalloprodukciya/2000948913-U117/","Открыть позицию")</x:f>
        <x:v>Открыть позицию</x:v>
      </x:c>
    </x:row>
    <x:row r="200" ht="28" customHeight="1">
      <x:c r="A200" s="16" t="str">
        <x:v>Приморская ГРЭС</x:v>
      </x:c>
      <x:c r="B200" s="16" t="str">
        <x:v>2000028686-U117</x:v>
      </x:c>
      <x:c r="C200" s="16" t="str">
        <x:v>КРУГ СТ20 D60ММ ГОСТ1050-88</x:v>
      </x:c>
      <x:c r="D200" s="16" t="str">
        <x:v>Металлопрокат черный</x:v>
      </x:c>
      <x:c r="E200" s="16" t="str">
        <x:v>Т</x:v>
      </x:c>
      <x:c r="F200" s="26" t="n">
        <x:v>0.047</x:v>
      </x:c>
      <x:c r="G200" s="17" t="n">
        <x:v>111020</x:v>
      </x:c>
      <x:c r="H200" s="17" t="n">
        <x:f>G200*F200</x:f>
        <x:v>5217.94</x:v>
      </x:c>
      <x:c r="I200" s="22" t="str">
        <x:f>HYPERLINK("https://etp-aktiv.ru/catalog/materialy/metalloprodukciya/2000028686-U117/","Открыть позицию")</x:f>
        <x:v>Открыть позицию</x:v>
      </x:c>
    </x:row>
    <x:row r="201" ht="28" customHeight="1">
      <x:c r="A201" s="16" t="str">
        <x:v>Приморская ГРЭС</x:v>
      </x:c>
      <x:c r="B201" s="16" t="str">
        <x:v>2000944875-U117</x:v>
      </x:c>
      <x:c r="C201" s="16" t="str">
        <x:v>КРУГ СТ20 D62ММ ГОСТ2590-2006</x:v>
      </x:c>
      <x:c r="D201" s="16" t="str">
        <x:v>Металлопрокат черный</x:v>
      </x:c>
      <x:c r="E201" s="16" t="str">
        <x:v>Т</x:v>
      </x:c>
      <x:c r="F201" s="26" t="n">
        <x:v>0.075</x:v>
      </x:c>
      <x:c r="G201" s="17" t="n">
        <x:v>55079.4864</x:v>
      </x:c>
      <x:c r="H201" s="17" t="n">
        <x:f>G201*F201</x:f>
        <x:v>4130.96148</x:v>
      </x:c>
      <x:c r="I201" s="22" t="str">
        <x:f>HYPERLINK("https://etp-aktiv.ru/catalog/materialy/metalloprodukciya/2000944875-U117/","Открыть позицию")</x:f>
        <x:v>Открыть позицию</x:v>
      </x:c>
    </x:row>
    <x:row r="202" ht="28" customHeight="1">
      <x:c r="A202" s="16" t="str">
        <x:v>Приморская ГРЭС</x:v>
      </x:c>
      <x:c r="B202" s="16" t="str">
        <x:v>2000014878-U117</x:v>
      </x:c>
      <x:c r="C202" s="16" t="str">
        <x:v>КРУГ СТ3 D120ММ ГОСТ2590-2006</x:v>
      </x:c>
      <x:c r="D202" s="16" t="str">
        <x:v>Металлопрокат черный</x:v>
      </x:c>
      <x:c r="E202" s="16" t="str">
        <x:v>Т</x:v>
      </x:c>
      <x:c r="F202" s="26" t="n">
        <x:v>0.088</x:v>
      </x:c>
      <x:c r="G202" s="17" t="n">
        <x:v>59964.3176</x:v>
      </x:c>
      <x:c r="H202" s="17" t="n">
        <x:f>G202*F202</x:f>
        <x:v>5276.8599488</x:v>
      </x:c>
      <x:c r="I202" s="22" t="str">
        <x:f>HYPERLINK("https://etp-aktiv.ru/catalog/materialy/metalloprodukciya/2000014878-U117/","Открыть позицию")</x:f>
        <x:v>Открыть позицию</x:v>
      </x:c>
    </x:row>
    <x:row r="203" ht="28" customHeight="1">
      <x:c r="A203" s="16" t="str">
        <x:v>Приморская ГРЭС</x:v>
      </x:c>
      <x:c r="B203" s="16" t="str">
        <x:v>2000015158-U117</x:v>
      </x:c>
      <x:c r="C203" s="16" t="str">
        <x:v>КРУГ СТ3 D12ММ ГОСТ2590-2006</x:v>
      </x:c>
      <x:c r="D203" s="16" t="str">
        <x:v>Металлопрокат черный</x:v>
      </x:c>
      <x:c r="E203" s="16" t="str">
        <x:v>Т</x:v>
      </x:c>
      <x:c r="F203" s="26" t="n">
        <x:v>0.02</x:v>
      </x:c>
      <x:c r="G203" s="17" t="n">
        <x:v>115988.45</x:v>
      </x:c>
      <x:c r="H203" s="17" t="n">
        <x:f>G203*F203</x:f>
        <x:v>2319.769</x:v>
      </x:c>
      <x:c r="I203" s="22" t="str">
        <x:f>HYPERLINK("https://etp-aktiv.ru/catalog/materialy/metalloprodukciya/2000015158-U117/","Открыть позицию")</x:f>
        <x:v>Открыть позицию</x:v>
      </x:c>
    </x:row>
    <x:row r="204" ht="28" customHeight="1">
      <x:c r="A204" s="16" t="str">
        <x:v>Приморская ГРЭС</x:v>
      </x:c>
      <x:c r="B204" s="16" t="str">
        <x:v>2000253419-U117</x:v>
      </x:c>
      <x:c r="C204" s="16" t="str">
        <x:v>КРУГ СТ3 D200ММ ГОСТ2590-88</x:v>
      </x:c>
      <x:c r="D204" s="16" t="str">
        <x:v>Металлопрокат черный</x:v>
      </x:c>
      <x:c r="E204" s="16" t="str">
        <x:v>Т</x:v>
      </x:c>
      <x:c r="F204" s="30" t="n">
        <x:v>3.845</x:v>
      </x:c>
      <x:c r="G204" s="17" t="n">
        <x:v>114320.96620000001</x:v>
      </x:c>
      <x:c r="H204" s="17" t="n">
        <x:f>G204*F204</x:f>
        <x:v>439564.11503900005</x:v>
      </x:c>
      <x:c r="I204" s="22" t="str">
        <x:f>HYPERLINK("https://etp-aktiv.ru/catalog/materialy/metalloprodukciya/2000253419-U117/","Открыть позицию")</x:f>
        <x:v>Открыть позицию</x:v>
      </x:c>
    </x:row>
    <x:row r="205" ht="28" customHeight="1">
      <x:c r="A205" s="16" t="str">
        <x:v>Приморская ГРЭС</x:v>
      </x:c>
      <x:c r="B205" s="16" t="str">
        <x:v>2000014889-U117</x:v>
      </x:c>
      <x:c r="C205" s="16" t="str">
        <x:v>КРУГ СТ3 D36ММ ГОСТ2590-2006</x:v>
      </x:c>
      <x:c r="D205" s="16" t="str">
        <x:v>Металлопрокат прочий</x:v>
      </x:c>
      <x:c r="E205" s="16" t="str">
        <x:v>Т</x:v>
      </x:c>
      <x:c r="F205" s="30" t="n">
        <x:v>8.35</x:v>
      </x:c>
      <x:c r="G205" s="17" t="n">
        <x:v>53235.2734</x:v>
      </x:c>
      <x:c r="H205" s="17" t="n">
        <x:f>G205*F205</x:f>
        <x:v>444514.53289</x:v>
      </x:c>
      <x:c r="I205" s="22" t="str">
        <x:f>HYPERLINK("https://etp-aktiv.ru/catalog/materialy/metalloprodukciya/2000014889-U117/","Открыть позицию")</x:f>
        <x:v>Открыть позицию</x:v>
      </x:c>
    </x:row>
    <x:row r="206" ht="28" customHeight="1">
      <x:c r="A206" s="16" t="str">
        <x:v>Приморская ГРЭС</x:v>
      </x:c>
      <x:c r="B206" s="16" t="str">
        <x:v>2000015157-U117</x:v>
      </x:c>
      <x:c r="C206" s="16" t="str">
        <x:v>КРУГ СТ3 D8ММ ГОСТ2590-2006</x:v>
      </x:c>
      <x:c r="D206" s="16" t="str">
        <x:v>Металлопрокат черный</x:v>
      </x:c>
      <x:c r="E206" s="16" t="str">
        <x:v>Т</x:v>
      </x:c>
      <x:c r="F206" s="30" t="n">
        <x:v>2.439</x:v>
      </x:c>
      <x:c r="G206" s="17" t="n">
        <x:v>66337.5122</x:v>
      </x:c>
      <x:c r="H206" s="17" t="n">
        <x:f>G206*F206</x:f>
        <x:v>161797.1922558</x:v>
      </x:c>
      <x:c r="I206" s="22" t="str">
        <x:f>HYPERLINK("https://etp-aktiv.ru/catalog/materialy/metalloprodukciya/2000015157-U117/","Открыть позицию")</x:f>
        <x:v>Открыть позицию</x:v>
      </x:c>
    </x:row>
    <x:row r="207" ht="28" customHeight="1">
      <x:c r="A207" s="16" t="str">
        <x:v>Приморская ГРЭС</x:v>
      </x:c>
      <x:c r="B207" s="16" t="str">
        <x:v>2000014898-U117</x:v>
      </x:c>
      <x:c r="C207" s="16" t="str">
        <x:v>КРУГ СТ3 D90ММ ГОСТ2590-2006</x:v>
      </x:c>
      <x:c r="D207" s="16" t="str">
        <x:v>Металлопрокат черный</x:v>
      </x:c>
      <x:c r="E207" s="16" t="str">
        <x:v>Т</x:v>
      </x:c>
      <x:c r="F207" s="30" t="n">
        <x:v>2.294</x:v>
      </x:c>
      <x:c r="G207" s="17" t="n">
        <x:v>52772.3566</x:v>
      </x:c>
      <x:c r="H207" s="17" t="n">
        <x:f>G207*F207</x:f>
        <x:v>121059.7860404</x:v>
      </x:c>
      <x:c r="I207" s="22" t="str">
        <x:f>HYPERLINK("https://etp-aktiv.ru/catalog/materialy/metalloprodukciya/2000014898-U117/","Открыть позицию")</x:f>
        <x:v>Открыть позицию</x:v>
      </x:c>
    </x:row>
    <x:row r="208" ht="28" customHeight="1">
      <x:c r="A208" s="16" t="str">
        <x:v>Приморская ГРЭС</x:v>
      </x:c>
      <x:c r="B208" s="16" t="str">
        <x:v>2000864973-U117</x:v>
      </x:c>
      <x:c r="C208" s="16" t="str">
        <x:v>КРУГ СТ35 300ММ ГОСТ2590-2006</x:v>
      </x:c>
      <x:c r="D208" s="16" t="str">
        <x:v>Металлопрокат черный</x:v>
      </x:c>
      <x:c r="E208" s="16" t="str">
        <x:v>Т</x:v>
      </x:c>
      <x:c r="F208" s="30" t="n">
        <x:v>6.69</x:v>
      </x:c>
      <x:c r="G208" s="17" t="n">
        <x:v>157767.99659999998</x:v>
      </x:c>
      <x:c r="H208" s="17" t="n">
        <x:f>G208*F208</x:f>
        <x:v>1055467.897254</x:v>
      </x:c>
      <x:c r="I208" s="22" t="str">
        <x:f>HYPERLINK("https://etp-aktiv.ru/catalog/materialy/metalloprodukciya/2000864973-U117/","Открыть позицию")</x:f>
        <x:v>Открыть позицию</x:v>
      </x:c>
    </x:row>
    <x:row r="209" ht="28" customHeight="1">
      <x:c r="A209" s="16" t="str">
        <x:v>Приморская ГРЭС</x:v>
      </x:c>
      <x:c r="B209" s="16" t="str">
        <x:v>2000945192-U117</x:v>
      </x:c>
      <x:c r="C209" s="16" t="str">
        <x:v>КРУГ СТ35 D31,5ММ ГОСТ2590-2006</x:v>
      </x:c>
      <x:c r="D209" s="16" t="str">
        <x:v>Металлопрокат черный</x:v>
      </x:c>
      <x:c r="E209" s="16" t="str">
        <x:v>Т</x:v>
      </x:c>
      <x:c r="F209" s="30" t="n">
        <x:v>1.644</x:v>
      </x:c>
      <x:c r="G209" s="17" t="n">
        <x:v>9760</x:v>
      </x:c>
      <x:c r="H209" s="17" t="n">
        <x:f>G209*F209</x:f>
        <x:v>16045.439999999999</x:v>
      </x:c>
      <x:c r="I209" s="22" t="str">
        <x:f>HYPERLINK("https://etp-aktiv.ru/catalog/materialy/metalloprodukciya/2000945192-U117/","Открыть позицию")</x:f>
        <x:v>Открыть позицию</x:v>
      </x:c>
    </x:row>
    <x:row r="210" ht="28" customHeight="1">
      <x:c r="A210" s="16" t="str">
        <x:v>Приморская ГРЭС</x:v>
      </x:c>
      <x:c r="B210" s="16" t="str">
        <x:v>2000500730-U117</x:v>
      </x:c>
      <x:c r="C210" s="16" t="str">
        <x:v>КРУГ СТ35 D50ММ ГОСТ2590-2006</x:v>
      </x:c>
      <x:c r="D210" s="16" t="str">
        <x:v>Металлопрокат черный</x:v>
      </x:c>
      <x:c r="E210" s="16" t="str">
        <x:v>Т</x:v>
      </x:c>
      <x:c r="F210" s="26" t="n">
        <x:v>0.89</x:v>
      </x:c>
      <x:c r="G210" s="17" t="n">
        <x:v>57236.483</x:v>
      </x:c>
      <x:c r="H210" s="17" t="n">
        <x:f>G210*F210</x:f>
        <x:v>50940.46987</x:v>
      </x:c>
      <x:c r="I210" s="22" t="str">
        <x:f>HYPERLINK("https://etp-aktiv.ru/catalog/materialy/metalloprodukciya/2000500730-U117/","Открыть позицию")</x:f>
        <x:v>Открыть позицию</x:v>
      </x:c>
    </x:row>
    <x:row r="211" ht="28" customHeight="1">
      <x:c r="A211" s="16" t="str">
        <x:v>Приморская ГРЭС</x:v>
      </x:c>
      <x:c r="B211" s="16" t="str">
        <x:v>2000555814-U117</x:v>
      </x:c>
      <x:c r="C211" s="16" t="str">
        <x:v>КРУГ СТ35 D50ММ ГОСТ2590-2006</x:v>
      </x:c>
      <x:c r="D211" s="16" t="str">
        <x:v>Металлопрокат черный</x:v>
      </x:c>
      <x:c r="E211" s="16" t="str">
        <x:v>Т</x:v>
      </x:c>
      <x:c r="F211" s="26" t="n">
        <x:v>0.169</x:v>
      </x:c>
      <x:c r="G211" s="17" t="n">
        <x:v>73987.5466</x:v>
      </x:c>
      <x:c r="H211" s="17" t="n">
        <x:f>G211*F211</x:f>
        <x:v>12503.895375400001</x:v>
      </x:c>
      <x:c r="I211" s="22" t="str">
        <x:f>HYPERLINK("https://etp-aktiv.ru/catalog/materialy/metalloprodukciya/2000555814-U117/","Открыть позицию")</x:f>
        <x:v>Открыть позицию</x:v>
      </x:c>
    </x:row>
    <x:row r="212" ht="28" customHeight="1">
      <x:c r="A212" s="16" t="str">
        <x:v>Приморская ГРЭС</x:v>
      </x:c>
      <x:c r="B212" s="16" t="str">
        <x:v>2000258941-U117</x:v>
      </x:c>
      <x:c r="C212" s="16" t="str">
        <x:v>КРУГ СТ35 D80ММ ГОСТ2590-88</x:v>
      </x:c>
      <x:c r="D212" s="16" t="str">
        <x:v>Металлопрокат черный</x:v>
      </x:c>
      <x:c r="E212" s="16" t="str">
        <x:v>Т</x:v>
      </x:c>
      <x:c r="F212" s="26" t="n">
        <x:v>0.286</x:v>
      </x:c>
      <x:c r="G212" s="17" t="n">
        <x:v>51106.141599999995</x:v>
      </x:c>
      <x:c r="H212" s="17" t="n">
        <x:f>G212*F212</x:f>
        <x:v>14616.356497599998</x:v>
      </x:c>
      <x:c r="I212" s="22" t="str">
        <x:f>HYPERLINK("https://etp-aktiv.ru/catalog/materialy/metalloprodukciya/2000258941-U117/","Открыть позицию")</x:f>
        <x:v>Открыть позицию</x:v>
      </x:c>
    </x:row>
    <x:row r="213" ht="28" customHeight="1">
      <x:c r="A213" s="16" t="str">
        <x:v>Приморская ГРЭС</x:v>
      </x:c>
      <x:c r="B213" s="16" t="str">
        <x:v>2000724818-U117</x:v>
      </x:c>
      <x:c r="C213" s="16" t="str">
        <x:v>КРУГ СТ3СП D26ММ ГОСТ2590-88</x:v>
      </x:c>
      <x:c r="D213" s="16" t="str">
        <x:v>Металлопрокат черный</x:v>
      </x:c>
      <x:c r="E213" s="16" t="str">
        <x:v>Т</x:v>
      </x:c>
      <x:c r="F213" s="26" t="n">
        <x:v>0.009</x:v>
      </x:c>
      <x:c r="G213" s="17" t="n">
        <x:v>83643.2</x:v>
      </x:c>
      <x:c r="H213" s="17" t="n">
        <x:f>G213*F213</x:f>
        <x:v>752.7887999999999</x:v>
      </x:c>
      <x:c r="I213" s="22" t="str">
        <x:f>HYPERLINK("https://etp-aktiv.ru/catalog/materialy/metalloprodukciya/2000724818-U117/","Открыть позицию")</x:f>
        <x:v>Открыть позицию</x:v>
      </x:c>
    </x:row>
    <x:row r="214" ht="28" customHeight="1">
      <x:c r="A214" s="16" t="str">
        <x:v>Приморская ГРЭС</x:v>
      </x:c>
      <x:c r="B214" s="16" t="str">
        <x:v>2000164791-U117</x:v>
      </x:c>
      <x:c r="C214" s="16" t="str">
        <x:v>КРУГ СТ3СП2 D50ММ ГОСТ2590-88</x:v>
      </x:c>
      <x:c r="D214" s="16" t="str">
        <x:v>Металлопрокат черный</x:v>
      </x:c>
      <x:c r="E214" s="16" t="str">
        <x:v>Т</x:v>
      </x:c>
      <x:c r="F214" s="26" t="n">
        <x:v>0.293</x:v>
      </x:c>
      <x:c r="G214" s="17" t="n">
        <x:v>97650.83739999999</x:v>
      </x:c>
      <x:c r="H214" s="17" t="n">
        <x:f>G214*F214</x:f>
        <x:v>28611.695358199995</x:v>
      </x:c>
      <x:c r="I214" s="22" t="str">
        <x:f>HYPERLINK("https://etp-aktiv.ru/catalog/materialy/metalloprodukciya/2000164791-U117/","Открыть позицию")</x:f>
        <x:v>Открыть позицию</x:v>
      </x:c>
    </x:row>
    <x:row r="215" ht="28" customHeight="1">
      <x:c r="A215" s="16" t="str">
        <x:v>Приморская ГРЭС</x:v>
      </x:c>
      <x:c r="B215" s="16" t="str">
        <x:v>2000147423-U117</x:v>
      </x:c>
      <x:c r="C215" s="16" t="str">
        <x:v>КРУГ СТ3СП5 D10ММ ГОСТ2590-2006</x:v>
      </x:c>
      <x:c r="D215" s="16" t="str">
        <x:v>Металлопрокат черный</x:v>
      </x:c>
      <x:c r="E215" s="16" t="str">
        <x:v>Т</x:v>
      </x:c>
      <x:c r="F215" s="26" t="n">
        <x:v>0.001</x:v>
      </x:c>
      <x:c r="G215" s="17" t="n">
        <x:v>72907.2</x:v>
      </x:c>
      <x:c r="H215" s="17" t="n">
        <x:f>G215*F215</x:f>
        <x:v>72.9072</x:v>
      </x:c>
      <x:c r="I215" s="22" t="str">
        <x:f>HYPERLINK("https://etp-aktiv.ru/catalog/materialy/metalloprodukciya/2000147423-U117/","Открыть позицию")</x:f>
        <x:v>Открыть позицию</x:v>
      </x:c>
    </x:row>
    <x:row r="216" ht="28" customHeight="1">
      <x:c r="A216" s="16" t="str">
        <x:v>Приморская ГРЭС</x:v>
      </x:c>
      <x:c r="B216" s="16" t="str">
        <x:v>2000015022-U117</x:v>
      </x:c>
      <x:c r="C216" s="16" t="str">
        <x:v>КРУГ СТ40Х D180ММ ГОСТ4543-71</x:v>
      </x:c>
      <x:c r="D216" s="16" t="str">
        <x:v>Металлопрокат черный</x:v>
      </x:c>
      <x:c r="E216" s="16" t="str">
        <x:v>Т</x:v>
      </x:c>
      <x:c r="F216" s="26" t="n">
        <x:v>0.78</x:v>
      </x:c>
      <x:c r="G216" s="17" t="n">
        <x:v>67100</x:v>
      </x:c>
      <x:c r="H216" s="17" t="n">
        <x:f>G216*F216</x:f>
        <x:v>52338</x:v>
      </x:c>
      <x:c r="I216" s="22" t="str">
        <x:f>HYPERLINK("https://etp-aktiv.ru/catalog/materialy/metalloprodukciya/2000015022-U117/","Открыть позицию")</x:f>
        <x:v>Открыть позицию</x:v>
      </x:c>
    </x:row>
    <x:row r="217" ht="28" customHeight="1">
      <x:c r="A217" s="16" t="str">
        <x:v>Приморская ГРЭС</x:v>
      </x:c>
      <x:c r="B217" s="16" t="str">
        <x:v>2000067746-U117</x:v>
      </x:c>
      <x:c r="C217" s="16" t="str">
        <x:v>КРУГ СТ40Х D32ММ ГОСТ4543-71</x:v>
      </x:c>
      <x:c r="D217" s="16" t="str">
        <x:v>Металлопрокат черный</x:v>
      </x:c>
      <x:c r="E217" s="16" t="str">
        <x:v>Т</x:v>
      </x:c>
      <x:c r="F217" s="30" t="n">
        <x:v>1.018</x:v>
      </x:c>
      <x:c r="G217" s="17" t="n">
        <x:v>67100</x:v>
      </x:c>
      <x:c r="H217" s="17" t="n">
        <x:f>G217*F217</x:f>
        <x:v>68307.8</x:v>
      </x:c>
      <x:c r="I217" s="22" t="str">
        <x:f>HYPERLINK("https://etp-aktiv.ru/catalog/materialy/metalloprodukciya/2000067746-U117/","Открыть позицию")</x:f>
        <x:v>Открыть позицию</x:v>
      </x:c>
    </x:row>
    <x:row r="218" ht="28" customHeight="1">
      <x:c r="A218" s="16" t="str">
        <x:v>Приморская ГРЭС</x:v>
      </x:c>
      <x:c r="B218" s="16" t="str">
        <x:v>2000015060-U117</x:v>
      </x:c>
      <x:c r="C218" s="16" t="str">
        <x:v>КРУГ СТ40Х D70ММ ГОСТ4543-71</x:v>
      </x:c>
      <x:c r="D218" s="16" t="str">
        <x:v>Металлопрокат черный</x:v>
      </x:c>
      <x:c r="E218" s="16" t="str">
        <x:v>Т</x:v>
      </x:c>
      <x:c r="F218" s="26" t="n">
        <x:v>0.663</x:v>
      </x:c>
      <x:c r="G218" s="17" t="n">
        <x:v>67100</x:v>
      </x:c>
      <x:c r="H218" s="17" t="n">
        <x:f>G218*F218</x:f>
        <x:v>44487.3</x:v>
      </x:c>
      <x:c r="I218" s="22" t="str">
        <x:f>HYPERLINK("https://etp-aktiv.ru/catalog/materialy/metalloprodukciya/2000015060-U117/","Открыть позицию")</x:f>
        <x:v>Открыть позицию</x:v>
      </x:c>
    </x:row>
    <x:row r="219" ht="28" customHeight="1">
      <x:c r="A219" s="16" t="str">
        <x:v>Приморская ГРЭС</x:v>
      </x:c>
      <x:c r="B219" s="16" t="str">
        <x:v>2000736705-U117</x:v>
      </x:c>
      <x:c r="C219" s="16" t="str">
        <x:v>КРУГ СТ45 20ММ ГОСТ1050-88</x:v>
      </x:c>
      <x:c r="D219" s="16" t="str">
        <x:v>Металлопрокат черный</x:v>
      </x:c>
      <x:c r="E219" s="16" t="str">
        <x:v>Т</x:v>
      </x:c>
      <x:c r="F219" s="26" t="n">
        <x:v>0.003</x:v>
      </x:c>
      <x:c r="G219" s="17" t="n">
        <x:v>74366.625</x:v>
      </x:c>
      <x:c r="H219" s="17" t="n">
        <x:f>G219*F219</x:f>
        <x:v>223.099875</x:v>
      </x:c>
      <x:c r="I219" s="22" t="str">
        <x:f>HYPERLINK("https://etp-aktiv.ru/catalog/materialy/metalloprodukciya/2000736705-U117/","Открыть позицию")</x:f>
        <x:v>Открыть позицию</x:v>
      </x:c>
    </x:row>
    <x:row r="220" ht="28" customHeight="1">
      <x:c r="A220" s="16" t="str">
        <x:v>Приморская ГРЭС</x:v>
      </x:c>
      <x:c r="B220" s="16" t="str">
        <x:v>2000141640-U117</x:v>
      </x:c>
      <x:c r="C220" s="16" t="str">
        <x:v>КРУГ СТ45 D100ММ ГОСТ1133-71</x:v>
      </x:c>
      <x:c r="D220" s="16" t="str">
        <x:v>Металлопрокат черный</x:v>
      </x:c>
      <x:c r="E220" s="16" t="str">
        <x:v>Т</x:v>
      </x:c>
      <x:c r="F220" s="26" t="n">
        <x:v>0.434</x:v>
      </x:c>
      <x:c r="G220" s="17" t="n">
        <x:v>78576.13739999999</x:v>
      </x:c>
      <x:c r="H220" s="17" t="n">
        <x:f>G220*F220</x:f>
        <x:v>34102.0436316</x:v>
      </x:c>
      <x:c r="I220" s="22" t="str">
        <x:f>HYPERLINK("https://etp-aktiv.ru/catalog/materialy/metalloprodukciya/2000141640-U117/","Открыть позицию")</x:f>
        <x:v>Открыть позицию</x:v>
      </x:c>
    </x:row>
    <x:row r="221" ht="28" customHeight="1">
      <x:c r="A221" s="16" t="str">
        <x:v>Приморская ГРЭС</x:v>
      </x:c>
      <x:c r="B221" s="16" t="str">
        <x:v>2000014953-U117</x:v>
      </x:c>
      <x:c r="C221" s="16" t="str">
        <x:v>КРУГ СТ45 D120ММ ГОСТ1050-88</x:v>
      </x:c>
      <x:c r="D221" s="16" t="str">
        <x:v>Металлопрокат черный</x:v>
      </x:c>
      <x:c r="E221" s="16" t="str">
        <x:v>Т</x:v>
      </x:c>
      <x:c r="F221" s="30" t="n">
        <x:v>2.812</x:v>
      </x:c>
      <x:c r="G221" s="17" t="n">
        <x:v>108150.438</x:v>
      </x:c>
      <x:c r="H221" s="17" t="n">
        <x:f>G221*F221</x:f>
        <x:v>304119.03165599995</x:v>
      </x:c>
      <x:c r="I221" s="22" t="str">
        <x:f>HYPERLINK("https://etp-aktiv.ru/catalog/materialy/metalloprodukciya/2000014953-U117/","Открыть позицию")</x:f>
        <x:v>Открыть позицию</x:v>
      </x:c>
    </x:row>
    <x:row r="222" ht="28" customHeight="1">
      <x:c r="A222" s="16" t="str">
        <x:v>Приморская ГРЭС</x:v>
      </x:c>
      <x:c r="B222" s="16" t="str">
        <x:v>2000014956-U117</x:v>
      </x:c>
      <x:c r="C222" s="16" t="str">
        <x:v>КРУГ СТ45 D160ММ ГОСТ1050-88</x:v>
      </x:c>
      <x:c r="D222" s="16" t="str">
        <x:v>Металлопрокат черный</x:v>
      </x:c>
      <x:c r="E222" s="16" t="str">
        <x:v>Т</x:v>
      </x:c>
      <x:c r="F222" s="26" t="n">
        <x:v>0.753</x:v>
      </x:c>
      <x:c r="G222" s="17" t="n">
        <x:v>107481.0606</x:v>
      </x:c>
      <x:c r="H222" s="17" t="n">
        <x:f>G222*F222</x:f>
        <x:v>80933.23863179999</x:v>
      </x:c>
      <x:c r="I222" s="22" t="str">
        <x:f>HYPERLINK("https://etp-aktiv.ru/catalog/materialy/metalloprodukciya/2000014956-U117/","Открыть позицию")</x:f>
        <x:v>Открыть позицию</x:v>
      </x:c>
    </x:row>
    <x:row r="223" ht="28" customHeight="1">
      <x:c r="A223" s="16" t="str">
        <x:v>Приморская ГРЭС</x:v>
      </x:c>
      <x:c r="B223" s="16" t="str">
        <x:v>2000014906-U117</x:v>
      </x:c>
      <x:c r="C223" s="16" t="str">
        <x:v>КРУГ СТ45 D36ММ ГОСТ1050-88</x:v>
      </x:c>
      <x:c r="D223" s="16" t="str">
        <x:v>Металлопрокат черный</x:v>
      </x:c>
      <x:c r="E223" s="16" t="str">
        <x:v>Т</x:v>
      </x:c>
      <x:c r="F223" s="26" t="n">
        <x:v>0.264</x:v>
      </x:c>
      <x:c r="G223" s="17" t="n">
        <x:v>78302.3694</x:v>
      </x:c>
      <x:c r="H223" s="17" t="n">
        <x:f>G223*F223</x:f>
        <x:v>20671.8255216</x:v>
      </x:c>
      <x:c r="I223" s="22" t="str">
        <x:f>HYPERLINK("https://etp-aktiv.ru/catalog/materialy/metalloprodukciya/2000014906-U117/","Открыть позицию")</x:f>
        <x:v>Открыть позицию</x:v>
      </x:c>
    </x:row>
    <x:row r="224" ht="28" customHeight="1">
      <x:c r="A224" s="16" t="str">
        <x:v>Приморская ГРЭС</x:v>
      </x:c>
      <x:c r="B224" s="16" t="str">
        <x:v>2000014909-U117</x:v>
      </x:c>
      <x:c r="C224" s="16" t="str">
        <x:v>КРУГ СТ45 D50ММ ГОСТ1050-88</x:v>
      </x:c>
      <x:c r="D224" s="16" t="str">
        <x:v>Металлопрокат черный</x:v>
      </x:c>
      <x:c r="E224" s="16" t="str">
        <x:v>Т</x:v>
      </x:c>
      <x:c r="F224" s="26" t="n">
        <x:v>0.535</x:v>
      </x:c>
      <x:c r="G224" s="17" t="n">
        <x:v>80597.82379999998</x:v>
      </x:c>
      <x:c r="H224" s="17" t="n">
        <x:f>G224*F224</x:f>
        <x:v>43119.83573299999</x:v>
      </x:c>
      <x:c r="I224" s="22" t="str">
        <x:f>HYPERLINK("https://etp-aktiv.ru/catalog/materialy/metalloprodukciya/2000014909-U117/","Открыть позицию")</x:f>
        <x:v>Открыть позицию</x:v>
      </x:c>
    </x:row>
    <x:row r="225" ht="28" customHeight="1">
      <x:c r="A225" s="16" t="str">
        <x:v>Приморская ГРЭС</x:v>
      </x:c>
      <x:c r="B225" s="16" t="str">
        <x:v>2000148354-U117</x:v>
      </x:c>
      <x:c r="C225" s="16" t="str">
        <x:v>КРУГ СТ45 D60ММ ГОСТ2590-2006</x:v>
      </x:c>
      <x:c r="D225" s="16" t="str">
        <x:v>Металлопрокат черный</x:v>
      </x:c>
      <x:c r="E225" s="16" t="str">
        <x:v>Т</x:v>
      </x:c>
      <x:c r="F225" s="26" t="n">
        <x:v>0.144</x:v>
      </x:c>
      <x:c r="G225" s="17" t="n">
        <x:v>77054.651</x:v>
      </x:c>
      <x:c r="H225" s="17" t="n">
        <x:f>G225*F225</x:f>
        <x:v>11095.869744</x:v>
      </x:c>
      <x:c r="I225" s="22" t="str">
        <x:f>HYPERLINK("https://etp-aktiv.ru/catalog/materialy/metalloprodukciya/2000148354-U117/","Открыть позицию")</x:f>
        <x:v>Открыть позицию</x:v>
      </x:c>
    </x:row>
    <x:row r="226" ht="28" customHeight="1">
      <x:c r="A226" s="16" t="str">
        <x:v>Приморская ГРЭС</x:v>
      </x:c>
      <x:c r="B226" s="16" t="str">
        <x:v>2000135932-U117</x:v>
      </x:c>
      <x:c r="C226" s="16" t="str">
        <x:v>КРУГ СТ45 D65ММ ГОСТ1050-88</x:v>
      </x:c>
      <x:c r="D226" s="16" t="str">
        <x:v>Металлопрокат черный</x:v>
      </x:c>
      <x:c r="E226" s="16" t="str">
        <x:v>Т</x:v>
      </x:c>
      <x:c r="F226" s="26" t="n">
        <x:v>0.387</x:v>
      </x:c>
      <x:c r="G226" s="17" t="n">
        <x:v>61887.6354</x:v>
      </x:c>
      <x:c r="H226" s="17" t="n">
        <x:f>G226*F226</x:f>
        <x:v>23950.5148998</x:v>
      </x:c>
      <x:c r="I226" s="22" t="str">
        <x:f>HYPERLINK("https://etp-aktiv.ru/catalog/materialy/metalloprodukciya/2000135932-U117/","Открыть позицию")</x:f>
        <x:v>Открыть позицию</x:v>
      </x:c>
    </x:row>
    <x:row r="227" ht="28" customHeight="1">
      <x:c r="A227" s="16" t="str">
        <x:v>Приморская ГРЭС</x:v>
      </x:c>
      <x:c r="B227" s="16" t="str">
        <x:v>2000014912-U117</x:v>
      </x:c>
      <x:c r="C227" s="16" t="str">
        <x:v>КРУГ СТ45 D80ММ ГОСТ1050-88</x:v>
      </x:c>
      <x:c r="D227" s="16" t="str">
        <x:v>Металлопрокат черный</x:v>
      </x:c>
      <x:c r="E227" s="16" t="str">
        <x:v>Т</x:v>
      </x:c>
      <x:c r="F227" s="26" t="n">
        <x:v>0.335</x:v>
      </x:c>
      <x:c r="G227" s="17" t="n">
        <x:v>104912.375</x:v>
      </x:c>
      <x:c r="H227" s="17" t="n">
        <x:f>G227*F227</x:f>
        <x:v>35145.645625000005</x:v>
      </x:c>
      <x:c r="I227" s="22" t="str">
        <x:f>HYPERLINK("https://etp-aktiv.ru/catalog/materialy/metalloprodukciya/2000014912-U117/","Открыть позицию")</x:f>
        <x:v>Открыть позицию</x:v>
      </x:c>
    </x:row>
    <x:row r="228" ht="28" customHeight="1">
      <x:c r="A228" s="16" t="str">
        <x:v>Приморская ГРЭС</x:v>
      </x:c>
      <x:c r="B228" s="16" t="str">
        <x:v>2000724229-U117</x:v>
      </x:c>
      <x:c r="C228" s="16" t="str">
        <x:v>КРУГ СТ45 D80ММ ГОСТ2590-88</x:v>
      </x:c>
      <x:c r="D228" s="16" t="str">
        <x:v>Металлопрокат черный</x:v>
      </x:c>
      <x:c r="E228" s="16" t="str">
        <x:v>Т</x:v>
      </x:c>
      <x:c r="F228" s="26" t="n">
        <x:v>0.281</x:v>
      </x:c>
      <x:c r="G228" s="17" t="n">
        <x:v>97628.30399999999</x:v>
      </x:c>
      <x:c r="H228" s="17" t="n">
        <x:f>G228*F228</x:f>
        <x:v>27433.553423999998</x:v>
      </x:c>
      <x:c r="I228" s="22" t="str">
        <x:f>HYPERLINK("https://etp-aktiv.ru/catalog/materialy/metalloprodukciya/2000724229-U117/","Открыть позицию")</x:f>
        <x:v>Открыть позицию</x:v>
      </x:c>
    </x:row>
    <x:row r="229" ht="28" customHeight="1">
      <x:c r="A229" s="16" t="str">
        <x:v>Приморская ГРЭС</x:v>
      </x:c>
      <x:c r="B229" s="16" t="str">
        <x:v>2000067723-U117</x:v>
      </x:c>
      <x:c r="C229" s="16" t="str">
        <x:v>КРУГ СТ45 D85ММ ГОСТ1050-88</x:v>
      </x:c>
      <x:c r="D229" s="16" t="str">
        <x:v>Металлопрокат черный</x:v>
      </x:c>
      <x:c r="E229" s="16" t="str">
        <x:v>Т</x:v>
      </x:c>
      <x:c r="F229" s="26" t="n">
        <x:v>0.293</x:v>
      </x:c>
      <x:c r="G229" s="17" t="n">
        <x:v>61576.523199999996</x:v>
      </x:c>
      <x:c r="H229" s="17" t="n">
        <x:f>G229*F229</x:f>
        <x:v>18041.921297599998</x:v>
      </x:c>
      <x:c r="I229" s="22" t="str">
        <x:f>HYPERLINK("https://etp-aktiv.ru/catalog/materialy/metalloprodukciya/2000067723-U117/","Открыть позицию")</x:f>
        <x:v>Открыть позицию</x:v>
      </x:c>
    </x:row>
    <x:row r="230" ht="28" customHeight="1">
      <x:c r="A230" s="16" t="str">
        <x:v>Приморская ГРЭС</x:v>
      </x:c>
      <x:c r="B230" s="16" t="str">
        <x:v>2000014913-U117</x:v>
      </x:c>
      <x:c r="C230" s="16" t="str">
        <x:v>КРУГ СТ45 D90ММ ГОСТ1050-88</x:v>
      </x:c>
      <x:c r="D230" s="16" t="str">
        <x:v>Металлопрокат черный</x:v>
      </x:c>
      <x:c r="E230" s="16" t="str">
        <x:v>Т</x:v>
      </x:c>
      <x:c r="F230" s="26" t="n">
        <x:v>0.964</x:v>
      </x:c>
      <x:c r="G230" s="17" t="n">
        <x:v>66936.36140000001</x:v>
      </x:c>
      <x:c r="H230" s="17" t="n">
        <x:f>G230*F230</x:f>
        <x:v>64526.65238960001</x:v>
      </x:c>
      <x:c r="I230" s="22" t="str">
        <x:f>HYPERLINK("https://etp-aktiv.ru/catalog/materialy/metalloprodukciya/2000014913-U117/","Открыть позицию")</x:f>
        <x:v>Открыть позицию</x:v>
      </x:c>
    </x:row>
    <x:row r="231" ht="28" customHeight="1">
      <x:c r="A231" s="16" t="str">
        <x:v>Приморская ГРЭС</x:v>
      </x:c>
      <x:c r="B231" s="16" t="str">
        <x:v>2000174430-U117</x:v>
      </x:c>
      <x:c r="C231" s="16" t="str">
        <x:v>КРУГ СТ45Х D50ММ ГОСТ2590-2006</x:v>
      </x:c>
      <x:c r="D231" s="16" t="str">
        <x:v>Металлопрокат черный</x:v>
      </x:c>
      <x:c r="E231" s="16" t="str">
        <x:v>Т</x:v>
      </x:c>
      <x:c r="F231" s="26" t="n">
        <x:v>0.253</x:v>
      </x:c>
      <x:c r="G231" s="17" t="n">
        <x:v>68625</x:v>
      </x:c>
      <x:c r="H231" s="17" t="n">
        <x:f>G231*F231</x:f>
        <x:v>17362.125</x:v>
      </x:c>
      <x:c r="I231" s="22" t="str">
        <x:f>HYPERLINK("https://etp-aktiv.ru/catalog/materialy/metalloprodukciya/2000174430-U117/","Открыть позицию")</x:f>
        <x:v>Открыть позицию</x:v>
      </x:c>
    </x:row>
    <x:row r="232" ht="28" customHeight="1">
      <x:c r="A232" s="16" t="str">
        <x:v>Приморская ГРЭС</x:v>
      </x:c>
      <x:c r="B232" s="16" t="str">
        <x:v>2000739580-U117</x:v>
      </x:c>
      <x:c r="C232" s="16" t="str">
        <x:v>КРУГ СЧ20 100ММ ГОСТ1412-85</x:v>
      </x:c>
      <x:c r="D232" s="16" t="str">
        <x:v>Металлопрокат черный</x:v>
      </x:c>
      <x:c r="E232" s="16" t="str">
        <x:v>Т</x:v>
      </x:c>
      <x:c r="F232" s="26" t="n">
        <x:v>0.277</x:v>
      </x:c>
      <x:c r="G232" s="17" t="n">
        <x:v>289448.0744</x:v>
      </x:c>
      <x:c r="H232" s="17" t="n">
        <x:f>G232*F232</x:f>
        <x:v>80177.1166088</x:v>
      </x:c>
      <x:c r="I232" s="22" t="str">
        <x:f>HYPERLINK("https://etp-aktiv.ru/catalog/materialy/metalloprodukciya/2000739580-U117/","Открыть позицию")</x:f>
        <x:v>Открыть позицию</x:v>
      </x:c>
    </x:row>
    <x:row r="233" ht="28" customHeight="1">
      <x:c r="A233" s="16" t="str">
        <x:v>Приморская ГРЭС</x:v>
      </x:c>
      <x:c r="B233" s="16" t="str">
        <x:v>2000777931-U117</x:v>
      </x:c>
      <x:c r="C233" s="16" t="str">
        <x:v>КРУГ СЧ20 300ММ ГОСТ1412-85</x:v>
      </x:c>
      <x:c r="D233" s="16" t="str">
        <x:v>Металлопрокат черный</x:v>
      </x:c>
      <x:c r="E233" s="16" t="str">
        <x:v>Т</x:v>
      </x:c>
      <x:c r="F233" s="26" t="n">
        <x:v>0.194</x:v>
      </x:c>
      <x:c r="G233" s="17" t="n">
        <x:v>299382.571</x:v>
      </x:c>
      <x:c r="H233" s="17" t="n">
        <x:f>G233*F233</x:f>
        <x:v>58080.218774</x:v>
      </x:c>
      <x:c r="I233" s="22" t="str">
        <x:f>HYPERLINK("https://etp-aktiv.ru/catalog/materialy/metalloprodukciya/2000777931-U117/","Открыть позицию")</x:f>
        <x:v>Открыть позицию</x:v>
      </x:c>
    </x:row>
    <x:row r="234" ht="28" customHeight="1">
      <x:c r="A234" s="16" t="str">
        <x:v>Приморская ГРЭС</x:v>
      </x:c>
      <x:c r="B234" s="16" t="str">
        <x:v>2000569986-U117</x:v>
      </x:c>
      <x:c r="C234" s="16" t="str">
        <x:v>ЛЕНТА 12Х18Н10Т 0,1*415 ГОСТ4986-79</x:v>
      </x:c>
      <x:c r="D234" s="16" t="str">
        <x:v>Металлопрокат из нержавеющей стали</x:v>
      </x:c>
      <x:c r="E234" s="16" t="str">
        <x:v>КГ</x:v>
      </x:c>
      <x:c r="F234" s="30" t="n">
        <x:v>9.25</x:v>
      </x:c>
      <x:c r="G234" s="17" t="n">
        <x:v>1717.0036</x:v>
      </x:c>
      <x:c r="H234" s="17" t="n">
        <x:f>G234*F234</x:f>
        <x:v>15882.2833</x:v>
      </x:c>
      <x:c r="I234" s="22" t="str">
        <x:f>HYPERLINK("https://etp-aktiv.ru/catalog/materialy/metalloprodukciya/2000569986-U117/","Открыть позицию")</x:f>
        <x:v>Открыть позицию</x:v>
      </x:c>
    </x:row>
    <x:row r="235" ht="28" customHeight="1">
      <x:c r="A235" s="16" t="str">
        <x:v>Приморская ГРЭС</x:v>
      </x:c>
      <x:c r="B235" s="16" t="str">
        <x:v>2000555514-U117</x:v>
      </x:c>
      <x:c r="C235" s="16" t="str">
        <x:v>ЛЕНТА 12Х18Н10Т 0,2*280 ГОСТ4986-79</x:v>
      </x:c>
      <x:c r="D235" s="16" t="str">
        <x:v>Металлопрокат из нержавеющей стали</x:v>
      </x:c>
      <x:c r="E235" s="16" t="str">
        <x:v>КГ</x:v>
      </x:c>
      <x:c r="F235" s="30" t="n">
        <x:v>35.7</x:v>
      </x:c>
      <x:c r="G235" s="17" t="n">
        <x:v>3655.8886</x:v>
      </x:c>
      <x:c r="H235" s="17" t="n">
        <x:f>G235*F235</x:f>
        <x:v>130515.22302000002</x:v>
      </x:c>
      <x:c r="I235" s="22" t="str">
        <x:f>HYPERLINK("https://etp-aktiv.ru/catalog/materialy/metalloprodukciya/2000555514-U117/","Открыть позицию")</x:f>
        <x:v>Открыть позицию</x:v>
      </x:c>
    </x:row>
    <x:row r="236" ht="28" customHeight="1">
      <x:c r="A236" s="16" t="str">
        <x:v>Приморская ГРЭС</x:v>
      </x:c>
      <x:c r="B236" s="16" t="str">
        <x:v>2000736449-U117</x:v>
      </x:c>
      <x:c r="C236" s="16" t="str">
        <x:v>ЛЕНТА 12Х18Н10Т 0,20*395ММ ГОСТ4986-79</x:v>
      </x:c>
      <x:c r="D236" s="16" t="str">
        <x:v>Металлопрокат из нержавеющей стали</x:v>
      </x:c>
      <x:c r="E236" s="16" t="str">
        <x:v>Т</x:v>
      </x:c>
      <x:c r="F236" s="26" t="n">
        <x:v>0.08</x:v>
      </x:c>
      <x:c r="G236" s="17" t="n">
        <x:v>1602393.75</x:v>
      </x:c>
      <x:c r="H236" s="17" t="n">
        <x:f>G236*F236</x:f>
        <x:v>128191.5</x:v>
      </x:c>
      <x:c r="I236" s="22" t="str">
        <x:f>HYPERLINK("https://etp-aktiv.ru/catalog/materialy/metalloprodukciya/2000736449-U117/","Открыть позицию")</x:f>
        <x:v>Открыть позицию</x:v>
      </x:c>
    </x:row>
    <x:row r="237" ht="28" customHeight="1">
      <x:c r="A237" s="16" t="str">
        <x:v>Приморская ГРЭС</x:v>
      </x:c>
      <x:c r="B237" s="16" t="str">
        <x:v>2000625071-U117</x:v>
      </x:c>
      <x:c r="C237" s="16" t="str">
        <x:v>ЛЕНТА 12Х18Н10Т 0,3*280ММ ГОСТ4986-79</x:v>
      </x:c>
      <x:c r="D237" s="16" t="str">
        <x:v>Металлопрокат из нержавеющей стали</x:v>
      </x:c>
      <x:c r="E237" s="16" t="str">
        <x:v>КГ</x:v>
      </x:c>
      <x:c r="F237" s="30" t="n">
        <x:v>1.9</x:v>
      </x:c>
      <x:c r="G237" s="17" t="n">
        <x:v>3422.1</x:v>
      </x:c>
      <x:c r="H237" s="17" t="n">
        <x:f>G237*F237</x:f>
        <x:v>6501.99</x:v>
      </x:c>
      <x:c r="I237" s="22" t="str">
        <x:f>HYPERLINK("https://etp-aktiv.ru/catalog/materialy/metalloprodukciya/2000625071-U117/","Открыть позицию")</x:f>
        <x:v>Открыть позицию</x:v>
      </x:c>
    </x:row>
    <x:row r="238" ht="28" customHeight="1">
      <x:c r="A238" s="16" t="str">
        <x:v>Приморская ГРЭС</x:v>
      </x:c>
      <x:c r="B238" s="16" t="str">
        <x:v>2000555520-U117</x:v>
      </x:c>
      <x:c r="C238" s="16" t="str">
        <x:v>ЛЕНТА 12Х18Н10Т 0,3*417 ГОСТ4986-79</x:v>
      </x:c>
      <x:c r="D238" s="16" t="str">
        <x:v>Металлопрокат из нержавеющей стали</x:v>
      </x:c>
      <x:c r="E238" s="16" t="str">
        <x:v>КГ</x:v>
      </x:c>
      <x:c r="F238" s="30" t="n">
        <x:v>9.3</x:v>
      </x:c>
      <x:c r="G238" s="17" t="n">
        <x:v>2711.4012</x:v>
      </x:c>
      <x:c r="H238" s="17" t="n">
        <x:f>G238*F238</x:f>
        <x:v>25216.03116</x:v>
      </x:c>
      <x:c r="I238" s="22" t="str">
        <x:f>HYPERLINK("https://etp-aktiv.ru/catalog/materialy/metalloprodukciya/2000555520-U117/","Открыть позицию")</x:f>
        <x:v>Открыть позицию</x:v>
      </x:c>
    </x:row>
    <x:row r="239" ht="28" customHeight="1">
      <x:c r="A239" s="16" t="str">
        <x:v>Приморская ГРЭС</x:v>
      </x:c>
      <x:c r="B239" s="16" t="str">
        <x:v>2000555523-U117</x:v>
      </x:c>
      <x:c r="C239" s="16" t="str">
        <x:v>ЛЕНТА 12Х18Н10Т 0,4*400 ГОСТ4986-79</x:v>
      </x:c>
      <x:c r="D239" s="16" t="str">
        <x:v>Металлопрокат из нержавеющей стали</x:v>
      </x:c>
      <x:c r="E239" s="16" t="str">
        <x:v>КГ</x:v>
      </x:c>
      <x:c r="F239" s="30" t="n">
        <x:v>3.393</x:v>
      </x:c>
      <x:c r="G239" s="17" t="n">
        <x:v>3250.7998000000002</x:v>
      </x:c>
      <x:c r="H239" s="17" t="n">
        <x:f>G239*F239</x:f>
        <x:v>11029.9637214</x:v>
      </x:c>
      <x:c r="I239" s="22" t="str">
        <x:f>HYPERLINK("https://etp-aktiv.ru/catalog/materialy/metalloprodukciya/2000555523-U117/","Открыть позицию")</x:f>
        <x:v>Открыть позицию</x:v>
      </x:c>
    </x:row>
    <x:row r="240" ht="28" customHeight="1">
      <x:c r="A240" s="16" t="str">
        <x:v>Приморская ГРЭС</x:v>
      </x:c>
      <x:c r="B240" s="16" t="str">
        <x:v>2000555524-U117</x:v>
      </x:c>
      <x:c r="C240" s="16" t="str">
        <x:v>ЛЕНТА 12Х18Н10Т 0,4*410 ГОСТ4986-79</x:v>
      </x:c>
      <x:c r="D240" s="16" t="str">
        <x:v>Металлопрокат из нержавеющей стали</x:v>
      </x:c>
      <x:c r="E240" s="16" t="str">
        <x:v>КГ</x:v>
      </x:c>
      <x:c r="F240" s="30" t="n">
        <x:v>1.7</x:v>
      </x:c>
      <x:c r="G240" s="17" t="n">
        <x:v>1623.7834</x:v>
      </x:c>
      <x:c r="H240" s="17" t="n">
        <x:f>G240*F240</x:f>
        <x:v>2760.43178</x:v>
      </x:c>
      <x:c r="I240" s="22" t="str">
        <x:f>HYPERLINK("https://etp-aktiv.ru/catalog/materialy/metalloprodukciya/2000555524-U117/","Открыть позицию")</x:f>
        <x:v>Открыть позицию</x:v>
      </x:c>
    </x:row>
    <x:row r="241" ht="28" customHeight="1">
      <x:c r="A241" s="16" t="str">
        <x:v>Приморская ГРЭС</x:v>
      </x:c>
      <x:c r="B241" s="16" t="str">
        <x:v>2000575101-U117</x:v>
      </x:c>
      <x:c r="C241" s="16" t="str">
        <x:v>ЛЕНТА 12Х18Н9 0,7*20 ГОСТ4986-79</x:v>
      </x:c>
      <x:c r="D241" s="16" t="str">
        <x:v>Металлопрокат из нержавеющей стали</x:v>
      </x:c>
      <x:c r="E241" s="16" t="str">
        <x:v>КГ</x:v>
      </x:c>
      <x:c r="F241" s="30" t="n">
        <x:v>28.9</x:v>
      </x:c>
      <x:c r="G241" s="17" t="n">
        <x:v>1166.686</x:v>
      </x:c>
      <x:c r="H241" s="17" t="n">
        <x:f>G241*F241</x:f>
        <x:v>33717.225399999996</x:v>
      </x:c>
      <x:c r="I241" s="22" t="str">
        <x:f>HYPERLINK("https://etp-aktiv.ru/catalog/materialy/metalloprodukciya/2000575101-U117/","Открыть позицию")</x:f>
        <x:v>Открыть позицию</x:v>
      </x:c>
    </x:row>
    <x:row r="242" ht="28" customHeight="1">
      <x:c r="A242" s="16" t="str">
        <x:v>Приморская ГРЭС</x:v>
      </x:c>
      <x:c r="B242" s="16" t="str">
        <x:v>2000451577-U117</x:v>
      </x:c>
      <x:c r="C242" s="16" t="str">
        <x:v>ЛИСТ 09Г2С 25*6000*2000 ГОСТ19903-74</x:v>
      </x:c>
      <x:c r="D242" s="16" t="str">
        <x:v>Металлопрокат черный</x:v>
      </x:c>
      <x:c r="E242" s="16" t="str">
        <x:v>Т</x:v>
      </x:c>
      <x:c r="F242" s="30" t="n">
        <x:v>3.443</x:v>
      </x:c>
      <x:c r="G242" s="17" t="n">
        <x:v>67100</x:v>
      </x:c>
      <x:c r="H242" s="17" t="n">
        <x:f>G242*F242</x:f>
        <x:v>231025.30000000002</x:v>
      </x:c>
      <x:c r="I242" s="22" t="str">
        <x:f>HYPERLINK("https://etp-aktiv.ru/catalog/materialy/metalloprodukciya/2000451577-U117/","Открыть позицию")</x:f>
        <x:v>Открыть позицию</x:v>
      </x:c>
    </x:row>
    <x:row r="243" ht="28" customHeight="1">
      <x:c r="A243" s="16" t="str">
        <x:v>Приморская ГРЭС</x:v>
      </x:c>
      <x:c r="B243" s="16" t="str">
        <x:v>2000148544-U117</x:v>
      </x:c>
      <x:c r="C243" s="16" t="str">
        <x:v>ЛИСТ 12Х18Н10Т 0,5ММ ГОСТ5582-75</x:v>
      </x:c>
      <x:c r="D243" s="16" t="str">
        <x:v>Металлопрокат из нержавеющей стали</x:v>
      </x:c>
      <x:c r="E243" s="16" t="str">
        <x:v>Т</x:v>
      </x:c>
      <x:c r="F243" s="26" t="n">
        <x:v>0.673</x:v>
      </x:c>
      <x:c r="G243" s="17" t="n">
        <x:v>478240.671</x:v>
      </x:c>
      <x:c r="H243" s="17" t="n">
        <x:f>G243*F243</x:f>
        <x:v>321855.971583</x:v>
      </x:c>
      <x:c r="I243" s="22" t="str">
        <x:f>HYPERLINK("https://etp-aktiv.ru/catalog/materialy/metalloprodukciya/2000148544-U117/","Открыть позицию")</x:f>
        <x:v>Открыть позицию</x:v>
      </x:c>
    </x:row>
    <x:row r="244" ht="28" customHeight="1">
      <x:c r="A244" s="16" t="str">
        <x:v>Приморская ГРЭС</x:v>
      </x:c>
      <x:c r="B244" s="16" t="str">
        <x:v>2000152975-U117</x:v>
      </x:c>
      <x:c r="C244" s="16" t="str">
        <x:v>ЛИСТ 12Х18Н10Т 12ММ ГОСТ7350-77</x:v>
      </x:c>
      <x:c r="D244" s="16" t="str">
        <x:v>Металлопрокат из нержавеющей стали</x:v>
      </x:c>
      <x:c r="E244" s="16" t="str">
        <x:v>Т</x:v>
      </x:c>
      <x:c r="F244" s="26" t="n">
        <x:v>0.108</x:v>
      </x:c>
      <x:c r="G244" s="17" t="n">
        <x:v>390400</x:v>
      </x:c>
      <x:c r="H244" s="17" t="n">
        <x:f>G244*F244</x:f>
        <x:v>42163.2</x:v>
      </x:c>
      <x:c r="I244" s="22" t="str">
        <x:f>HYPERLINK("https://etp-aktiv.ru/catalog/materialy/metalloprodukciya/2000152975-U117/","Открыть позицию")</x:f>
        <x:v>Открыть позицию</x:v>
      </x:c>
    </x:row>
    <x:row r="245" ht="28" customHeight="1">
      <x:c r="A245" s="16" t="str">
        <x:v>Приморская ГРЭС</x:v>
      </x:c>
      <x:c r="B245" s="16" t="str">
        <x:v>2000067715-U117</x:v>
      </x:c>
      <x:c r="C245" s="16" t="str">
        <x:v>ЛИСТ 12Х18Н10Т 16ММ ГОСТ7350-77</x:v>
      </x:c>
      <x:c r="D245" s="16" t="str">
        <x:v>Металлопрокат из нержавеющей стали</x:v>
      </x:c>
      <x:c r="E245" s="16" t="str">
        <x:v>Т</x:v>
      </x:c>
      <x:c r="F245" s="26" t="n">
        <x:v>0.05</x:v>
      </x:c>
      <x:c r="G245" s="17" t="n">
        <x:v>185050.51499999998</x:v>
      </x:c>
      <x:c r="H245" s="17" t="n">
        <x:f>G245*F245</x:f>
        <x:v>9252.525749999999</x:v>
      </x:c>
      <x:c r="I245" s="22" t="str">
        <x:f>HYPERLINK("https://etp-aktiv.ru/catalog/materialy/metalloprodukciya/2000067715-U117/","Открыть позицию")</x:f>
        <x:v>Открыть позицию</x:v>
      </x:c>
    </x:row>
    <x:row r="246" ht="28" customHeight="1">
      <x:c r="A246" s="16" t="str">
        <x:v>Приморская ГРЭС</x:v>
      </x:c>
      <x:c r="B246" s="16" t="str">
        <x:v>2000067716-U117</x:v>
      </x:c>
      <x:c r="C246" s="16" t="str">
        <x:v>ЛИСТ 12Х18Н10Т 1ММ ГОСТ5582-75</x:v>
      </x:c>
      <x:c r="D246" s="16" t="str">
        <x:v>Металлопрокат из нержавеющей стали</x:v>
      </x:c>
      <x:c r="E246" s="16" t="str">
        <x:v>Т</x:v>
      </x:c>
      <x:c r="F246" s="30" t="n">
        <x:v>5.73</x:v>
      </x:c>
      <x:c r="G246" s="17" t="n">
        <x:v>263543.1678</x:v>
      </x:c>
      <x:c r="H246" s="17" t="n">
        <x:f>G246*F246</x:f>
        <x:v>1510102.351494</x:v>
      </x:c>
      <x:c r="I246" s="22" t="str">
        <x:f>HYPERLINK("https://etp-aktiv.ru/catalog/materialy/metalloprodukciya/2000067716-U117/","Открыть позицию")</x:f>
        <x:v>Открыть позицию</x:v>
      </x:c>
    </x:row>
    <x:row r="247" ht="28" customHeight="1">
      <x:c r="A247" s="16" t="str">
        <x:v>Приморская ГРЭС</x:v>
      </x:c>
      <x:c r="B247" s="16" t="str">
        <x:v>2000210951-U117</x:v>
      </x:c>
      <x:c r="C247" s="16" t="str">
        <x:v>ЛИСТ 12Х18Н10Т 3ММ ГОСТ5582-75</x:v>
      </x:c>
      <x:c r="D247" s="16" t="str">
        <x:v>Металлопрокат из нержавеющей стали</x:v>
      </x:c>
      <x:c r="E247" s="16" t="str">
        <x:v>Т</x:v>
      </x:c>
      <x:c r="F247" s="26" t="n">
        <x:v>0.11</x:v>
      </x:c>
      <x:c r="G247" s="17" t="n">
        <x:v>472695.99059999996</x:v>
      </x:c>
      <x:c r="H247" s="17" t="n">
        <x:f>G247*F247</x:f>
        <x:v>51996.558966</x:v>
      </x:c>
      <x:c r="I247" s="22" t="str">
        <x:f>HYPERLINK("https://etp-aktiv.ru/catalog/materialy/metalloprodukciya/2000210951-U117/","Открыть позицию")</x:f>
        <x:v>Открыть позицию</x:v>
      </x:c>
    </x:row>
    <x:row r="248" ht="28" customHeight="1">
      <x:c r="A248" s="16" t="str">
        <x:v>Приморская ГРЭС</x:v>
      </x:c>
      <x:c r="B248" s="16" t="str">
        <x:v>2000255493-U117</x:v>
      </x:c>
      <x:c r="C248" s="16" t="str">
        <x:v>ЛИСТ 12Х1МФ 3ММ ГОСТ5520-79</x:v>
      </x:c>
      <x:c r="D248" s="16" t="str">
        <x:v>Металлопрокат из нержавеющей стали</x:v>
      </x:c>
      <x:c r="E248" s="16" t="str">
        <x:v>Т</x:v>
      </x:c>
      <x:c r="F248" s="26" t="n">
        <x:v>0.066</x:v>
      </x:c>
      <x:c r="G248" s="17" t="n">
        <x:v>313608.6616</x:v>
      </x:c>
      <x:c r="H248" s="17" t="n">
        <x:f>G248*F248</x:f>
        <x:v>20698.1716656</x:v>
      </x:c>
      <x:c r="I248" s="22" t="str">
        <x:f>HYPERLINK("https://etp-aktiv.ru/catalog/materialy/metalloprodukciya/2000255493-U117/","Открыть позицию")</x:f>
        <x:v>Открыть позицию</x:v>
      </x:c>
    </x:row>
    <x:row r="249" ht="28" customHeight="1">
      <x:c r="A249" s="16" t="str">
        <x:v>Приморская ГРЭС</x:v>
      </x:c>
      <x:c r="B249" s="16" t="str">
        <x:v>2000150908-U117</x:v>
      </x:c>
      <x:c r="C249" s="16" t="str">
        <x:v>ЛИСТ 12Х1МФ 6ММ ГОСТ5520-79</x:v>
      </x:c>
      <x:c r="D249" s="16" t="str">
        <x:v>Металлопрокат из нержавеющей стали</x:v>
      </x:c>
      <x:c r="E249" s="16" t="str">
        <x:v>Т</x:v>
      </x:c>
      <x:c r="F249" s="30" t="n">
        <x:v>2.994</x:v>
      </x:c>
      <x:c r="G249" s="17" t="n">
        <x:v>148172.2086</x:v>
      </x:c>
      <x:c r="H249" s="17" t="n">
        <x:f>G249*F249</x:f>
        <x:v>443627.59254840005</x:v>
      </x:c>
      <x:c r="I249" s="22" t="str">
        <x:f>HYPERLINK("https://etp-aktiv.ru/catalog/materialy/metalloprodukciya/2000150908-U117/","Открыть позицию")</x:f>
        <x:v>Открыть позицию</x:v>
      </x:c>
    </x:row>
    <x:row r="250" ht="28" customHeight="1">
      <x:c r="A250" s="16" t="str">
        <x:v>Приморская ГРЭС</x:v>
      </x:c>
      <x:c r="B250" s="16" t="str">
        <x:v>2000555639-U117</x:v>
      </x:c>
      <x:c r="C250" s="16" t="str">
        <x:v>ЛИСТ 20Х23Н13 10ММ ГОСТ7350-77</x:v>
      </x:c>
      <x:c r="D250" s="16" t="str">
        <x:v>Металлопрокат из нержавеющей стали</x:v>
      </x:c>
      <x:c r="E250" s="16" t="str">
        <x:v>Т</x:v>
      </x:c>
      <x:c r="F250" s="26" t="n">
        <x:v>0.92</x:v>
      </x:c>
      <x:c r="G250" s="17" t="n">
        <x:v>346784.9878</x:v>
      </x:c>
      <x:c r="H250" s="17" t="n">
        <x:f>G250*F250</x:f>
        <x:v>319042.188776</x:v>
      </x:c>
      <x:c r="I250" s="22" t="str">
        <x:f>HYPERLINK("https://etp-aktiv.ru/catalog/materialy/metalloprodukciya/2000555639-U117/","Открыть позицию")</x:f>
        <x:v>Открыть позицию</x:v>
      </x:c>
    </x:row>
    <x:row r="251" ht="28" customHeight="1">
      <x:c r="A251" s="16" t="str">
        <x:v>Приморская ГРЭС</x:v>
      </x:c>
      <x:c r="B251" s="16" t="str">
        <x:v>2000738337-U117</x:v>
      </x:c>
      <x:c r="C251" s="16" t="str">
        <x:v>ЛИСТ А5М 0,7*1200*3000 ГОСТ21631-76</x:v>
      </x:c>
      <x:c r="D251" s="16" t="str">
        <x:v>Металлопрокат цветной</x:v>
      </x:c>
      <x:c r="E251" s="16" t="str">
        <x:v>КГ</x:v>
      </x:c>
      <x:c r="F251" s="30" t="n">
        <x:v>718.75</x:v>
      </x:c>
      <x:c r="G251" s="17" t="n">
        <x:v>860.5026</x:v>
      </x:c>
      <x:c r="H251" s="17" t="n">
        <x:f>G251*F251</x:f>
        <x:v>618486.24375</x:v>
      </x:c>
      <x:c r="I251" s="22" t="str">
        <x:f>HYPERLINK("https://etp-aktiv.ru/catalog/materialy/metalloprodukciya/2000738337-U117/","Открыть позицию")</x:f>
        <x:v>Открыть позицию</x:v>
      </x:c>
    </x:row>
    <x:row r="252" ht="28" customHeight="1">
      <x:c r="A252" s="16" t="str">
        <x:v>Приморская ГРЭС</x:v>
      </x:c>
      <x:c r="B252" s="16" t="str">
        <x:v>2000556198-U117</x:v>
      </x:c>
      <x:c r="C252" s="16" t="str">
        <x:v>ЛИСТ АД1М 5*1200*3000 ГОСТ21631-76</x:v>
      </x:c>
      <x:c r="D252" s="16" t="str">
        <x:v>Металлопрокат цветной</x:v>
      </x:c>
      <x:c r="E252" s="16" t="str">
        <x:v>КГ</x:v>
      </x:c>
      <x:c r="F252" s="30" t="n">
        <x:v>23.83</x:v>
      </x:c>
      <x:c r="G252" s="17" t="n">
        <x:v>265.0084</x:v>
      </x:c>
      <x:c r="H252" s="17" t="n">
        <x:f>G252*F252</x:f>
        <x:v>6315.150172</x:v>
      </x:c>
      <x:c r="I252" s="22" t="str">
        <x:f>HYPERLINK("https://etp-aktiv.ru/catalog/materialy/metalloprodukciya/2000556198-U117/","Открыть позицию")</x:f>
        <x:v>Открыть позицию</x:v>
      </x:c>
    </x:row>
    <x:row r="253" ht="28" customHeight="1">
      <x:c r="A253" s="16" t="str">
        <x:v>Приморская ГРЭС</x:v>
      </x:c>
      <x:c r="B253" s="16" t="str">
        <x:v>2000301749-U117</x:v>
      </x:c>
      <x:c r="C253" s="16" t="str">
        <x:v>ЛИСТ Г/К 09Г2С 100ММ ГОСТ19903-74</x:v>
      </x:c>
      <x:c r="D253" s="16" t="str">
        <x:v>Металлопрокат черный</x:v>
      </x:c>
      <x:c r="E253" s="16" t="str">
        <x:v>Т</x:v>
      </x:c>
      <x:c r="F253" s="30" t="n">
        <x:v>2.237</x:v>
      </x:c>
      <x:c r="G253" s="17" t="n">
        <x:v>144153.9068</x:v>
      </x:c>
      <x:c r="H253" s="17" t="n">
        <x:f>G253*F253</x:f>
        <x:v>322472.2895116</x:v>
      </x:c>
      <x:c r="I253" s="22" t="str">
        <x:f>HYPERLINK("https://etp-aktiv.ru/catalog/materialy/metalloprodukciya/2000301749-U117/","Открыть позицию")</x:f>
        <x:v>Открыть позицию</x:v>
      </x:c>
    </x:row>
    <x:row r="254" ht="28" customHeight="1">
      <x:c r="A254" s="16" t="str">
        <x:v>Приморская ГРЭС</x:v>
      </x:c>
      <x:c r="B254" s="16" t="str">
        <x:v>2000134846-U117</x:v>
      </x:c>
      <x:c r="C254" s="16" t="str">
        <x:v>ЛИСТ Г/К 09Г2С 50ММ ГОСТ19903-74</x:v>
      </x:c>
      <x:c r="D254" s="16" t="str">
        <x:v>Металлопрокат прочий</x:v>
      </x:c>
      <x:c r="E254" s="16" t="str">
        <x:v>Т</x:v>
      </x:c>
      <x:c r="F254" s="30" t="n">
        <x:v>32.498</x:v>
      </x:c>
      <x:c r="G254" s="17" t="n">
        <x:v>67100</x:v>
      </x:c>
      <x:c r="H254" s="17" t="n">
        <x:f>G254*F254</x:f>
        <x:v>2180615.8</x:v>
      </x:c>
      <x:c r="I254" s="22" t="str">
        <x:f>HYPERLINK("https://etp-aktiv.ru/catalog/materialy/metalloprodukciya/2000134846-U117/","Открыть позицию")</x:f>
        <x:v>Открыть позицию</x:v>
      </x:c>
    </x:row>
    <x:row r="255" ht="28" customHeight="1">
      <x:c r="A255" s="16" t="str">
        <x:v>Приморская ГРЭС</x:v>
      </x:c>
      <x:c r="B255" s="16" t="str">
        <x:v>2000015946-U117</x:v>
      </x:c>
      <x:c r="C255" s="16" t="str">
        <x:v>ЛИСТ Г/К 09Г2С 60ММ ГОСТ19903-74</x:v>
      </x:c>
      <x:c r="D255" s="16" t="str">
        <x:v>Металлопрокат прочий</x:v>
      </x:c>
      <x:c r="E255" s="16" t="str">
        <x:v>Т</x:v>
      </x:c>
      <x:c r="F255" s="30" t="n">
        <x:v>18.852</x:v>
      </x:c>
      <x:c r="G255" s="17" t="n">
        <x:v>78469.8022</x:v>
      </x:c>
      <x:c r="H255" s="17" t="n">
        <x:f>G255*F255</x:f>
        <x:v>1479312.7110744002</x:v>
      </x:c>
      <x:c r="I255" s="22" t="str">
        <x:f>HYPERLINK("https://etp-aktiv.ru/catalog/materialy/metalloprodukciya/2000015946-U117/","Открыть позицию")</x:f>
        <x:v>Открыть позицию</x:v>
      </x:c>
    </x:row>
    <x:row r="256" ht="28" customHeight="1">
      <x:c r="A256" s="16" t="str">
        <x:v>Приморская ГРЭС</x:v>
      </x:c>
      <x:c r="B256" s="16" t="str">
        <x:v>2000145032-U117</x:v>
      </x:c>
      <x:c r="C256" s="16" t="str">
        <x:v>ЛИСТ Г/К СТ3 12*1500*6000 ГОСТ19903-74</x:v>
      </x:c>
      <x:c r="D256" s="16" t="str">
        <x:v>Металлопрокат черный</x:v>
      </x:c>
      <x:c r="E256" s="16" t="str">
        <x:v>Т</x:v>
      </x:c>
      <x:c r="F256" s="26" t="n">
        <x:v>0.374</x:v>
      </x:c>
      <x:c r="G256" s="17" t="n">
        <x:v>100672.936</x:v>
      </x:c>
      <x:c r="H256" s="17" t="n">
        <x:f>G256*F256</x:f>
        <x:v>37651.678064</x:v>
      </x:c>
      <x:c r="I256" s="22" t="str">
        <x:f>HYPERLINK("https://etp-aktiv.ru/catalog/materialy/metalloprodukciya/2000145032-U117/","Открыть позицию")</x:f>
        <x:v>Открыть позицию</x:v>
      </x:c>
    </x:row>
    <x:row r="257" ht="28" customHeight="1">
      <x:c r="A257" s="16" t="str">
        <x:v>Приморская ГРЭС</x:v>
      </x:c>
      <x:c r="B257" s="16" t="str">
        <x:v>2000015406-U117</x:v>
      </x:c>
      <x:c r="C257" s="16" t="str">
        <x:v>ЛИСТ Г/К СТ3 25ММ ГОСТ14637-89</x:v>
      </x:c>
      <x:c r="D257" s="16" t="str">
        <x:v>Металлопрокат черный</x:v>
      </x:c>
      <x:c r="E257" s="16" t="str">
        <x:v>Т</x:v>
      </x:c>
      <x:c r="F257" s="26" t="n">
        <x:v>0.036</x:v>
      </x:c>
      <x:c r="G257" s="17" t="n">
        <x:v>91500</x:v>
      </x:c>
      <x:c r="H257" s="17" t="n">
        <x:f>G257*F257</x:f>
        <x:v>3293.9999999999995</x:v>
      </x:c>
      <x:c r="I257" s="22" t="str">
        <x:f>HYPERLINK("https://etp-aktiv.ru/catalog/materialy/metalloprodukciya/2000015406-U117/","Открыть позицию")</x:f>
        <x:v>Открыть позицию</x:v>
      </x:c>
    </x:row>
    <x:row r="258" ht="28" customHeight="1">
      <x:c r="A258" s="16" t="str">
        <x:v>Приморская ГРЭС</x:v>
      </x:c>
      <x:c r="B258" s="16" t="str">
        <x:v>2000164869-U117</x:v>
      </x:c>
      <x:c r="C258" s="16" t="str">
        <x:v>ЛИСТ Г/К СТ3СП5 14ММ ГОСТ14637-89</x:v>
      </x:c>
      <x:c r="D258" s="16" t="str">
        <x:v>Металлопрокат прочий</x:v>
      </x:c>
      <x:c r="E258" s="16" t="str">
        <x:v>Т</x:v>
      </x:c>
      <x:c r="F258" s="30" t="n">
        <x:v>34.675</x:v>
      </x:c>
      <x:c r="G258" s="17" t="n">
        <x:v>56730</x:v>
      </x:c>
      <x:c r="H258" s="17" t="n">
        <x:f>G258*F258</x:f>
        <x:v>1967112.7499999998</x:v>
      </x:c>
      <x:c r="I258" s="22" t="str">
        <x:f>HYPERLINK("https://etp-aktiv.ru/catalog/materialy/metalloprodukciya/2000164869-U117/","Открыть позицию")</x:f>
        <x:v>Открыть позицию</x:v>
      </x:c>
    </x:row>
    <x:row r="259" ht="28" customHeight="1">
      <x:c r="A259" s="16" t="str">
        <x:v>Приморская ГРЭС</x:v>
      </x:c>
      <x:c r="B259" s="16" t="str">
        <x:v>2000164881-U117</x:v>
      </x:c>
      <x:c r="C259" s="16" t="str">
        <x:v>ЛИСТ Г/К СТ3СП5 16ММ ГОСТ14637-89</x:v>
      </x:c>
      <x:c r="D259" s="16" t="str">
        <x:v>Металлопрокат черный</x:v>
      </x:c>
      <x:c r="E259" s="16" t="str">
        <x:v>Т</x:v>
      </x:c>
      <x:c r="F259" s="26" t="n">
        <x:v>0.039</x:v>
      </x:c>
      <x:c r="G259" s="17" t="n">
        <x:v>44524.998</x:v>
      </x:c>
      <x:c r="H259" s="17" t="n">
        <x:f>G259*F259</x:f>
        <x:v>1736.4749219999999</x:v>
      </x:c>
      <x:c r="I259" s="22" t="str">
        <x:f>HYPERLINK("https://etp-aktiv.ru/catalog/materialy/metalloprodukciya/2000164881-U117/","Открыть позицию")</x:f>
        <x:v>Открыть позицию</x:v>
      </x:c>
    </x:row>
    <x:row r="260" ht="28" customHeight="1">
      <x:c r="A260" s="16" t="str">
        <x:v>Приморская ГРЭС</x:v>
      </x:c>
      <x:c r="B260" s="16" t="str">
        <x:v>2000556218-U117</x:v>
      </x:c>
      <x:c r="C260" s="16" t="str">
        <x:v>ЛИСТ ДПРНТ М1 10*600*1500 ГОСТ1173-06</x:v>
      </x:c>
      <x:c r="D260" s="16" t="str">
        <x:v>Металлопрокат цветной</x:v>
      </x:c>
      <x:c r="E260" s="16" t="str">
        <x:v>КГ</x:v>
      </x:c>
      <x:c r="F260" s="30" t="n">
        <x:v>153.3</x:v>
      </x:c>
      <x:c r="G260" s="17" t="n">
        <x:v>1525.3172</x:v>
      </x:c>
      <x:c r="H260" s="17" t="n">
        <x:f>G260*F260</x:f>
        <x:v>233831.12676</x:v>
      </x:c>
      <x:c r="I260" s="22" t="str">
        <x:f>HYPERLINK("https://etp-aktiv.ru/catalog/materialy/metalloprodukciya/2000556218-U117/","Открыть позицию")</x:f>
        <x:v>Открыть позицию</x:v>
      </x:c>
    </x:row>
    <x:row r="261" ht="28" customHeight="1">
      <x:c r="A261" s="16" t="str">
        <x:v>Приморская ГРЭС</x:v>
      </x:c>
      <x:c r="B261" s="16" t="str">
        <x:v>2000556208-U117</x:v>
      </x:c>
      <x:c r="C261" s="16" t="str">
        <x:v>ЛИСТ Л63 2*600*1500 ГОСТ2208-2007</x:v>
      </x:c>
      <x:c r="D261" s="16" t="str">
        <x:v>Металлопрокат цветной</x:v>
      </x:c>
      <x:c r="E261" s="16" t="str">
        <x:v>КГ</x:v>
      </x:c>
      <x:c r="F261" s="30" t="n">
        <x:v>7.44</x:v>
      </x:c>
      <x:c r="G261" s="17" t="n">
        <x:v>641.8786</x:v>
      </x:c>
      <x:c r="H261" s="17" t="n">
        <x:f>G261*F261</x:f>
        <x:v>4775.576784</x:v>
      </x:c>
      <x:c r="I261" s="22" t="str">
        <x:f>HYPERLINK("https://etp-aktiv.ru/catalog/materialy/metalloprodukciya/2000556208-U117/","Открыть позицию")</x:f>
        <x:v>Открыть позицию</x:v>
      </x:c>
    </x:row>
    <x:row r="262" ht="28" customHeight="1">
      <x:c r="A262" s="16" t="str">
        <x:v>Приморская ГРЭС</x:v>
      </x:c>
      <x:c r="B262" s="16" t="str">
        <x:v>2000556210-U117</x:v>
      </x:c>
      <x:c r="C262" s="16" t="str">
        <x:v>ЛИСТ Л63 3*600*1500 ГОСТ2208-2007</x:v>
      </x:c>
      <x:c r="D262" s="16" t="str">
        <x:v>Металлопрокат цветной</x:v>
      </x:c>
      <x:c r="E262" s="16" t="str">
        <x:v>КГ</x:v>
      </x:c>
      <x:c r="F262" s="21" t="n">
        <x:v>21</x:v>
      </x:c>
      <x:c r="G262" s="17" t="n">
        <x:v>597.8</x:v>
      </x:c>
      <x:c r="H262" s="17" t="n">
        <x:f>G262*F262</x:f>
        <x:v>12553.8</x:v>
      </x:c>
      <x:c r="I262" s="22" t="str">
        <x:f>HYPERLINK("https://etp-aktiv.ru/catalog/materialy/metalloprodukciya/2000556210-U117/","Открыть позицию")</x:f>
        <x:v>Открыть позицию</x:v>
      </x:c>
    </x:row>
    <x:row r="263" ht="28" customHeight="1">
      <x:c r="A263" s="16" t="str">
        <x:v>Приморская ГРЭС</x:v>
      </x:c>
      <x:c r="B263" s="16" t="str">
        <x:v>2000067877-U117</x:v>
      </x:c>
      <x:c r="C263" s="16" t="str">
        <x:v>ЛИСТ М1 3*600*1500 ГОСТ1173-06</x:v>
      </x:c>
      <x:c r="D263" s="16" t="str">
        <x:v>Металлопрокат цветной</x:v>
      </x:c>
      <x:c r="E263" s="16" t="str">
        <x:v>КГ</x:v>
      </x:c>
      <x:c r="F263" s="30" t="n">
        <x:v>6.69</x:v>
      </x:c>
      <x:c r="G263" s="17" t="n">
        <x:v>1599.8347999999999</x:v>
      </x:c>
      <x:c r="H263" s="17" t="n">
        <x:f>G263*F263</x:f>
        <x:v>10702.894812</x:v>
      </x:c>
      <x:c r="I263" s="22" t="str">
        <x:f>HYPERLINK("https://etp-aktiv.ru/catalog/materialy/metalloprodukciya/2000067877-U117/","Открыть позицию")</x:f>
        <x:v>Открыть позицию</x:v>
      </x:c>
    </x:row>
    <x:row r="264" ht="28" customHeight="1">
      <x:c r="A264" s="16" t="str">
        <x:v>Приморская ГРЭС</x:v>
      </x:c>
      <x:c r="B264" s="16" t="str">
        <x:v>2000570055-U117</x:v>
      </x:c>
      <x:c r="C264" s="16" t="str">
        <x:v>ЛИСТ ОН 0,55*1250*2500 RAL5005 ГОСТ14918</x:v>
      </x:c>
      <x:c r="D264" s="16" t="str">
        <x:v>Металлопрокат черный</x:v>
      </x:c>
      <x:c r="E264" s="16" t="str">
        <x:v>Т</x:v>
      </x:c>
      <x:c r="F264" s="26" t="n">
        <x:v>0.187</x:v>
      </x:c>
      <x:c r="G264" s="17" t="n">
        <x:v>103678.11319999999</x:v>
      </x:c>
      <x:c r="H264" s="17" t="n">
        <x:f>G264*F264</x:f>
        <x:v>19387.8071684</x:v>
      </x:c>
      <x:c r="I264" s="22" t="str">
        <x:f>HYPERLINK("https://etp-aktiv.ru/catalog/materialy/metalloprodukciya/2000570055-U117/","Открыть позицию")</x:f>
        <x:v>Открыть позицию</x:v>
      </x:c>
    </x:row>
    <x:row r="265" ht="28" customHeight="1">
      <x:c r="A265" s="16" t="str">
        <x:v>Приморская ГРЭС</x:v>
      </x:c>
      <x:c r="B265" s="16" t="str">
        <x:v>2000211852-U117</x:v>
      </x:c>
      <x:c r="C265" s="16" t="str">
        <x:v>ЛИСТ ОЦ 0,7*1250*2500 ГОСТ14918-80</x:v>
      </x:c>
      <x:c r="D265" s="16" t="str">
        <x:v>Металлопрокат черный</x:v>
      </x:c>
      <x:c r="E265" s="16" t="str">
        <x:v>КГ</x:v>
      </x:c>
      <x:c r="F265" s="30" t="n">
        <x:v>272.002</x:v>
      </x:c>
      <x:c r="G265" s="17" t="n">
        <x:v>99.72279999999999</x:v>
      </x:c>
      <x:c r="H265" s="17" t="n">
        <x:f>G265*F265</x:f>
        <x:v>27124.801045599997</x:v>
      </x:c>
      <x:c r="I265" s="22" t="str">
        <x:f>HYPERLINK("https://etp-aktiv.ru/catalog/materialy/metalloprodukciya/2000211852-U117/","Открыть позицию")</x:f>
        <x:v>Открыть позицию</x:v>
      </x:c>
    </x:row>
    <x:row r="266" ht="28" customHeight="1">
      <x:c r="A266" s="16" t="str">
        <x:v>Приморская ГРЭС</x:v>
      </x:c>
      <x:c r="B266" s="16" t="str">
        <x:v>2000235320-U117</x:v>
      </x:c>
      <x:c r="C266" s="16" t="str">
        <x:v>ЛИСТ ОЦ СТ08КП 1250*2500*0,8ГОСТ14918-80</x:v>
      </x:c>
      <x:c r="D266" s="16" t="str">
        <x:v>Металлопрокат черный</x:v>
      </x:c>
      <x:c r="E266" s="16" t="str">
        <x:v>Т</x:v>
      </x:c>
      <x:c r="F266" s="26" t="n">
        <x:v>0.277</x:v>
      </x:c>
      <x:c r="G266" s="17" t="n">
        <x:v>93796.65</x:v>
      </x:c>
      <x:c r="H266" s="17" t="n">
        <x:f>G266*F266</x:f>
        <x:v>25981.67205</x:v>
      </x:c>
      <x:c r="I266" s="22" t="str">
        <x:f>HYPERLINK("https://etp-aktiv.ru/catalog/materialy/metalloprodukciya/2000235320-U117/","Открыть позицию")</x:f>
        <x:v>Открыть позицию</x:v>
      </x:c>
    </x:row>
    <x:row r="267" ht="28" customHeight="1">
      <x:c r="A267" s="16" t="str">
        <x:v>Приморская ГРЭС</x:v>
      </x:c>
      <x:c r="B267" s="16" t="str">
        <x:v>2000314608-U117</x:v>
      </x:c>
      <x:c r="C267" s="16" t="str">
        <x:v>ЛИСТ ПВ СТ3СП5 508*1000*2700 ТУ36.26.11</x:v>
      </x:c>
      <x:c r="D267" s="16" t="str">
        <x:v>Металлопрокат черный</x:v>
      </x:c>
      <x:c r="E267" s="16" t="str">
        <x:v>Т</x:v>
      </x:c>
      <x:c r="F267" s="30" t="n">
        <x:v>7.099</x:v>
      </x:c>
      <x:c r="G267" s="17" t="n">
        <x:v>111279.94540000001</x:v>
      </x:c>
      <x:c r="H267" s="17" t="n">
        <x:f>G267*F267</x:f>
        <x:v>789976.3323946001</x:v>
      </x:c>
      <x:c r="I267" s="22" t="str">
        <x:f>HYPERLINK("https://etp-aktiv.ru/catalog/materialy/metalloprodukciya/2000314608-U117/","Открыть позицию")</x:f>
        <x:v>Открыть позицию</x:v>
      </x:c>
    </x:row>
    <x:row r="268" ht="28" customHeight="1">
      <x:c r="A268" s="16" t="str">
        <x:v>Приморская ГРЭС</x:v>
      </x:c>
      <x:c r="B268" s="16" t="str">
        <x:v>2000871004-U117</x:v>
      </x:c>
      <x:c r="C268" s="16" t="str">
        <x:v>ЛИСТ СТ20 120ММ ГОСТ19903-2015</x:v>
      </x:c>
      <x:c r="D268" s="16" t="str">
        <x:v>Металлопрокат черный</x:v>
      </x:c>
      <x:c r="E268" s="16" t="str">
        <x:v>Т</x:v>
      </x:c>
      <x:c r="F268" s="26" t="n">
        <x:v>0.164</x:v>
      </x:c>
      <x:c r="G268" s="17" t="n">
        <x:v>151661.25</x:v>
      </x:c>
      <x:c r="H268" s="17" t="n">
        <x:f>G268*F268</x:f>
        <x:v>24872.445</x:v>
      </x:c>
      <x:c r="I268" s="22" t="str">
        <x:f>HYPERLINK("https://etp-aktiv.ru/catalog/materialy/metalloprodukciya/2000871004-U117/","Открыть позицию")</x:f>
        <x:v>Открыть позицию</x:v>
      </x:c>
    </x:row>
    <x:row r="269" ht="28" customHeight="1">
      <x:c r="A269" s="16" t="str">
        <x:v>Приморская ГРЭС</x:v>
      </x:c>
      <x:c r="B269" s="16" t="str">
        <x:v>2000177511-U117</x:v>
      </x:c>
      <x:c r="C269" s="16" t="str">
        <x:v>ЛИСТ СТ3 0,7ММ ГОСТ16523-97</x:v>
      </x:c>
      <x:c r="D269" s="16" t="str">
        <x:v>Металлопрокат черный</x:v>
      </x:c>
      <x:c r="E269" s="16" t="str">
        <x:v>Т</x:v>
      </x:c>
      <x:c r="F269" s="26" t="n">
        <x:v>0.07</x:v>
      </x:c>
      <x:c r="G269" s="17" t="n">
        <x:v>61648.125</x:v>
      </x:c>
      <x:c r="H269" s="17" t="n">
        <x:f>G269*F269</x:f>
        <x:v>4315.368750000001</x:v>
      </x:c>
      <x:c r="I269" s="22" t="str">
        <x:f>HYPERLINK("https://etp-aktiv.ru/catalog/materialy/metalloprodukciya/2000177511-U117/","Открыть позицию")</x:f>
        <x:v>Открыть позицию</x:v>
      </x:c>
    </x:row>
    <x:row r="270" ht="28" customHeight="1">
      <x:c r="A270" s="16" t="str">
        <x:v>Приморская ГРЭС</x:v>
      </x:c>
      <x:c r="B270" s="16" t="str">
        <x:v>2000307141-U117</x:v>
      </x:c>
      <x:c r="C270" s="16" t="str">
        <x:v>ЛИСТ СТ3 1000*2200*5 ГОСТ8706-78</x:v>
      </x:c>
      <x:c r="D270" s="16" t="str">
        <x:v>Металлопрокат черный</x:v>
      </x:c>
      <x:c r="E270" s="16" t="str">
        <x:v>Т</x:v>
      </x:c>
      <x:c r="F270" s="26" t="n">
        <x:v>0.498</x:v>
      </x:c>
      <x:c r="G270" s="17" t="n">
        <x:v>91500</x:v>
      </x:c>
      <x:c r="H270" s="17" t="n">
        <x:f>G270*F270</x:f>
        <x:v>45567</x:v>
      </x:c>
      <x:c r="I270" s="22" t="str">
        <x:f>HYPERLINK("https://etp-aktiv.ru/catalog/materialy/metalloprodukciya/2000307141-U117/","Открыть позицию")</x:f>
        <x:v>Открыть позицию</x:v>
      </x:c>
    </x:row>
    <x:row r="271" ht="28" customHeight="1">
      <x:c r="A271" s="16" t="str">
        <x:v>Приморская ГРЭС</x:v>
      </x:c>
      <x:c r="B271" s="16" t="str">
        <x:v>2000480827-U117</x:v>
      </x:c>
      <x:c r="C271" s="16" t="str">
        <x:v>ЛИСТ СТ3 25ММ ГОСТ19903-90</x:v>
      </x:c>
      <x:c r="D271" s="16" t="str">
        <x:v>Металлопрокат черный</x:v>
      </x:c>
      <x:c r="E271" s="16" t="str">
        <x:v>Т</x:v>
      </x:c>
      <x:c r="F271" s="26" t="n">
        <x:v>0.23</x:v>
      </x:c>
      <x:c r="G271" s="17" t="n">
        <x:v>117148.58459999999</x:v>
      </x:c>
      <x:c r="H271" s="17" t="n">
        <x:f>G271*F271</x:f>
        <x:v>26944.174457999998</x:v>
      </x:c>
      <x:c r="I271" s="22" t="str">
        <x:f>HYPERLINK("https://etp-aktiv.ru/catalog/materialy/metalloprodukciya/2000480827-U117/","Открыть позицию")</x:f>
        <x:v>Открыть позицию</x:v>
      </x:c>
    </x:row>
    <x:row r="272" ht="28" customHeight="1">
      <x:c r="A272" s="16" t="str">
        <x:v>Приморская ГРЭС</x:v>
      </x:c>
      <x:c r="B272" s="16" t="str">
        <x:v>2000148553-U117</x:v>
      </x:c>
      <x:c r="C272" s="16" t="str">
        <x:v>ЛИСТ СТ3 25ММ ГОСТ19904-90</x:v>
      </x:c>
      <x:c r="D272" s="16" t="str">
        <x:v>Металлопрокат прочий</x:v>
      </x:c>
      <x:c r="E272" s="16" t="str">
        <x:v>Т</x:v>
      </x:c>
      <x:c r="F272" s="30" t="n">
        <x:v>1.979</x:v>
      </x:c>
      <x:c r="G272" s="17" t="n">
        <x:v>67754.96919999999</x:v>
      </x:c>
      <x:c r="H272" s="17" t="n">
        <x:f>G272*F272</x:f>
        <x:v>134087.08404679998</x:v>
      </x:c>
      <x:c r="I272" s="22" t="str">
        <x:f>HYPERLINK("https://etp-aktiv.ru/catalog/materialy/metalloprodukciya/2000148553-U117/","Открыть позицию")</x:f>
        <x:v>Открыть позицию</x:v>
      </x:c>
    </x:row>
    <x:row r="273" ht="28" customHeight="1">
      <x:c r="A273" s="16" t="str">
        <x:v>Приморская ГРЭС</x:v>
      </x:c>
      <x:c r="B273" s="16" t="str">
        <x:v>2000386012-U117</x:v>
      </x:c>
      <x:c r="C273" s="16" t="str">
        <x:v>ЛИСТ СТ3 30ММ ГОСТ19904-90</x:v>
      </x:c>
      <x:c r="D273" s="16" t="str">
        <x:v>Металлопрокат черный</x:v>
      </x:c>
      <x:c r="E273" s="16" t="str">
        <x:v>Т</x:v>
      </x:c>
      <x:c r="F273" s="30" t="n">
        <x:v>2.822</x:v>
      </x:c>
      <x:c r="G273" s="17" t="n">
        <x:v>60809.6068</x:v>
      </x:c>
      <x:c r="H273" s="17" t="n">
        <x:f>G273*F273</x:f>
        <x:v>171604.71038960002</x:v>
      </x:c>
      <x:c r="I273" s="22" t="str">
        <x:f>HYPERLINK("https://etp-aktiv.ru/catalog/materialy/metalloprodukciya/2000386012-U117/","Открыть позицию")</x:f>
        <x:v>Открыть позицию</x:v>
      </x:c>
    </x:row>
    <x:row r="274" ht="28" customHeight="1">
      <x:c r="A274" s="16" t="str">
        <x:v>Приморская ГРЭС</x:v>
      </x:c>
      <x:c r="B274" s="16" t="str">
        <x:v>2000555928-U117</x:v>
      </x:c>
      <x:c r="C274" s="16" t="str">
        <x:v>ЛИСТ СТ3 36ММ ГОСТ14637-89</x:v>
      </x:c>
      <x:c r="D274" s="16" t="str">
        <x:v>Металлопрокат черный</x:v>
      </x:c>
      <x:c r="E274" s="16" t="str">
        <x:v>Т</x:v>
      </x:c>
      <x:c r="F274" s="30" t="n">
        <x:v>2.262</x:v>
      </x:c>
      <x:c r="G274" s="17" t="n">
        <x:v>62525</x:v>
      </x:c>
      <x:c r="H274" s="17" t="n">
        <x:f>G274*F274</x:f>
        <x:v>141431.55</x:v>
      </x:c>
      <x:c r="I274" s="22" t="str">
        <x:f>HYPERLINK("https://etp-aktiv.ru/catalog/materialy/metalloprodukciya/2000555928-U117/","Открыть позицию")</x:f>
        <x:v>Открыть позицию</x:v>
      </x:c>
    </x:row>
    <x:row r="275" ht="28" customHeight="1">
      <x:c r="A275" s="16" t="str">
        <x:v>Приморская ГРЭС</x:v>
      </x:c>
      <x:c r="B275" s="16" t="str">
        <x:v>2000148561-U117</x:v>
      </x:c>
      <x:c r="C275" s="16" t="str">
        <x:v>ЛИСТ СТ3 40ММ ГОСТ19904-90</x:v>
      </x:c>
      <x:c r="D275" s="16" t="str">
        <x:v>Металлопрокат прочий</x:v>
      </x:c>
      <x:c r="E275" s="16" t="str">
        <x:v>Т</x:v>
      </x:c>
      <x:c r="F275" s="30" t="n">
        <x:v>3.739</x:v>
      </x:c>
      <x:c r="G275" s="17" t="n">
        <x:v>61347.297399999996</x:v>
      </x:c>
      <x:c r="H275" s="17" t="n">
        <x:f>G275*F275</x:f>
        <x:v>229377.54497859997</x:v>
      </x:c>
      <x:c r="I275" s="22" t="str">
        <x:f>HYPERLINK("https://etp-aktiv.ru/catalog/materialy/metalloprodukciya/2000148561-U117/","Открыть позицию")</x:f>
        <x:v>Открыть позицию</x:v>
      </x:c>
    </x:row>
    <x:row r="276" ht="28" customHeight="1">
      <x:c r="A276" s="16" t="str">
        <x:v>Приморская ГРЭС</x:v>
      </x:c>
      <x:c r="B276" s="16" t="str">
        <x:v>2000015593-U117</x:v>
      </x:c>
      <x:c r="C276" s="16" t="str">
        <x:v>ЛИСТ СТ3 80ММ ГОСТ14637-89</x:v>
      </x:c>
      <x:c r="D276" s="16" t="str">
        <x:v>Металлопрокат черный</x:v>
      </x:c>
      <x:c r="E276" s="16" t="str">
        <x:v>Т</x:v>
      </x:c>
      <x:c r="F276" s="26" t="n">
        <x:v>0.005</x:v>
      </x:c>
      <x:c r="G276" s="17" t="n">
        <x:v>114375</x:v>
      </x:c>
      <x:c r="H276" s="17" t="n">
        <x:f>G276*F276</x:f>
        <x:v>571.875</x:v>
      </x:c>
      <x:c r="I276" s="22" t="str">
        <x:f>HYPERLINK("https://etp-aktiv.ru/catalog/materialy/metalloprodukciya/2000015593-U117/","Открыть позицию")</x:f>
        <x:v>Открыть позицию</x:v>
      </x:c>
    </x:row>
    <x:row r="277" ht="28" customHeight="1">
      <x:c r="A277" s="16" t="str">
        <x:v>Приморская ГРЭС</x:v>
      </x:c>
      <x:c r="B277" s="16" t="str">
        <x:v>2000695815-U117</x:v>
      </x:c>
      <x:c r="C277" s="16" t="str">
        <x:v>ЛИСТ СТ3 ОЦ 0,8ММ ГОСТ14918-80</x:v>
      </x:c>
      <x:c r="D277" s="16" t="str">
        <x:v>Металлопрокат черный</x:v>
      </x:c>
      <x:c r="E277" s="16" t="str">
        <x:v>Т</x:v>
      </x:c>
      <x:c r="F277" s="26" t="n">
        <x:v>0.6</x:v>
      </x:c>
      <x:c r="G277" s="17" t="n">
        <x:v>100650</x:v>
      </x:c>
      <x:c r="H277" s="17" t="n">
        <x:f>G277*F277</x:f>
        <x:v>60390</x:v>
      </x:c>
      <x:c r="I277" s="22" t="str">
        <x:f>HYPERLINK("https://etp-aktiv.ru/catalog/materialy/metalloprodukciya/2000695815-U117/","Открыть позицию")</x:f>
        <x:v>Открыть позицию</x:v>
      </x:c>
    </x:row>
    <x:row r="278" ht="28" customHeight="1">
      <x:c r="A278" s="16" t="str">
        <x:v>Приморская ГРЭС</x:v>
      </x:c>
      <x:c r="B278" s="16" t="str">
        <x:v>2000517903-U117</x:v>
      </x:c>
      <x:c r="C278" s="16" t="str">
        <x:v>ЛИСТ СТ3 ПВ1 506 ТУ36-26.11-5-89</x:v>
      </x:c>
      <x:c r="D278" s="16" t="str">
        <x:v>Металлопрокат черный</x:v>
      </x:c>
      <x:c r="E278" s="16" t="str">
        <x:v>Т</x:v>
      </x:c>
      <x:c r="F278" s="26" t="n">
        <x:v>0.198</x:v>
      </x:c>
      <x:c r="G278" s="17" t="n">
        <x:v>58056.75</x:v>
      </x:c>
      <x:c r="H278" s="17" t="n">
        <x:f>G278*F278</x:f>
        <x:v>11495.2365</x:v>
      </x:c>
      <x:c r="I278" s="22" t="str">
        <x:f>HYPERLINK("https://etp-aktiv.ru/catalog/materialy/metalloprodukciya/2000517903-U117/","Открыть позицию")</x:f>
        <x:v>Открыть позицию</x:v>
      </x:c>
    </x:row>
    <x:row r="279" ht="28" customHeight="1">
      <x:c r="A279" s="16" t="str">
        <x:v>Приморская ГРЭС</x:v>
      </x:c>
      <x:c r="B279" s="16" t="str">
        <x:v>2000822631-U117</x:v>
      </x:c>
      <x:c r="C279" s="16" t="str">
        <x:v>ЛИСТ СТ3 ПВ506 5*1000*3000 ГОСТ8706-78</x:v>
      </x:c>
      <x:c r="D279" s="16" t="str">
        <x:v>Металлопрокат черный</x:v>
      </x:c>
      <x:c r="E279" s="16" t="str">
        <x:v>Т</x:v>
      </x:c>
      <x:c r="F279" s="26" t="n">
        <x:v>0.79</x:v>
      </x:c>
      <x:c r="G279" s="17" t="n">
        <x:v>58056.75</x:v>
      </x:c>
      <x:c r="H279" s="17" t="n">
        <x:f>G279*F279</x:f>
        <x:v>45864.832500000004</x:v>
      </x:c>
      <x:c r="I279" s="22" t="str">
        <x:f>HYPERLINK("https://etp-aktiv.ru/catalog/materialy/metalloprodukciya/2000822631-U117/","Открыть позицию")</x:f>
        <x:v>Открыть позицию</x:v>
      </x:c>
    </x:row>
    <x:row r="280" ht="28" customHeight="1">
      <x:c r="A280" s="16" t="str">
        <x:v>Приморская ГРЭС</x:v>
      </x:c>
      <x:c r="B280" s="16" t="str">
        <x:v>2000866847-U117</x:v>
      </x:c>
      <x:c r="C280" s="16" t="str">
        <x:v>ЛИСТ СТ3СП5 1ММ ГОСТ16523-97</x:v>
      </x:c>
      <x:c r="D280" s="16" t="str">
        <x:v>Металлопрокат черный</x:v>
      </x:c>
      <x:c r="E280" s="16" t="str">
        <x:v>Т</x:v>
      </x:c>
      <x:c r="F280" s="26" t="n">
        <x:v>0.039</x:v>
      </x:c>
      <x:c r="G280" s="17" t="n">
        <x:v>49377.38939999999</x:v>
      </x:c>
      <x:c r="H280" s="17" t="n">
        <x:f>G280*F280</x:f>
        <x:v>1925.7181865999996</x:v>
      </x:c>
      <x:c r="I280" s="22" t="str">
        <x:f>HYPERLINK("https://etp-aktiv.ru/catalog/materialy/metalloprodukciya/2000866847-U117/","Открыть позицию")</x:f>
        <x:v>Открыть позицию</x:v>
      </x:c>
    </x:row>
    <x:row r="281" ht="28" customHeight="1">
      <x:c r="A281" s="16" t="str">
        <x:v>Приморская ГРЭС</x:v>
      </x:c>
      <x:c r="B281" s="16" t="str">
        <x:v>2000150992-U117</x:v>
      </x:c>
      <x:c r="C281" s="16" t="str">
        <x:v>ЛИСТ СТ3СП5 5ММ ТУ-36.26.11-5-89</x:v>
      </x:c>
      <x:c r="D281" s="16" t="str">
        <x:v>Металлопрокат черный</x:v>
      </x:c>
      <x:c r="E281" s="16" t="str">
        <x:v>Т</x:v>
      </x:c>
      <x:c r="F281" s="26" t="n">
        <x:v>0.056</x:v>
      </x:c>
      <x:c r="G281" s="17" t="n">
        <x:v>63629.9174</x:v>
      </x:c>
      <x:c r="H281" s="17" t="n">
        <x:f>G281*F281</x:f>
        <x:v>3563.2753744</x:v>
      </x:c>
      <x:c r="I281" s="22" t="str">
        <x:f>HYPERLINK("https://etp-aktiv.ru/catalog/materialy/metalloprodukciya/2000150992-U117/","Открыть позицию")</x:f>
        <x:v>Открыть позицию</x:v>
      </x:c>
    </x:row>
    <x:row r="282" ht="28" customHeight="1">
      <x:c r="A282" s="16" t="str">
        <x:v>Приморская ГРЭС</x:v>
      </x:c>
      <x:c r="B282" s="16" t="str">
        <x:v>2000018201-U117</x:v>
      </x:c>
      <x:c r="C282" s="16" t="str">
        <x:v>ОЛОВО 01</x:v>
      </x:c>
      <x:c r="D282" s="16" t="str">
        <x:v>Металлопрокат цветной</x:v>
      </x:c>
      <x:c r="E282" s="16" t="str">
        <x:v>Т</x:v>
      </x:c>
      <x:c r="F282" s="26" t="n">
        <x:v>0.019</x:v>
      </x:c>
      <x:c r="G282" s="17" t="n">
        <x:v>3416000</x:v>
      </x:c>
      <x:c r="H282" s="17" t="n">
        <x:f>G282*F282</x:f>
        <x:v>64904</x:v>
      </x:c>
      <x:c r="I282" s="22" t="str">
        <x:f>HYPERLINK("https://etp-aktiv.ru/catalog/materialy/metalloprodukciya/2000018201-U117/","Открыть позицию")</x:f>
        <x:v>Открыть позицию</x:v>
      </x:c>
    </x:row>
    <x:row r="283" ht="28" customHeight="1">
      <x:c r="A283" s="16" t="str">
        <x:v>Приморская ГРЭС</x:v>
      </x:c>
      <x:c r="B283" s="16" t="str">
        <x:v>2000034986-U117</x:v>
      </x:c>
      <x:c r="C283" s="16" t="str">
        <x:v>ПОЛОСА СТ3 40*5 ГОСТ103-2006</x:v>
      </x:c>
      <x:c r="D283" s="16" t="str">
        <x:v>Металлопрокат прочий</x:v>
      </x:c>
      <x:c r="E283" s="16" t="str">
        <x:v>Т</x:v>
      </x:c>
      <x:c r="F283" s="26" t="n">
        <x:v>0.044</x:v>
      </x:c>
      <x:c r="G283" s="17" t="n">
        <x:v>85781.25</x:v>
      </x:c>
      <x:c r="H283" s="17" t="n">
        <x:f>G283*F283</x:f>
        <x:v>3774.375</x:v>
      </x:c>
      <x:c r="I283" s="22" t="str">
        <x:f>HYPERLINK("https://etp-aktiv.ru/catalog/materialy/metalloprodukciya/2000034986-U117/","Открыть позицию")</x:f>
        <x:v>Открыть позицию</x:v>
      </x:c>
    </x:row>
    <x:row r="284" ht="28" customHeight="1">
      <x:c r="A284" s="16" t="str">
        <x:v>Приморская ГРЭС</x:v>
      </x:c>
      <x:c r="B284" s="16" t="str">
        <x:v>2000145300-U117</x:v>
      </x:c>
      <x:c r="C284" s="16" t="str">
        <x:v>ПРИПОЙ ASAHI 1ММ 250Г</x:v>
      </x:c>
      <x:c r="D284" s="16" t="str">
        <x:v>Металлопрокат цветной</x:v>
      </x:c>
      <x:c r="E284" s="16" t="str">
        <x:v>ШТ</x:v>
      </x:c>
      <x:c r="F284" s="21" t="n">
        <x:v>2</x:v>
      </x:c>
      <x:c r="G284" s="17" t="n">
        <x:v>9150</x:v>
      </x:c>
      <x:c r="H284" s="17" t="n">
        <x:f>G284*F284</x:f>
        <x:v>18300</x:v>
      </x:c>
      <x:c r="I284" s="22" t="str">
        <x:f>HYPERLINK("https://etp-aktiv.ru/catalog/materialy/metalloprodukciya/2000145300-U117/","Открыть позицию")</x:f>
        <x:v>Открыть позицию</x:v>
      </x:c>
    </x:row>
    <x:row r="285" ht="28" customHeight="1">
      <x:c r="A285" s="16" t="str">
        <x:v>Приморская ГРЭС</x:v>
      </x:c>
      <x:c r="B285" s="16" t="str">
        <x:v>2000649714-U117</x:v>
      </x:c>
      <x:c r="C285" s="16" t="str">
        <x:v>ПРИПОЙ ЛАТУННЫЙ Л63 3,5ММ ГОСТ16130-90</x:v>
      </x:c>
      <x:c r="D285" s="16" t="str">
        <x:v>Металлопрокат цветной</x:v>
      </x:c>
      <x:c r="E285" s="16" t="str">
        <x:v>КГ</x:v>
      </x:c>
      <x:c r="F285" s="21" t="n">
        <x:v>5</x:v>
      </x:c>
      <x:c r="G285" s="17" t="n">
        <x:v>4730.55</x:v>
      </x:c>
      <x:c r="H285" s="17" t="n">
        <x:f>G285*F285</x:f>
        <x:v>23652.75</x:v>
      </x:c>
      <x:c r="I285" s="22" t="str">
        <x:f>HYPERLINK("https://etp-aktiv.ru/catalog/materialy/metalloprodukciya/2000649714-U117/","Открыть позицию")</x:f>
        <x:v>Открыть позицию</x:v>
      </x:c>
    </x:row>
    <x:row r="286" ht="28" customHeight="1">
      <x:c r="A286" s="16" t="str">
        <x:v>Приморская ГРЭС</x:v>
      </x:c>
      <x:c r="B286" s="16" t="str">
        <x:v>2000460631-U117</x:v>
      </x:c>
      <x:c r="C286" s="16" t="str">
        <x:v>ПРИПОЙ ПОСК 50-18 1ММ 100Г ГОСТ21930-76</x:v>
      </x:c>
      <x:c r="D286" s="16" t="str">
        <x:v>Металлопрокат цветной</x:v>
      </x:c>
      <x:c r="E286" s="16" t="str">
        <x:v>ШТ</x:v>
      </x:c>
      <x:c r="F286" s="21" t="n">
        <x:v>3</x:v>
      </x:c>
      <x:c r="G286" s="17" t="n">
        <x:v>732</x:v>
      </x:c>
      <x:c r="H286" s="17" t="n">
        <x:f>G286*F286</x:f>
        <x:v>2196</x:v>
      </x:c>
      <x:c r="I286" s="22" t="str">
        <x:f>HYPERLINK("https://etp-aktiv.ru/catalog/materialy/metalloprodukciya/2000460631-U117/","Открыть позицию")</x:f>
        <x:v>Открыть позицию</x:v>
      </x:c>
    </x:row>
    <x:row r="287" ht="28" customHeight="1">
      <x:c r="A287" s="16" t="str">
        <x:v>Приморская ГРЭС</x:v>
      </x:c>
      <x:c r="B287" s="16" t="str">
        <x:v>2000388112-U117</x:v>
      </x:c>
      <x:c r="C287" s="16" t="str">
        <x:v>ПРИПОЙ ПСР-45 D2ММ ГОСТ19746-74</x:v>
      </x:c>
      <x:c r="D287" s="16" t="str">
        <x:v>Металлопрокат цветной</x:v>
      </x:c>
      <x:c r="E287" s="16" t="str">
        <x:v>КГ</x:v>
      </x:c>
      <x:c r="F287" s="21" t="n">
        <x:v>2</x:v>
      </x:c>
      <x:c r="G287" s="17" t="n">
        <x:v>36517.4182</x:v>
      </x:c>
      <x:c r="H287" s="17" t="n">
        <x:f>G287*F287</x:f>
        <x:v>73034.8364</x:v>
      </x:c>
      <x:c r="I287" s="22" t="str">
        <x:f>HYPERLINK("https://etp-aktiv.ru/catalog/materialy/metalloprodukciya/2000388112-U117/","Открыть позицию")</x:f>
        <x:v>Открыть позицию</x:v>
      </x:c>
    </x:row>
    <x:row r="288" ht="28" customHeight="1">
      <x:c r="A288" s="16" t="str">
        <x:v>Приморская ГРЭС</x:v>
      </x:c>
      <x:c r="B288" s="16" t="str">
        <x:v>2000172699-U117</x:v>
      </x:c>
      <x:c r="C288" s="16" t="str">
        <x:v>ПРОВОЛОКА 12Х18Н10Т 2ММ ГОСТ18143-72</x:v>
      </x:c>
      <x:c r="D288" s="16" t="str">
        <x:v>Металлопрокат из нержавеющей стали</x:v>
      </x:c>
      <x:c r="E288" s="16" t="str">
        <x:v>КГ</x:v>
      </x:c>
      <x:c r="F288" s="21" t="n">
        <x:v>2</x:v>
      </x:c>
      <x:c r="G288" s="17" t="n">
        <x:v>583.3186</x:v>
      </x:c>
      <x:c r="H288" s="17" t="n">
        <x:f>G288*F288</x:f>
        <x:v>1166.6372</x:v>
      </x:c>
      <x:c r="I288" s="22" t="str">
        <x:f>HYPERLINK("https://etp-aktiv.ru/catalog/materialy/metalloprodukciya/2000172699-U117/","Открыть позицию")</x:f>
        <x:v>Открыть позицию</x:v>
      </x:c>
    </x:row>
    <x:row r="289" ht="28" customHeight="1">
      <x:c r="A289" s="16" t="str">
        <x:v>Приморская ГРЭС</x:v>
      </x:c>
      <x:c r="B289" s="16" t="str">
        <x:v>2000238354-U117</x:v>
      </x:c>
      <x:c r="C289" s="16" t="str">
        <x:v>ПРОВОЛОКА 3,0-0-Ч ГОСТ3282-74</x:v>
      </x:c>
      <x:c r="D289" s="16" t="str">
        <x:v>Метизы специализированные и под заказ</x:v>
      </x:c>
      <x:c r="E289" s="16" t="str">
        <x:v>КГ</x:v>
      </x:c>
      <x:c r="F289" s="21" t="n">
        <x:v>45</x:v>
      </x:c>
      <x:c r="G289" s="17" t="n">
        <x:v>70.7844</x:v>
      </x:c>
      <x:c r="H289" s="17" t="n">
        <x:f>G289*F289</x:f>
        <x:v>3185.2980000000002</x:v>
      </x:c>
      <x:c r="I289" s="22" t="str">
        <x:f>HYPERLINK("https://etp-aktiv.ru/catalog/materialy/metizy/2000238354-U117/","Открыть позицию")</x:f>
        <x:v>Открыть позицию</x:v>
      </x:c>
    </x:row>
    <x:row r="290" ht="28" customHeight="1">
      <x:c r="A290" s="16" t="str">
        <x:v>Приморская ГРЭС</x:v>
      </x:c>
      <x:c r="B290" s="16" t="str">
        <x:v>2000582192-U117</x:v>
      </x:c>
      <x:c r="C290" s="16" t="str">
        <x:v>ПРОВОЛОКА 4,0-О-1Ц СВЕТЛАЯ ГОСТ3282-74</x:v>
      </x:c>
      <x:c r="D290" s="16" t="str">
        <x:v>Метизы специализированные и под заказ</x:v>
      </x:c>
      <x:c r="E290" s="16" t="str">
        <x:v>КГ</x:v>
      </x:c>
      <x:c r="F290" s="30" t="n">
        <x:v>200.9</x:v>
      </x:c>
      <x:c r="G290" s="17" t="n">
        <x:v>137.3842</x:v>
      </x:c>
      <x:c r="H290" s="17" t="n">
        <x:f>G290*F290</x:f>
        <x:v>27600.48578</x:v>
      </x:c>
      <x:c r="I290" s="22" t="str">
        <x:f>HYPERLINK("https://etp-aktiv.ru/catalog/materialy/metizy/2000582192-U117/","Открыть позицию")</x:f>
        <x:v>Открыть позицию</x:v>
      </x:c>
    </x:row>
    <x:row r="291" ht="28" customHeight="1">
      <x:c r="A291" s="16" t="str">
        <x:v>Приморская ГРЭС</x:v>
      </x:c>
      <x:c r="B291" s="16" t="str">
        <x:v>2000530172-U117</x:v>
      </x:c>
      <x:c r="C291" s="16" t="str">
        <x:v>ПРОВОЛОКА 8 СВЕТЛАЯ 1Ц I ГОСТ3282-74</x:v>
      </x:c>
      <x:c r="D291" s="16" t="str">
        <x:v>Метизы специализированные и под заказ</x:v>
      </x:c>
      <x:c r="E291" s="16" t="str">
        <x:v>КГ</x:v>
      </x:c>
      <x:c r="F291" s="30" t="n">
        <x:v>11.682</x:v>
      </x:c>
      <x:c r="G291" s="17" t="n">
        <x:v>302.98699999999997</x:v>
      </x:c>
      <x:c r="H291" s="17" t="n">
        <x:f>G291*F291</x:f>
        <x:v>3539.4941339999996</x:v>
      </x:c>
      <x:c r="I291" s="22" t="str">
        <x:f>HYPERLINK("https://etp-aktiv.ru/catalog/materialy/metizy/2000530172-U117/","Открыть позицию")</x:f>
        <x:v>Открыть позицию</x:v>
      </x:c>
    </x:row>
    <x:row r="292" ht="28" customHeight="1">
      <x:c r="A292" s="16" t="str">
        <x:v>Приморская ГРЭС</x:v>
      </x:c>
      <x:c r="B292" s="16" t="str">
        <x:v>2000068244-U117</x:v>
      </x:c>
      <x:c r="C292" s="16" t="str">
        <x:v>ПРОВОЛОКА D2ММ ОН ТН ГОСТ3282-74</x:v>
      </x:c>
      <x:c r="D292" s="16" t="str">
        <x:v>Метизы специализированные и под заказ</x:v>
      </x:c>
      <x:c r="E292" s="16" t="str">
        <x:v>Т</x:v>
      </x:c>
      <x:c r="F292" s="26" t="n">
        <x:v>0.171</x:v>
      </x:c>
      <x:c r="G292" s="17" t="n">
        <x:v>66427.7068</x:v>
      </x:c>
      <x:c r="H292" s="17" t="n">
        <x:f>G292*F292</x:f>
        <x:v>11359.1378628</x:v>
      </x:c>
      <x:c r="I292" s="22" t="str">
        <x:f>HYPERLINK("https://etp-aktiv.ru/catalog/materialy/metizy/2000068244-U117/","Открыть позицию")</x:f>
        <x:v>Открыть позицию</x:v>
      </x:c>
    </x:row>
    <x:row r="293" ht="28" customHeight="1">
      <x:c r="A293" s="16" t="str">
        <x:v>Приморская ГРЭС</x:v>
      </x:c>
      <x:c r="B293" s="16" t="str">
        <x:v>2000035783-U117</x:v>
      </x:c>
      <x:c r="C293" s="16" t="str">
        <x:v>ПРОВОЛОКА ВЯЗАЛЬНАЯ D2ММ ГОСТ3282-74</x:v>
      </x:c>
      <x:c r="D293" s="16" t="str">
        <x:v>Метизы специализированные и под заказ</x:v>
      </x:c>
      <x:c r="E293" s="16" t="str">
        <x:v>Т</x:v>
      </x:c>
      <x:c r="F293" s="30" t="n">
        <x:v>7.952</x:v>
      </x:c>
      <x:c r="G293" s="17" t="n">
        <x:v>122958.34659999999</x:v>
      </x:c>
      <x:c r="H293" s="17" t="n">
        <x:f>G293*F293</x:f>
        <x:v>977764.7721632</x:v>
      </x:c>
      <x:c r="I293" s="22" t="str">
        <x:f>HYPERLINK("https://etp-aktiv.ru/catalog/materialy/metizy/2000035783-U117/","Открыть позицию")</x:f>
        <x:v>Открыть позицию</x:v>
      </x:c>
    </x:row>
    <x:row r="294" ht="28" customHeight="1">
      <x:c r="A294" s="16" t="str">
        <x:v>Приморская ГРЭС</x:v>
      </x:c>
      <x:c r="B294" s="16" t="str">
        <x:v>2000005625-U117</x:v>
      </x:c>
      <x:c r="C294" s="16" t="str">
        <x:v>ПРОВОЛОКА Л-63 D3ММ ГОСТ1066-90</x:v>
      </x:c>
      <x:c r="D294" s="16" t="str">
        <x:v>Металлопрокат цветной</x:v>
      </x:c>
      <x:c r="E294" s="16" t="str">
        <x:v>КГ</x:v>
      </x:c>
      <x:c r="F294" s="21" t="n">
        <x:v>2</x:v>
      </x:c>
      <x:c r="G294" s="17" t="n">
        <x:v>1372.5</x:v>
      </x:c>
      <x:c r="H294" s="17" t="n">
        <x:f>G294*F294</x:f>
        <x:v>2745</x:v>
      </x:c>
      <x:c r="I294" s="22" t="str">
        <x:f>HYPERLINK("https://etp-aktiv.ru/catalog/materialy/metalloprodukciya/2000005625-U117/","Открыть позицию")</x:f>
        <x:v>Открыть позицию</x:v>
      </x:c>
    </x:row>
    <x:row r="295" ht="28" customHeight="1">
      <x:c r="A295" s="16" t="str">
        <x:v>Приморская ГРЭС</x:v>
      </x:c>
      <x:c r="B295" s="16" t="str">
        <x:v>2000177866-U117</x:v>
      </x:c>
      <x:c r="C295" s="16" t="str">
        <x:v>ПРОВОЛОКА ОМ СВ08Г2С D1,2 ГОСТ2246-70(Т)</x:v>
      </x:c>
      <x:c r="D295" s="16" t="str">
        <x:v>Сварочные электроды</x:v>
      </x:c>
      <x:c r="E295" s="16" t="str">
        <x:v>Т</x:v>
      </x:c>
      <x:c r="F295" s="26" t="n">
        <x:v>0.274</x:v>
      </x:c>
      <x:c r="G295" s="17" t="n">
        <x:v>159351.3004</x:v>
      </x:c>
      <x:c r="H295" s="17" t="n">
        <x:f>G295*F295</x:f>
        <x:v>43662.25630960001</x:v>
      </x:c>
      <x:c r="I295" s="22" t="str">
        <x:f>HYPERLINK("https://etp-aktiv.ru/catalog/materialy/svarochnye-ehlektrody/2000177866-U117/","Открыть позицию")</x:f>
        <x:v>Открыть позицию</x:v>
      </x:c>
    </x:row>
    <x:row r="296" ht="28" customHeight="1">
      <x:c r="A296" s="16" t="str">
        <x:v>Приморская ГРЭС</x:v>
      </x:c>
      <x:c r="B296" s="16" t="str">
        <x:v>2000736583-U117</x:v>
      </x:c>
      <x:c r="C296" s="16" t="str">
        <x:v>ПРОВОЛОКА СВ06Х15Н60М15 D2ММ ГОСТ2246-70</x:v>
      </x:c>
      <x:c r="D296" s="16" t="str">
        <x:v>Сварочные электроды</x:v>
      </x:c>
      <x:c r="E296" s="16" t="str">
        <x:v>КГ</x:v>
      </x:c>
      <x:c r="F296" s="30" t="n">
        <x:v>9.9</x:v>
      </x:c>
      <x:c r="G296" s="17" t="n">
        <x:v>1321.321</x:v>
      </x:c>
      <x:c r="H296" s="17" t="n">
        <x:f>G296*F296</x:f>
        <x:v>13081.0779</x:v>
      </x:c>
      <x:c r="I296" s="22" t="str">
        <x:f>HYPERLINK("https://etp-aktiv.ru/catalog/materialy/svarochnye-ehlektrody/2000736583-U117/","Открыть позицию")</x:f>
        <x:v>Открыть позицию</x:v>
      </x:c>
    </x:row>
    <x:row r="297" ht="28" customHeight="1">
      <x:c r="A297" s="16" t="str">
        <x:v>Приморская ГРЭС</x:v>
      </x:c>
      <x:c r="B297" s="16" t="str">
        <x:v>2000546355-U117</x:v>
      </x:c>
      <x:c r="C297" s="16" t="str">
        <x:v>ПРОВОЛОКА СВ06Х19Н9Т D2ММ ГОСТ2246-70</x:v>
      </x:c>
      <x:c r="D297" s="16" t="str">
        <x:v>Сварочные электроды</x:v>
      </x:c>
      <x:c r="E297" s="16" t="str">
        <x:v>КГ</x:v>
      </x:c>
      <x:c r="F297" s="21" t="n">
        <x:v>12</x:v>
      </x:c>
      <x:c r="G297" s="17" t="n">
        <x:v>133.7242</x:v>
      </x:c>
      <x:c r="H297" s="17" t="n">
        <x:f>G297*F297</x:f>
        <x:v>1604.6904</x:v>
      </x:c>
      <x:c r="I297" s="22" t="str">
        <x:f>HYPERLINK("https://etp-aktiv.ru/catalog/materialy/svarochnye-ehlektrody/2000546355-U117/","Открыть позицию")</x:f>
        <x:v>Открыть позицию</x:v>
      </x:c>
    </x:row>
    <x:row r="298" ht="28" customHeight="1">
      <x:c r="A298" s="16" t="str">
        <x:v>Приморская ГРЭС</x:v>
      </x:c>
      <x:c r="B298" s="16" t="str">
        <x:v>2000546343-U117</x:v>
      </x:c>
      <x:c r="C298" s="16" t="str">
        <x:v>ПРОВОЛОКА СВ08Г2С D0,8ММ ГОСТ2246-70</x:v>
      </x:c>
      <x:c r="D298" s="16" t="str">
        <x:v>Сварочные электроды</x:v>
      </x:c>
      <x:c r="E298" s="16" t="str">
        <x:v>КГ</x:v>
      </x:c>
      <x:c r="F298" s="30" t="n">
        <x:v>33.2</x:v>
      </x:c>
      <x:c r="G298" s="17" t="n">
        <x:v>63.7816</x:v>
      </x:c>
      <x:c r="H298" s="17" t="n">
        <x:f>G298*F298</x:f>
        <x:v>2117.54912</x:v>
      </x:c>
      <x:c r="I298" s="22" t="str">
        <x:f>HYPERLINK("https://etp-aktiv.ru/catalog/materialy/svarochnye-ehlektrody/2000546343-U117/","Открыть позицию")</x:f>
        <x:v>Открыть позицию</x:v>
      </x:c>
    </x:row>
    <x:row r="299" ht="28" customHeight="1">
      <x:c r="A299" s="16" t="str">
        <x:v>Приморская ГРЭС</x:v>
      </x:c>
      <x:c r="B299" s="16" t="str">
        <x:v>2000546345-U117</x:v>
      </x:c>
      <x:c r="C299" s="16" t="str">
        <x:v>ПРОВОЛОКА СВ08Г2С D1,2ММ ГОСТ2246-70</x:v>
      </x:c>
      <x:c r="D299" s="16" t="str">
        <x:v>Сварочные электроды</x:v>
      </x:c>
      <x:c r="E299" s="16" t="str">
        <x:v>КГ</x:v>
      </x:c>
      <x:c r="F299" s="30" t="n">
        <x:v>518.4</x:v>
      </x:c>
      <x:c r="G299" s="17" t="n">
        <x:v>170.8244</x:v>
      </x:c>
      <x:c r="H299" s="17" t="n">
        <x:f>G299*F299</x:f>
        <x:v>88555.36895999999</x:v>
      </x:c>
      <x:c r="I299" s="22" t="str">
        <x:f>HYPERLINK("https://etp-aktiv.ru/catalog/materialy/svarochnye-ehlektrody/2000546345-U117/","Открыть позицию")</x:f>
        <x:v>Открыть позицию</x:v>
      </x:c>
    </x:row>
    <x:row r="300" ht="28" customHeight="1">
      <x:c r="A300" s="16" t="str">
        <x:v>Приморская ГРЭС</x:v>
      </x:c>
      <x:c r="B300" s="16" t="str">
        <x:v>2000068596-U117</x:v>
      </x:c>
      <x:c r="C300" s="16" t="str">
        <x:v>ПРОВОЛОКА СВ08Г2С D1,2ММ ГОСТ2246-70 (Т)</x:v>
      </x:c>
      <x:c r="D300" s="16" t="str">
        <x:v>Сварочные электроды</x:v>
      </x:c>
      <x:c r="E300" s="16" t="str">
        <x:v>Т</x:v>
      </x:c>
      <x:c r="F300" s="26" t="n">
        <x:v>0.006</x:v>
      </x:c>
      <x:c r="G300" s="17" t="n">
        <x:v>244988.19999999998</x:v>
      </x:c>
      <x:c r="H300" s="17" t="n">
        <x:f>G300*F300</x:f>
        <x:v>1469.9292</x:v>
      </x:c>
      <x:c r="I300" s="22" t="str">
        <x:f>HYPERLINK("https://etp-aktiv.ru/catalog/materialy/svarochnye-ehlektrody/2000068596-U117/","Открыть позицию")</x:f>
        <x:v>Открыть позицию</x:v>
      </x:c>
    </x:row>
    <x:row r="301" ht="28" customHeight="1">
      <x:c r="A301" s="16" t="str">
        <x:v>Приморская ГРЭС</x:v>
      </x:c>
      <x:c r="B301" s="16" t="str">
        <x:v>2000035824-U117</x:v>
      </x:c>
      <x:c r="C301" s="16" t="str">
        <x:v>ПРОВОЛОКА СВ08Г2С D1,6ММ ГОСТ2246-70 (Т)</x:v>
      </x:c>
      <x:c r="D301" s="16" t="str">
        <x:v>Сварочные электроды</x:v>
      </x:c>
      <x:c r="E301" s="16" t="str">
        <x:v>Т</x:v>
      </x:c>
      <x:c r="F301" s="26" t="n">
        <x:v>0.006</x:v>
      </x:c>
      <x:c r="G301" s="17" t="n">
        <x:v>440482.52499999997</x:v>
      </x:c>
      <x:c r="H301" s="17" t="n">
        <x:f>G301*F301</x:f>
        <x:v>2642.89515</x:v>
      </x:c>
      <x:c r="I301" s="22" t="str">
        <x:f>HYPERLINK("https://etp-aktiv.ru/catalog/materialy/svarochnye-ehlektrody/2000035824-U117/","Открыть позицию")</x:f>
        <x:v>Открыть позицию</x:v>
      </x:c>
    </x:row>
    <x:row r="302" ht="28" customHeight="1">
      <x:c r="A302" s="16" t="str">
        <x:v>Приморская ГРЭС</x:v>
      </x:c>
      <x:c r="B302" s="16" t="str">
        <x:v>2000482291-U117</x:v>
      </x:c>
      <x:c r="C302" s="16" t="str">
        <x:v>ПРОВОЛОКА СВ08Г2С D3ММ ГОСТ2246-70</x:v>
      </x:c>
      <x:c r="D302" s="16" t="str">
        <x:v>Сварочные электроды</x:v>
      </x:c>
      <x:c r="E302" s="16" t="str">
        <x:v>КГ</x:v>
      </x:c>
      <x:c r="F302" s="21" t="n">
        <x:v>56</x:v>
      </x:c>
      <x:c r="G302" s="17" t="n">
        <x:v>260.592</x:v>
      </x:c>
      <x:c r="H302" s="17" t="n">
        <x:f>G302*F302</x:f>
        <x:v>14593.151999999998</x:v>
      </x:c>
      <x:c r="I302" s="22" t="str">
        <x:f>HYPERLINK("https://etp-aktiv.ru/catalog/materialy/svarochnye-ehlektrody/2000482291-U117/","Открыть позицию")</x:f>
        <x:v>Открыть позицию</x:v>
      </x:c>
    </x:row>
    <x:row r="303" ht="28" customHeight="1">
      <x:c r="A303" s="16" t="str">
        <x:v>Приморская ГРЭС</x:v>
      </x:c>
      <x:c r="B303" s="16" t="str">
        <x:v>2000250402-U117</x:v>
      </x:c>
      <x:c r="C303" s="16" t="str">
        <x:v>ПРОВОЛОКА СВ08Г2С-О D1,2ММ ГОСТ2246-70</x:v>
      </x:c>
      <x:c r="D303" s="16" t="str">
        <x:v>Сварочные электроды</x:v>
      </x:c>
      <x:c r="E303" s="16" t="str">
        <x:v>КГ</x:v>
      </x:c>
      <x:c r="F303" s="30" t="n">
        <x:v>2233.796</x:v>
      </x:c>
      <x:c r="G303" s="17" t="n">
        <x:v>152.5</x:v>
      </x:c>
      <x:c r="H303" s="17" t="n">
        <x:f>G303*F303</x:f>
        <x:v>340653.88999999996</x:v>
      </x:c>
      <x:c r="I303" s="22" t="str">
        <x:f>HYPERLINK("https://etp-aktiv.ru/catalog/materialy/svarochnye-ehlektrody/2000250402-U117/","Открыть позицию")</x:f>
        <x:v>Открыть позицию</x:v>
      </x:c>
    </x:row>
    <x:row r="304" ht="28" customHeight="1">
      <x:c r="A304" s="16" t="str">
        <x:v>Приморская ГРЭС</x:v>
      </x:c>
      <x:c r="B304" s="16" t="str">
        <x:v>2000546374-U117</x:v>
      </x:c>
      <x:c r="C304" s="16" t="str">
        <x:v>ПРОВОЛОКА СВ08Г2С-О D2ММ ГОСТ2246-70</x:v>
      </x:c>
      <x:c r="D304" s="16" t="str">
        <x:v>Сварочные электроды</x:v>
      </x:c>
      <x:c r="E304" s="16" t="str">
        <x:v>КГ</x:v>
      </x:c>
      <x:c r="F304" s="30" t="n">
        <x:v>95.022</x:v>
      </x:c>
      <x:c r="G304" s="17" t="n">
        <x:v>183.01219999999998</x:v>
      </x:c>
      <x:c r="H304" s="17" t="n">
        <x:f>G304*F304</x:f>
        <x:v>17390.1852684</x:v>
      </x:c>
      <x:c r="I304" s="22" t="str">
        <x:f>HYPERLINK("https://etp-aktiv.ru/catalog/materialy/svarochnye-ehlektrody/2000546374-U117/","Открыть позицию")</x:f>
        <x:v>Открыть позицию</x:v>
      </x:c>
    </x:row>
    <x:row r="305" ht="28" customHeight="1">
      <x:c r="A305" s="16" t="str">
        <x:v>Приморская ГРЭС</x:v>
      </x:c>
      <x:c r="B305" s="16" t="str">
        <x:v>2000546351-U117</x:v>
      </x:c>
      <x:c r="C305" s="16" t="str">
        <x:v>ПРОВОЛОКА СВ08ХМФА D1,6ММ ГОСТ2246-70</x:v>
      </x:c>
      <x:c r="D305" s="16" t="str">
        <x:v>Сварочные электроды</x:v>
      </x:c>
      <x:c r="E305" s="16" t="str">
        <x:v>КГ</x:v>
      </x:c>
      <x:c r="F305" s="21" t="n">
        <x:v>119</x:v>
      </x:c>
      <x:c r="G305" s="17" t="n">
        <x:v>305</x:v>
      </x:c>
      <x:c r="H305" s="17" t="n">
        <x:f>G305*F305</x:f>
        <x:v>36295</x:v>
      </x:c>
      <x:c r="I305" s="22" t="str">
        <x:f>HYPERLINK("https://etp-aktiv.ru/catalog/materialy/svarochnye-ehlektrody/2000546351-U117/","Открыть позицию")</x:f>
        <x:v>Открыть позицию</x:v>
      </x:c>
    </x:row>
    <x:row r="306" ht="28" customHeight="1">
      <x:c r="A306" s="16" t="str">
        <x:v>Приморская ГРЭС</x:v>
      </x:c>
      <x:c r="B306" s="16" t="str">
        <x:v>2000546361-U117</x:v>
      </x:c>
      <x:c r="C306" s="16" t="str">
        <x:v>ПРОВОЛОКА СВ08ХМФА D2ММ ГОСТ2246-70</x:v>
      </x:c>
      <x:c r="D306" s="16" t="str">
        <x:v>Сварочные электроды</x:v>
      </x:c>
      <x:c r="E306" s="16" t="str">
        <x:v>КГ</x:v>
      </x:c>
      <x:c r="F306" s="30" t="n">
        <x:v>57.671</x:v>
      </x:c>
      <x:c r="G306" s="17" t="n">
        <x:v>972.6328</x:v>
      </x:c>
      <x:c r="H306" s="17" t="n">
        <x:f>G306*F306</x:f>
        <x:v>56092.706208799995</x:v>
      </x:c>
      <x:c r="I306" s="22" t="str">
        <x:f>HYPERLINK("https://etp-aktiv.ru/catalog/materialy/svarochnye-ehlektrody/2000546361-U117/","Открыть позицию")</x:f>
        <x:v>Открыть позицию</x:v>
      </x:c>
    </x:row>
    <x:row r="307" ht="28" customHeight="1">
      <x:c r="A307" s="16" t="str">
        <x:v>Приморская ГРЭС</x:v>
      </x:c>
      <x:c r="B307" s="16" t="str">
        <x:v>2000511961-U117</x:v>
      </x:c>
      <x:c r="C307" s="16" t="str">
        <x:v>ПРОВОЛОКА СВАРОЧНАЯ 100S-G 1,2ММ</x:v>
      </x:c>
      <x:c r="D307" s="16" t="str">
        <x:v>Сварочные электроды</x:v>
      </x:c>
      <x:c r="E307" s="16" t="str">
        <x:v>КГ</x:v>
      </x:c>
      <x:c r="F307" s="21" t="n">
        <x:v>6</x:v>
      </x:c>
      <x:c r="G307" s="17" t="n">
        <x:v>400.2942</x:v>
      </x:c>
      <x:c r="H307" s="17" t="n">
        <x:f>G307*F307</x:f>
        <x:v>2401.7652</x:v>
      </x:c>
      <x:c r="I307" s="22" t="str">
        <x:f>HYPERLINK("https://etp-aktiv.ru/catalog/materialy/svarochnye-ehlektrody/2000511961-U117/","Открыть позицию")</x:f>
        <x:v>Открыть позицию</x:v>
      </x:c>
    </x:row>
    <x:row r="308" ht="28" customHeight="1">
      <x:c r="A308" s="16" t="str">
        <x:v>Приморская ГРЭС</x:v>
      </x:c>
      <x:c r="B308" s="16" t="str">
        <x:v>2000479289-U117</x:v>
      </x:c>
      <x:c r="C308" s="16" t="str">
        <x:v>ПРОВОЛОКА Х20Н80 D0,36 ГОСТ8803-89</x:v>
      </x:c>
      <x:c r="D308" s="16" t="str">
        <x:v>Металлопрокат цветной</x:v>
      </x:c>
      <x:c r="E308" s="16" t="str">
        <x:v>КГ</x:v>
      </x:c>
      <x:c r="F308" s="21" t="n">
        <x:v>5</x:v>
      </x:c>
      <x:c r="G308" s="17" t="n">
        <x:v>2649.7545999999998</x:v>
      </x:c>
      <x:c r="H308" s="17" t="n">
        <x:f>G308*F308</x:f>
        <x:v>13248.773</x:v>
      </x:c>
      <x:c r="I308" s="22" t="str">
        <x:f>HYPERLINK("https://etp-aktiv.ru/catalog/materialy/metalloprodukciya/2000479289-U117/","Открыть позицию")</x:f>
        <x:v>Открыть позицию</x:v>
      </x:c>
    </x:row>
    <x:row r="309" ht="28" customHeight="1">
      <x:c r="A309" s="16" t="str">
        <x:v>Приморская ГРЭС</x:v>
      </x:c>
      <x:c r="B309" s="16" t="str">
        <x:v>2000212150-U117</x:v>
      </x:c>
      <x:c r="C309" s="16" t="str">
        <x:v>ПРОПАН СЖИЖЕННЫЙ ЖИДКИЙ ГОСТ20448-90</x:v>
      </x:c>
      <x:c r="D309" s="16" t="str">
        <x:v>Промышленные газы</x:v>
      </x:c>
      <x:c r="E309" s="16" t="str">
        <x:v>КГ</x:v>
      </x:c>
      <x:c r="F309" s="26" t="n">
        <x:v>0.118</x:v>
      </x:c>
      <x:c r="G309" s="17" t="n">
        <x:v>77.77499999999999</x:v>
      </x:c>
      <x:c r="H309" s="17" t="n">
        <x:f>G309*F309</x:f>
        <x:v>9.177449999999999</x:v>
      </x:c>
      <x:c r="I309" s="22" t="str">
        <x:f>HYPERLINK("https://etp-aktiv.ru/catalog/materialy/himicheskaya-produkciya/2000212150-U117/","Открыть позицию")</x:f>
        <x:v>Открыть позицию</x:v>
      </x:c>
    </x:row>
    <x:row r="310" ht="28" customHeight="1">
      <x:c r="A310" s="16" t="str">
        <x:v>Приморская ГРЭС</x:v>
      </x:c>
      <x:c r="B310" s="16" t="str">
        <x:v>2000309312-U117</x:v>
      </x:c>
      <x:c r="C310" s="16" t="str">
        <x:v>ПРОПАН-БУТАН СЖИЖЕННЫЙ 21КГ/1БАЛ</x:v>
      </x:c>
      <x:c r="D310" s="16" t="str">
        <x:v>Промышленные газы</x:v>
      </x:c>
      <x:c r="E310" s="16" t="str">
        <x:v>КГ</x:v>
      </x:c>
      <x:c r="F310" s="30" t="n">
        <x:v>2.878</x:v>
      </x:c>
      <x:c r="G310" s="17" t="n">
        <x:v>175.3018</x:v>
      </x:c>
      <x:c r="H310" s="17" t="n">
        <x:f>G310*F310</x:f>
        <x:v>504.51858039999996</x:v>
      </x:c>
      <x:c r="I310" s="22" t="str">
        <x:f>HYPERLINK("https://etp-aktiv.ru/catalog/materialy/himicheskaya-produkciya/2000309312-U117/","Открыть позицию")</x:f>
        <x:v>Открыть позицию</x:v>
      </x:c>
    </x:row>
    <x:row r="311" ht="28" customHeight="1">
      <x:c r="A311" s="16" t="str">
        <x:v>Приморская ГРЭС</x:v>
      </x:c>
      <x:c r="B311" s="16" t="str">
        <x:v>2000242923-U117</x:v>
      </x:c>
      <x:c r="C311" s="16" t="str">
        <x:v>ПРУТОК БРАЖ 9-4 D110ММ ГОСТ1628-78</x:v>
      </x:c>
      <x:c r="D311" s="16" t="str">
        <x:v>Металлопрокат цветной</x:v>
      </x:c>
      <x:c r="E311" s="16" t="str">
        <x:v>КГ</x:v>
      </x:c>
      <x:c r="F311" s="21" t="n">
        <x:v>0</x:v>
      </x:c>
      <x:c r="G311" s="17" t="n">
        <x:v>757.4736</x:v>
      </x:c>
      <x:c r="H311" s="17" t="n">
        <x:f>G311*F311</x:f>
        <x:v>0</x:v>
      </x:c>
      <x:c r="I311" s="22" t="str">
        <x:f>HYPERLINK("https://etp-aktiv.ru/catalog/materialy/metalloprodukciya/2000242923-U117/","Открыть позицию")</x:f>
        <x:v>Открыть позицию</x:v>
      </x:c>
    </x:row>
    <x:row r="312" ht="28" customHeight="1">
      <x:c r="A312" s="16" t="str">
        <x:v>Приморская ГРЭС</x:v>
      </x:c>
      <x:c r="B312" s="16" t="str">
        <x:v>2000263847-U117</x:v>
      </x:c>
      <x:c r="C312" s="16" t="str">
        <x:v>ПРУТОК БРАЖ 9-4 D160 ГОСТ1628-78</x:v>
      </x:c>
      <x:c r="D312" s="16" t="str">
        <x:v>Металлопрокат цветной</x:v>
      </x:c>
      <x:c r="E312" s="16" t="str">
        <x:v>КГ</x:v>
      </x:c>
      <x:c r="F312" s="21" t="n">
        <x:v>0</x:v>
      </x:c>
      <x:c r="G312" s="17" t="n">
        <x:v>655.0179999999999</x:v>
      </x:c>
      <x:c r="H312" s="17" t="n">
        <x:f>G312*F312</x:f>
        <x:v>0</x:v>
      </x:c>
      <x:c r="I312" s="22" t="str">
        <x:f>HYPERLINK("https://etp-aktiv.ru/catalog/materialy/metalloprodukciya/2000263847-U117/","Открыть позицию")</x:f>
        <x:v>Открыть позицию</x:v>
      </x:c>
    </x:row>
    <x:row r="313" ht="28" customHeight="1">
      <x:c r="A313" s="16" t="str">
        <x:v>Приморская ГРЭС</x:v>
      </x:c>
      <x:c r="B313" s="16" t="str">
        <x:v>2000078481-U117</x:v>
      </x:c>
      <x:c r="C313" s="16" t="str">
        <x:v>ПРУТОК БРАЖ 9-4 D90ММ ГОСТ1628-78</x:v>
      </x:c>
      <x:c r="D313" s="16" t="str">
        <x:v>Металлопрокат цветной</x:v>
      </x:c>
      <x:c r="E313" s="16" t="str">
        <x:v>КГ</x:v>
      </x:c>
      <x:c r="F313" s="21" t="n">
        <x:v>0</x:v>
      </x:c>
      <x:c r="G313" s="17" t="n">
        <x:v>762.1828</x:v>
      </x:c>
      <x:c r="H313" s="17" t="n">
        <x:f>G313*F313</x:f>
        <x:v>0</x:v>
      </x:c>
      <x:c r="I313" s="22" t="str">
        <x:f>HYPERLINK("https://etp-aktiv.ru/catalog/materialy/metalloprodukciya/2000078481-U117/","Открыть позицию")</x:f>
        <x:v>Открыть позицию</x:v>
      </x:c>
    </x:row>
    <x:row r="314" ht="28" customHeight="1">
      <x:c r="A314" s="16" t="str">
        <x:v>Приморская ГРЭС</x:v>
      </x:c>
      <x:c r="B314" s="16" t="str">
        <x:v>2000067889-U117</x:v>
      </x:c>
      <x:c r="C314" s="16" t="str">
        <x:v>ПРУТОК БРАЖ9-4 D100ММ ГОСТ1628-78</x:v>
      </x:c>
      <x:c r="D314" s="16" t="str">
        <x:v>Металлопрокат цветной</x:v>
      </x:c>
      <x:c r="E314" s="16" t="str">
        <x:v>КГ</x:v>
      </x:c>
      <x:c r="F314" s="21" t="n">
        <x:v>0</x:v>
      </x:c>
      <x:c r="G314" s="17" t="n">
        <x:v>792.6218</x:v>
      </x:c>
      <x:c r="H314" s="17" t="n">
        <x:f>G314*F314</x:f>
        <x:v>0</x:v>
      </x:c>
      <x:c r="I314" s="22" t="str">
        <x:f>HYPERLINK("https://etp-aktiv.ru/catalog/materialy/metalloprodukciya/2000067889-U117/","Открыть позицию")</x:f>
        <x:v>Открыть позицию</x:v>
      </x:c>
    </x:row>
    <x:row r="315" ht="28" customHeight="1">
      <x:c r="A315" s="16" t="str">
        <x:v>Приморская ГРЭС</x:v>
      </x:c>
      <x:c r="B315" s="16" t="str">
        <x:v>2000556344-U117</x:v>
      </x:c>
      <x:c r="C315" s="16" t="str">
        <x:v>ПРУТОК БРАЖ9-4 МП 80*2000 ГОСТ1628-78</x:v>
      </x:c>
      <x:c r="D315" s="16" t="str">
        <x:v>Металлопрокат цветной</x:v>
      </x:c>
      <x:c r="E315" s="16" t="str">
        <x:v>КГ</x:v>
      </x:c>
      <x:c r="F315" s="21" t="n">
        <x:v>0</x:v>
      </x:c>
      <x:c r="G315" s="17" t="n">
        <x:v>632.6798</x:v>
      </x:c>
      <x:c r="H315" s="17" t="n">
        <x:f>G315*F315</x:f>
        <x:v>0</x:v>
      </x:c>
      <x:c r="I315" s="22" t="str">
        <x:f>HYPERLINK("https://etp-aktiv.ru/catalog/materialy/metalloprodukciya/2000556344-U117/","Открыть позицию")</x:f>
        <x:v>Открыть позицию</x:v>
      </x:c>
    </x:row>
    <x:row r="316" ht="28" customHeight="1">
      <x:c r="A316" s="16" t="str">
        <x:v>Приморская ГРЭС</x:v>
      </x:c>
      <x:c r="B316" s="16" t="str">
        <x:v>2000751625-U117</x:v>
      </x:c>
      <x:c r="C316" s="16" t="str">
        <x:v>ПРУТОК БРАЖМЦ-10-3-1,5 D90ММ ГОСТ1628-78</x:v>
      </x:c>
      <x:c r="D316" s="16" t="str">
        <x:v>Металлопрокат цветной</x:v>
      </x:c>
      <x:c r="E316" s="16" t="str">
        <x:v>КГ</x:v>
      </x:c>
      <x:c r="F316" s="21" t="n">
        <x:v>0</x:v>
      </x:c>
      <x:c r="G316" s="17" t="n">
        <x:v>793.2073999999999</x:v>
      </x:c>
      <x:c r="H316" s="17" t="n">
        <x:f>G316*F316</x:f>
        <x:v>0</x:v>
      </x:c>
      <x:c r="I316" s="22" t="str">
        <x:f>HYPERLINK("https://etp-aktiv.ru/catalog/materialy/metalloprodukciya/2000751625-U117/","Открыть позицию")</x:f>
        <x:v>Открыть позицию</x:v>
      </x:c>
    </x:row>
    <x:row r="317" ht="28" customHeight="1">
      <x:c r="A317" s="16" t="str">
        <x:v>Приморская ГРЭС</x:v>
      </x:c>
      <x:c r="B317" s="16" t="str">
        <x:v>2000556359-U117</x:v>
      </x:c>
      <x:c r="C317" s="16" t="str">
        <x:v>ПРУТОК БРАЖМЦ10-3-1,5 D100ММ ГОСТ1628-78</x:v>
      </x:c>
      <x:c r="D317" s="16" t="str">
        <x:v>Металлопрокат цветной</x:v>
      </x:c>
      <x:c r="E317" s="16" t="str">
        <x:v>КГ</x:v>
      </x:c>
      <x:c r="F317" s="30" t="n">
        <x:v>29.2</x:v>
      </x:c>
      <x:c r="G317" s="17" t="n">
        <x:v>841.8</x:v>
      </x:c>
      <x:c r="H317" s="17" t="n">
        <x:f>G317*F317</x:f>
        <x:v>24580.559999999998</x:v>
      </x:c>
      <x:c r="I317" s="22" t="str">
        <x:f>HYPERLINK("https://etp-aktiv.ru/catalog/materialy/metalloprodukciya/2000556359-U117/","Открыть позицию")</x:f>
        <x:v>Открыть позицию</x:v>
      </x:c>
    </x:row>
    <x:row r="318" ht="28" customHeight="1">
      <x:c r="A318" s="16" t="str">
        <x:v>Приморская ГРЭС</x:v>
      </x:c>
      <x:c r="B318" s="16" t="str">
        <x:v>2000170722-U117</x:v>
      </x:c>
      <x:c r="C318" s="16" t="str">
        <x:v>ПРУТОК Л63 D20ММ ГОСТ2060-2006</x:v>
      </x:c>
      <x:c r="D318" s="16" t="str">
        <x:v>Металлопрокат цветной</x:v>
      </x:c>
      <x:c r="E318" s="16" t="str">
        <x:v>КГ</x:v>
      </x:c>
      <x:c r="F318" s="30" t="n">
        <x:v>15.9</x:v>
      </x:c>
      <x:c r="G318" s="17" t="n">
        <x:v>610</x:v>
      </x:c>
      <x:c r="H318" s="17" t="n">
        <x:f>G318*F318</x:f>
        <x:v>9699</x:v>
      </x:c>
      <x:c r="I318" s="22" t="str">
        <x:f>HYPERLINK("https://etp-aktiv.ru/catalog/materialy/metalloprodukciya/2000170722-U117/","Открыть позицию")</x:f>
        <x:v>Открыть позицию</x:v>
      </x:c>
    </x:row>
    <x:row r="319" ht="28" customHeight="1">
      <x:c r="A319" s="16" t="str">
        <x:v>Приморская ГРЭС</x:v>
      </x:c>
      <x:c r="B319" s="16" t="str">
        <x:v>2000169832-U117</x:v>
      </x:c>
      <x:c r="C319" s="16" t="str">
        <x:v>ПРУТОК Л63 D40ММ ГОСТ2060-06</x:v>
      </x:c>
      <x:c r="D319" s="16" t="str">
        <x:v>Металлопрокат цветной</x:v>
      </x:c>
      <x:c r="E319" s="16" t="str">
        <x:v>КГ</x:v>
      </x:c>
      <x:c r="F319" s="30" t="n">
        <x:v>10.2</x:v>
      </x:c>
      <x:c r="G319" s="17" t="n">
        <x:v>683.505</x:v>
      </x:c>
      <x:c r="H319" s="17" t="n">
        <x:f>G319*F319</x:f>
        <x:v>6971.750999999999</x:v>
      </x:c>
      <x:c r="I319" s="22" t="str">
        <x:f>HYPERLINK("https://etp-aktiv.ru/catalog/materialy/metalloprodukciya/2000169832-U117/","Открыть позицию")</x:f>
        <x:v>Открыть позицию</x:v>
      </x:c>
    </x:row>
    <x:row r="320" ht="28" customHeight="1">
      <x:c r="A320" s="16" t="str">
        <x:v>Приморская ГРЭС</x:v>
      </x:c>
      <x:c r="B320" s="16" t="str">
        <x:v>2000079451-U117</x:v>
      </x:c>
      <x:c r="C320" s="16" t="str">
        <x:v>ПРУТОК ЛАТУННЫЙ D70ММ ГОСТ2060-90</x:v>
      </x:c>
      <x:c r="D320" s="16" t="str">
        <x:v>Металлопрокат цветной</x:v>
      </x:c>
      <x:c r="E320" s="16" t="str">
        <x:v>Т</x:v>
      </x:c>
      <x:c r="F320" s="26" t="n">
        <x:v>0.094</x:v>
      </x:c>
      <x:c r="G320" s="17" t="n">
        <x:v>1085800</x:v>
      </x:c>
      <x:c r="H320" s="17" t="n">
        <x:f>G320*F320</x:f>
        <x:v>102065.2</x:v>
      </x:c>
      <x:c r="I320" s="22" t="str">
        <x:f>HYPERLINK("https://etp-aktiv.ru/catalog/materialy/metalloprodukciya/2000079451-U117/","Открыть позицию")</x:f>
        <x:v>Открыть позицию</x:v>
      </x:c>
    </x:row>
    <x:row r="321" ht="28" customHeight="1">
      <x:c r="A321" s="16" t="str">
        <x:v>Приморская ГРЭС</x:v>
      </x:c>
      <x:c r="B321" s="16" t="str">
        <x:v>2000067879-U117</x:v>
      </x:c>
      <x:c r="C321" s="16" t="str">
        <x:v>ПРУТОК М1 D20ММ ГОСТ1535-91</x:v>
      </x:c>
      <x:c r="D321" s="16" t="str">
        <x:v>Металлопрокат цветной</x:v>
      </x:c>
      <x:c r="E321" s="16" t="str">
        <x:v>КГ</x:v>
      </x:c>
      <x:c r="F321" s="30" t="n">
        <x:v>14.7</x:v>
      </x:c>
      <x:c r="G321" s="17" t="n">
        <x:v>951.6</x:v>
      </x:c>
      <x:c r="H321" s="17" t="n">
        <x:f>G321*F321</x:f>
        <x:v>13988.52</x:v>
      </x:c>
      <x:c r="I321" s="22" t="str">
        <x:f>HYPERLINK("https://etp-aktiv.ru/catalog/materialy/metalloprodukciya/2000067879-U117/","Открыть позицию")</x:f>
        <x:v>Открыть позицию</x:v>
      </x:c>
    </x:row>
    <x:row r="322" ht="28" customHeight="1">
      <x:c r="A322" s="16" t="str">
        <x:v>Приморская ГРЭС</x:v>
      </x:c>
      <x:c r="B322" s="16" t="str">
        <x:v>2000197597-U117</x:v>
      </x:c>
      <x:c r="C322" s="16" t="str">
        <x:v>ПУДРА АЛЮМИНИЕВАЯ ПАП-2 ГОСТ5494-95</x:v>
      </x:c>
      <x:c r="D322" s="16" t="str">
        <x:v>Металлопрокат цветной</x:v>
      </x:c>
      <x:c r="E322" s="16" t="str">
        <x:v>КГ</x:v>
      </x:c>
      <x:c r="F322" s="30" t="n">
        <x:v>46.11</x:v>
      </x:c>
      <x:c r="G322" s="17" t="n">
        <x:v>646.234</x:v>
      </x:c>
      <x:c r="H322" s="17" t="n">
        <x:f>G322*F322</x:f>
        <x:v>29797.84974</x:v>
      </x:c>
      <x:c r="I322" s="22" t="str">
        <x:f>HYPERLINK("https://etp-aktiv.ru/catalog/materialy/metalloprodukciya/2000197597-U117/","Открыть позицию")</x:f>
        <x:v>Открыть позицию</x:v>
      </x:c>
    </x:row>
    <x:row r="323" ht="28" customHeight="1">
      <x:c r="A323" s="16" t="str">
        <x:v>Приморская ГРЭС</x:v>
      </x:c>
      <x:c r="B323" s="16" t="str">
        <x:v>2000725315-U117</x:v>
      </x:c>
      <x:c r="C323" s="16" t="str">
        <x:v>РАЗЪЕМ(35-50)+ISQ0030 00000087401 СВАРОГ</x:v>
      </x:c>
      <x:c r="D323" s="16" t="str">
        <x:v>Комплектующие и запасные части к сварочному оборудованию</x:v>
      </x:c>
      <x:c r="E323" s="16" t="str">
        <x:v>ШТ</x:v>
      </x:c>
      <x:c r="F323" s="21" t="n">
        <x:v>15</x:v>
      </x:c>
      <x:c r="G323" s="17" t="n">
        <x:v>1080.3709999999999</x:v>
      </x:c>
      <x:c r="H323" s="17" t="n">
        <x:f>G323*F323</x:f>
        <x:v>16205.564999999999</x:v>
      </x:c>
      <x:c r="I323" s="22" t="str">
        <x:f>HYPERLINK("https://etp-aktiv.ru/catalog/materialy/zapasnye-chasti-promyshlennogo-oborudovaniya/2000725315-U117/","Открыть позицию")</x:f>
        <x:v>Открыть позицию</x:v>
      </x:c>
    </x:row>
    <x:row r="324" ht="28" customHeight="1">
      <x:c r="A324" s="16" t="str">
        <x:v>Приморская ГРЭС</x:v>
      </x:c>
      <x:c r="B324" s="16" t="str">
        <x:v>2000725309-U117</x:v>
      </x:c>
      <x:c r="C324" s="16" t="str">
        <x:v>РЕМКМП СОПЛО+ГОЛОВКА N1 07502 РЗП-02М</x:v>
      </x:c>
      <x:c r="D324" s="16" t="str">
        <x:v>Комплектующие и запасные части к сварочному оборудованию</x:v>
      </x:c>
      <x:c r="E324" s="16" t="str">
        <x:v>ШТ</x:v>
      </x:c>
      <x:c r="F324" s="21" t="n">
        <x:v>3</x:v>
      </x:c>
      <x:c r="G324" s="17" t="n">
        <x:v>610</x:v>
      </x:c>
      <x:c r="H324" s="17" t="n">
        <x:f>G324*F324</x:f>
        <x:v>1830</x:v>
      </x:c>
      <x:c r="I324" s="22" t="str">
        <x:f>HYPERLINK("https://etp-aktiv.ru/catalog/materialy/zapasnye-chasti-promyshlennogo-oborudovaniya/2000725309-U117/","Открыть позицию")</x:f>
        <x:v>Открыть позицию</x:v>
      </x:c>
    </x:row>
    <x:row r="325" ht="28" customHeight="1">
      <x:c r="A325" s="16" t="str">
        <x:v>Приморская ГРЭС</x:v>
      </x:c>
      <x:c r="B325" s="16" t="str">
        <x:v>2000556003-U117</x:v>
      </x:c>
      <x:c r="C325" s="16" t="str">
        <x:v>РУЛОН СТ08 ОЦ 0,7*1250 ГОСТ14918-80</x:v>
      </x:c>
      <x:c r="D325" s="16" t="str">
        <x:v>Металлопрокат прочий</x:v>
      </x:c>
      <x:c r="E325" s="16" t="str">
        <x:v>Т</x:v>
      </x:c>
      <x:c r="F325" s="30" t="n">
        <x:v>10.01</x:v>
      </x:c>
      <x:c r="G325" s="17" t="n">
        <x:v>93796.65</x:v>
      </x:c>
      <x:c r="H325" s="17" t="n">
        <x:f>G325*F325</x:f>
        <x:v>938904.4664999999</x:v>
      </x:c>
      <x:c r="I325" s="22" t="str">
        <x:f>HYPERLINK("https://etp-aktiv.ru/catalog/materialy/metalloprodukciya/2000556003-U117/","Открыть позицию")</x:f>
        <x:v>Открыть позицию</x:v>
      </x:c>
    </x:row>
    <x:row r="326" ht="28" customHeight="1">
      <x:c r="A326" s="16" t="str">
        <x:v>Приморская ГРЭС</x:v>
      </x:c>
      <x:c r="B326" s="16" t="str">
        <x:v>2000649745-U117</x:v>
      </x:c>
      <x:c r="C326" s="16" t="str">
        <x:v>РЫМ-БОЛТ М27 8.8 ОЦИНК DIN580</x:v>
      </x:c>
      <x:c r="D326" s="16" t="str">
        <x:v>Метизы специализированные и под заказ</x:v>
      </x:c>
      <x:c r="E326" s="16" t="str">
        <x:v>ШТ</x:v>
      </x:c>
      <x:c r="F326" s="21" t="n">
        <x:v>8</x:v>
      </x:c>
      <x:c r="G326" s="17" t="n">
        <x:v>1876.5186</x:v>
      </x:c>
      <x:c r="H326" s="17" t="n">
        <x:f>G326*F326</x:f>
        <x:v>15012.1488</x:v>
      </x:c>
      <x:c r="I326" s="22" t="str">
        <x:f>HYPERLINK("https://etp-aktiv.ru/catalog/materialy/metizy/2000649745-U117/","Открыть позицию")</x:f>
        <x:v>Открыть позицию</x:v>
      </x:c>
    </x:row>
    <x:row r="327" ht="28" customHeight="1">
      <x:c r="A327" s="16" t="str">
        <x:v>Приморская ГРЭС</x:v>
      </x:c>
      <x:c r="B327" s="16" t="str">
        <x:v>2000724793-U117</x:v>
      </x:c>
      <x:c r="C327" s="16" t="str">
        <x:v>САМОРЕЗ 3,5*11 ПО МЕТ ТУ BY400024166.013</x:v>
      </x:c>
      <x:c r="D327" s="16" t="str">
        <x:v>Метизы</x:v>
      </x:c>
      <x:c r="E327" s="16" t="str">
        <x:v>КГ</x:v>
      </x:c>
      <x:c r="F327" s="30" t="n">
        <x:v>49.45</x:v>
      </x:c>
      <x:c r="G327" s="17" t="n">
        <x:v>230.0066</x:v>
      </x:c>
      <x:c r="H327" s="17" t="n">
        <x:f>G327*F327</x:f>
        <x:v>11373.82637</x:v>
      </x:c>
      <x:c r="I327" s="22" t="str">
        <x:f>HYPERLINK("https://etp-aktiv.ru/catalog/materialy/metizy/2000724793-U117/","Открыть позицию")</x:f>
        <x:v>Открыть позицию</x:v>
      </x:c>
    </x:row>
    <x:row r="328" ht="28" customHeight="1">
      <x:c r="A328" s="16" t="str">
        <x:v>Приморская ГРЭС</x:v>
      </x:c>
      <x:c r="B328" s="16" t="str">
        <x:v>2000330649-U117</x:v>
      </x:c>
      <x:c r="C328" s="16" t="str">
        <x:v>САМОРЕЗ 3,5*11 ПО МЕТАЛЛУ ГОСТ11652-80</x:v>
      </x:c>
      <x:c r="D328" s="16" t="str">
        <x:v>Метизы</x:v>
      </x:c>
      <x:c r="E328" s="16" t="str">
        <x:v>КГ</x:v>
      </x:c>
      <x:c r="F328" s="30" t="n">
        <x:v>71.54</x:v>
      </x:c>
      <x:c r="G328" s="17" t="n">
        <x:v>319.83520000000004</x:v>
      </x:c>
      <x:c r="H328" s="17" t="n">
        <x:f>G328*F328</x:f>
        <x:v>22881.010208000003</x:v>
      </x:c>
      <x:c r="I328" s="22" t="str">
        <x:f>HYPERLINK("https://etp-aktiv.ru/catalog/materialy/metizy/2000330649-U117/","Открыть позицию")</x:f>
        <x:v>Открыть позицию</x:v>
      </x:c>
    </x:row>
    <x:row r="329" ht="28" customHeight="1">
      <x:c r="A329" s="16" t="str">
        <x:v>Приморская ГРЭС</x:v>
      </x:c>
      <x:c r="B329" s="16" t="str">
        <x:v>2000445080-U117</x:v>
      </x:c>
      <x:c r="C329" s="16" t="str">
        <x:v>САМОРЕЗ 3,5*15 ПО МЕТАЛЛУ DIN7983</x:v>
      </x:c>
      <x:c r="D329" s="16" t="str">
        <x:v>Метизы</x:v>
      </x:c>
      <x:c r="E329" s="16" t="str">
        <x:v>КГ</x:v>
      </x:c>
      <x:c r="F329" s="26" t="n">
        <x:v>0.57</x:v>
      </x:c>
      <x:c r="G329" s="17" t="n">
        <x:v>401.31899999999996</x:v>
      </x:c>
      <x:c r="H329" s="17" t="n">
        <x:f>G329*F329</x:f>
        <x:v>228.75182999999996</x:v>
      </x:c>
      <x:c r="I329" s="22" t="str">
        <x:f>HYPERLINK("https://etp-aktiv.ru/catalog/materialy/metizy/2000445080-U117/","Открыть позицию")</x:f>
        <x:v>Открыть позицию</x:v>
      </x:c>
    </x:row>
    <x:row r="330" ht="28" customHeight="1">
      <x:c r="A330" s="16" t="str">
        <x:v>Приморская ГРЭС</x:v>
      </x:c>
      <x:c r="B330" s="16" t="str">
        <x:v>2000304408-U117</x:v>
      </x:c>
      <x:c r="C330" s="16" t="str">
        <x:v>САМОРЕЗ 3,5*25 ПО МЕТАЛЛУ ГОСТ1145-80</x:v>
      </x:c>
      <x:c r="D330" s="16" t="str">
        <x:v>Метизы</x:v>
      </x:c>
      <x:c r="E330" s="16" t="str">
        <x:v>ШТ</x:v>
      </x:c>
      <x:c r="F330" s="21" t="n">
        <x:v>50</x:v>
      </x:c>
      <x:c r="G330" s="17" t="n">
        <x:v>0.8784</x:v>
      </x:c>
      <x:c r="H330" s="17" t="n">
        <x:f>G330*F330</x:f>
        <x:v>43.919999999999995</x:v>
      </x:c>
      <x:c r="I330" s="22" t="str">
        <x:f>HYPERLINK("https://etp-aktiv.ru/catalog/materialy/metizy/2000304408-U117/","Открыть позицию")</x:f>
        <x:v>Открыть позицию</x:v>
      </x:c>
    </x:row>
    <x:row r="331" ht="28" customHeight="1">
      <x:c r="A331" s="16" t="str">
        <x:v>Приморская ГРЭС</x:v>
      </x:c>
      <x:c r="B331" s="16" t="str">
        <x:v>2000276121-U117</x:v>
      </x:c>
      <x:c r="C331" s="16" t="str">
        <x:v>САМОРЕЗ 3,5*32 ПО МЕТАЛЛУ ГОСТ11652-80</x:v>
      </x:c>
      <x:c r="D331" s="16" t="str">
        <x:v>Метизы</x:v>
      </x:c>
      <x:c r="E331" s="16" t="str">
        <x:v>КГ</x:v>
      </x:c>
      <x:c r="F331" s="30" t="n">
        <x:v>7.5</x:v>
      </x:c>
      <x:c r="G331" s="17" t="n">
        <x:v>339.0502</x:v>
      </x:c>
      <x:c r="H331" s="17" t="n">
        <x:f>G331*F331</x:f>
        <x:v>2542.8765000000003</x:v>
      </x:c>
      <x:c r="I331" s="22" t="str">
        <x:f>HYPERLINK("https://etp-aktiv.ru/catalog/materialy/metizy/2000276121-U117/","Открыть позицию")</x:f>
        <x:v>Открыть позицию</x:v>
      </x:c>
    </x:row>
    <x:row r="332" ht="28" customHeight="1">
      <x:c r="A332" s="16" t="str">
        <x:v>Приморская ГРЭС</x:v>
      </x:c>
      <x:c r="B332" s="16" t="str">
        <x:v>2000276123-U117</x:v>
      </x:c>
      <x:c r="C332" s="16" t="str">
        <x:v>САМОРЕЗ 3,5*41 ПО МЕТАЛЛУ ГОСТ11652-80</x:v>
      </x:c>
      <x:c r="D332" s="16" t="str">
        <x:v>Метизы</x:v>
      </x:c>
      <x:c r="E332" s="16" t="str">
        <x:v>КГ</x:v>
      </x:c>
      <x:c r="F332" s="30" t="n">
        <x:v>4.87</x:v>
      </x:c>
      <x:c r="G332" s="17" t="n">
        <x:v>253.2232</x:v>
      </x:c>
      <x:c r="H332" s="17" t="n">
        <x:f>G332*F332</x:f>
        <x:v>1233.196984</x:v>
      </x:c>
      <x:c r="I332" s="22" t="str">
        <x:f>HYPERLINK("https://etp-aktiv.ru/catalog/materialy/metizy/2000276123-U117/","Открыть позицию")</x:f>
        <x:v>Открыть позицию</x:v>
      </x:c>
    </x:row>
    <x:row r="333" ht="28" customHeight="1">
      <x:c r="A333" s="16" t="str">
        <x:v>Приморская ГРЭС</x:v>
      </x:c>
      <x:c r="B333" s="16" t="str">
        <x:v>2000276122-U117</x:v>
      </x:c>
      <x:c r="C333" s="16" t="str">
        <x:v>САМОРЕЗ 3,5*51 ПО МЕТАЛЛУ ГОСТ11652-80</x:v>
      </x:c>
      <x:c r="D333" s="16" t="str">
        <x:v>Метизы</x:v>
      </x:c>
      <x:c r="E333" s="16" t="str">
        <x:v>КГ</x:v>
      </x:c>
      <x:c r="F333" s="30" t="n">
        <x:v>6.87</x:v>
      </x:c>
      <x:c r="G333" s="17" t="n">
        <x:v>302.1574</x:v>
      </x:c>
      <x:c r="H333" s="17" t="n">
        <x:f>G333*F333</x:f>
        <x:v>2075.821338</x:v>
      </x:c>
      <x:c r="I333" s="22" t="str">
        <x:f>HYPERLINK("https://etp-aktiv.ru/catalog/materialy/metizy/2000276122-U117/","Открыть позицию")</x:f>
        <x:v>Открыть позицию</x:v>
      </x:c>
    </x:row>
    <x:row r="334" ht="28" customHeight="1">
      <x:c r="A334" s="16" t="str">
        <x:v>Приморская ГРЭС</x:v>
      </x:c>
      <x:c r="B334" s="16" t="str">
        <x:v>2000267255-U117</x:v>
      </x:c>
      <x:c r="C334" s="16" t="str">
        <x:v>САМОРЕЗ 3,8*25 ШСГД ГОСТ11473-75</x:v>
      </x:c>
      <x:c r="D334" s="16" t="str">
        <x:v>Метизы</x:v>
      </x:c>
      <x:c r="E334" s="16" t="str">
        <x:v>ШТ</x:v>
      </x:c>
      <x:c r="F334" s="21" t="n">
        <x:v>100</x:v>
      </x:c>
      <x:c r="G334" s="17" t="n">
        <x:v>2.4034</x:v>
      </x:c>
      <x:c r="H334" s="17" t="n">
        <x:f>G334*F334</x:f>
        <x:v>240.34</x:v>
      </x:c>
      <x:c r="I334" s="22" t="str">
        <x:f>HYPERLINK("https://etp-aktiv.ru/catalog/materialy/metizy/2000267255-U117/","Открыть позицию")</x:f>
        <x:v>Открыть позицию</x:v>
      </x:c>
    </x:row>
    <x:row r="335" ht="28" customHeight="1">
      <x:c r="A335" s="16" t="str">
        <x:v>Приморская ГРЭС</x:v>
      </x:c>
      <x:c r="B335" s="16" t="str">
        <x:v>2000269558-U117</x:v>
      </x:c>
      <x:c r="C335" s="16" t="str">
        <x:v>САМОРЕЗ 3,8*45 ШСГМ ГОСТ11473-75</x:v>
      </x:c>
      <x:c r="D335" s="16" t="str">
        <x:v>Метизы</x:v>
      </x:c>
      <x:c r="E335" s="16" t="str">
        <x:v>ШТ</x:v>
      </x:c>
      <x:c r="F335" s="21" t="n">
        <x:v>3</x:v>
      </x:c>
      <x:c r="G335" s="17" t="n">
        <x:v>0.2806</x:v>
      </x:c>
      <x:c r="H335" s="17" t="n">
        <x:f>G335*F335</x:f>
        <x:v>0.8418000000000001</x:v>
      </x:c>
      <x:c r="I335" s="22" t="str">
        <x:f>HYPERLINK("https://etp-aktiv.ru/catalog/materialy/metizy/2000269558-U117/","Открыть позицию")</x:f>
        <x:v>Открыть позицию</x:v>
      </x:c>
    </x:row>
    <x:row r="336" ht="28" customHeight="1">
      <x:c r="A336" s="16" t="str">
        <x:v>Приморская ГРЭС</x:v>
      </x:c>
      <x:c r="B336" s="16" t="str">
        <x:v>2000277539-U117</x:v>
      </x:c>
      <x:c r="C336" s="16" t="str">
        <x:v>САМОРЕЗ 4,2*19 ПО МЕТАЛЛУ ГОСТ11652-80</x:v>
      </x:c>
      <x:c r="D336" s="16" t="str">
        <x:v>Метизы</x:v>
      </x:c>
      <x:c r="E336" s="16" t="str">
        <x:v>ШТ</x:v>
      </x:c>
      <x:c r="F336" s="30" t="n">
        <x:v>1494.9</x:v>
      </x:c>
      <x:c r="G336" s="17" t="n">
        <x:v>1.9642000000000002</x:v>
      </x:c>
      <x:c r="H336" s="17" t="n">
        <x:f>G336*F336</x:f>
        <x:v>2936.2825800000005</x:v>
      </x:c>
      <x:c r="I336" s="22" t="str">
        <x:f>HYPERLINK("https://etp-aktiv.ru/catalog/materialy/metizy/2000277539-U117/","Открыть позицию")</x:f>
        <x:v>Открыть позицию</x:v>
      </x:c>
    </x:row>
    <x:row r="337" ht="28" customHeight="1">
      <x:c r="A337" s="16" t="str">
        <x:v>Приморская ГРЭС</x:v>
      </x:c>
      <x:c r="B337" s="16" t="str">
        <x:v>2000376086-U117</x:v>
      </x:c>
      <x:c r="C337" s="16" t="str">
        <x:v>САМОРЕЗ 4,2*70 ПО МЕТАЛЛУ ГОСТ10621-80</x:v>
      </x:c>
      <x:c r="D337" s="16" t="str">
        <x:v>Метизы</x:v>
      </x:c>
      <x:c r="E337" s="16" t="str">
        <x:v>КГ</x:v>
      </x:c>
      <x:c r="F337" s="30" t="n">
        <x:v>4.3</x:v>
      </x:c>
      <x:c r="G337" s="17" t="n">
        <x:v>398.06159999999994</x:v>
      </x:c>
      <x:c r="H337" s="17" t="n">
        <x:f>G337*F337</x:f>
        <x:v>1711.6648799999996</x:v>
      </x:c>
      <x:c r="I337" s="22" t="str">
        <x:f>HYPERLINK("https://etp-aktiv.ru/catalog/materialy/metizy/2000376086-U117/","Открыть позицию")</x:f>
        <x:v>Открыть позицию</x:v>
      </x:c>
    </x:row>
    <x:row r="338" ht="28" customHeight="1">
      <x:c r="A338" s="16" t="str">
        <x:v>Приморская ГРЭС</x:v>
      </x:c>
      <x:c r="B338" s="16" t="str">
        <x:v>2000282784-U117</x:v>
      </x:c>
      <x:c r="C338" s="16" t="str">
        <x:v>САМОРЕЗ 4,5*70 ПО ДЕРЕВУ DIN982</x:v>
      </x:c>
      <x:c r="D338" s="16" t="str">
        <x:v>Метизы специализированные и под заказ</x:v>
      </x:c>
      <x:c r="E338" s="16" t="str">
        <x:v>УПК</x:v>
      </x:c>
      <x:c r="F338" s="21" t="n">
        <x:v>1</x:v>
      </x:c>
      <x:c r="G338" s="17" t="n">
        <x:v>192.2964</x:v>
      </x:c>
      <x:c r="H338" s="17" t="n">
        <x:f>G338*F338</x:f>
        <x:v>192.2964</x:v>
      </x:c>
      <x:c r="I338" s="22" t="str">
        <x:f>HYPERLINK("https://etp-aktiv.ru/catalog/materialy/metizy/2000282784-U117/","Открыть позицию")</x:f>
        <x:v>Открыть позицию</x:v>
      </x:c>
    </x:row>
    <x:row r="339" ht="28" customHeight="1">
      <x:c r="A339" s="16" t="str">
        <x:v>Приморская ГРЭС</x:v>
      </x:c>
      <x:c r="B339" s="16" t="str">
        <x:v>2000337466-U117</x:v>
      </x:c>
      <x:c r="C339" s="16" t="str">
        <x:v>САМОРЕЗ 6,3*25 КРОВЕЛЬНЫЙ DIN7504K</x:v>
      </x:c>
      <x:c r="D339" s="16" t="str">
        <x:v>Метизы</x:v>
      </x:c>
      <x:c r="E339" s="16" t="str">
        <x:v>КГ</x:v>
      </x:c>
      <x:c r="F339" s="30" t="n">
        <x:v>33.678</x:v>
      </x:c>
      <x:c r="G339" s="17" t="n">
        <x:v>404.2226</x:v>
      </x:c>
      <x:c r="H339" s="17" t="n">
        <x:f>G339*F339</x:f>
        <x:v>13613.408722799999</x:v>
      </x:c>
      <x:c r="I339" s="22" t="str">
        <x:f>HYPERLINK("https://etp-aktiv.ru/catalog/materialy/metizy/2000337466-U117/","Открыть позицию")</x:f>
        <x:v>Открыть позицию</x:v>
      </x:c>
    </x:row>
    <x:row r="340" ht="28" customHeight="1">
      <x:c r="A340" s="16" t="str">
        <x:v>Приморская ГРЭС</x:v>
      </x:c>
      <x:c r="B340" s="16" t="str">
        <x:v>2000528374-U117</x:v>
      </x:c>
      <x:c r="C340" s="16" t="str">
        <x:v>САМОРЕЗ С ПРЕСС-ШАЙБОЙ 4,2*32 500ШТ</x:v>
      </x:c>
      <x:c r="D340" s="16" t="str">
        <x:v>Метизы</x:v>
      </x:c>
      <x:c r="E340" s="16" t="str">
        <x:v>УПК</x:v>
      </x:c>
      <x:c r="F340" s="21" t="n">
        <x:v>98</x:v>
      </x:c>
      <x:c r="G340" s="17" t="n">
        <x:v>216.7086</x:v>
      </x:c>
      <x:c r="H340" s="17" t="n">
        <x:f>G340*F340</x:f>
        <x:v>21237.4428</x:v>
      </x:c>
      <x:c r="I340" s="22" t="str">
        <x:f>HYPERLINK("https://etp-aktiv.ru/catalog/materialy/metizy/2000528374-U117/","Открыть позицию")</x:f>
        <x:v>Открыть позицию</x:v>
      </x:c>
    </x:row>
    <x:row r="341" ht="28" customHeight="1">
      <x:c r="A341" s="16" t="str">
        <x:v>Приморская ГРЭС</x:v>
      </x:c>
      <x:c r="B341" s="16" t="str">
        <x:v>2000142343-U117</x:v>
      </x:c>
      <x:c r="C341" s="16" t="str">
        <x:v>САМОРЕЗ С ШАЙБОЙ 4,2*14 ЦИН ГОСТ10621-80</x:v>
      </x:c>
      <x:c r="D341" s="16" t="str">
        <x:v>Метизы</x:v>
      </x:c>
      <x:c r="E341" s="16" t="str">
        <x:v>ШТ</x:v>
      </x:c>
      <x:c r="F341" s="21" t="n">
        <x:v>1245</x:v>
      </x:c>
      <x:c r="G341" s="17" t="n">
        <x:v>0.2928</x:v>
      </x:c>
      <x:c r="H341" s="17" t="n">
        <x:f>G341*F341</x:f>
        <x:v>364.536</x:v>
      </x:c>
      <x:c r="I341" s="22" t="str">
        <x:f>HYPERLINK("https://etp-aktiv.ru/catalog/materialy/metizy/2000142343-U117/","Открыть позицию")</x:f>
        <x:v>Открыть позицию</x:v>
      </x:c>
    </x:row>
    <x:row r="342" ht="28" customHeight="1">
      <x:c r="A342" s="16" t="str">
        <x:v>Приморская ГРЭС</x:v>
      </x:c>
      <x:c r="B342" s="16" t="str">
        <x:v>2000727138-U117</x:v>
      </x:c>
      <x:c r="C342" s="16" t="str">
        <x:v>САМОРЕЗ С ШАЙБОЙ 4,2*19 ПО МЕТАЛЛУ 9998</x:v>
      </x:c>
      <x:c r="D342" s="16" t="str">
        <x:v>Метизы</x:v>
      </x:c>
      <x:c r="E342" s="16" t="str">
        <x:v>ШТ</x:v>
      </x:c>
      <x:c r="F342" s="21" t="n">
        <x:v>336</x:v>
      </x:c>
      <x:c r="G342" s="17" t="n">
        <x:v>3.6844</x:v>
      </x:c>
      <x:c r="H342" s="17" t="n">
        <x:f>G342*F342</x:f>
        <x:v>1237.9584</x:v>
      </x:c>
      <x:c r="I342" s="22" t="str">
        <x:f>HYPERLINK("https://etp-aktiv.ru/catalog/materialy/metizy/2000727138-U117/","Открыть позицию")</x:f>
        <x:v>Открыть позицию</x:v>
      </x:c>
    </x:row>
    <x:row r="343" ht="28" customHeight="1">
      <x:c r="A343" s="16" t="str">
        <x:v>Приморская ГРЭС</x:v>
      </x:c>
      <x:c r="B343" s="16" t="str">
        <x:v>2000087847-U117</x:v>
      </x:c>
      <x:c r="C343" s="16" t="str">
        <x:v>САМОРЕЗ ШСГД 3,8*32 П/ДЕР ГОСТ11650-80</x:v>
      </x:c>
      <x:c r="D343" s="16" t="str">
        <x:v>Метизы</x:v>
      </x:c>
      <x:c r="E343" s="16" t="str">
        <x:v>ШТ</x:v>
      </x:c>
      <x:c r="F343" s="21" t="n">
        <x:v>100</x:v>
      </x:c>
      <x:c r="G343" s="17" t="n">
        <x:v>0.2074</x:v>
      </x:c>
      <x:c r="H343" s="17" t="n">
        <x:f>G343*F343</x:f>
        <x:v>20.74</x:v>
      </x:c>
      <x:c r="I343" s="22" t="str">
        <x:f>HYPERLINK("https://etp-aktiv.ru/catalog/materialy/metizy/2000087847-U117/","Открыть позицию")</x:f>
        <x:v>Открыть позицию</x:v>
      </x:c>
    </x:row>
    <x:row r="344" ht="28" customHeight="1">
      <x:c r="A344" s="16" t="str">
        <x:v>Приморская ГРЭС</x:v>
      </x:c>
      <x:c r="B344" s="16" t="str">
        <x:v>2000222442-U117</x:v>
      </x:c>
      <x:c r="C344" s="16" t="str">
        <x:v>САМОРЕЗ П/Ш PHILLIPS 4,2*19 СВЕРЛ</x:v>
      </x:c>
      <x:c r="D344" s="16" t="str">
        <x:v>Метизы</x:v>
      </x:c>
      <x:c r="E344" s="16" t="str">
        <x:v>КГ</x:v>
      </x:c>
      <x:c r="F344" s="30" t="n">
        <x:v>56.285</x:v>
      </x:c>
      <x:c r="G344" s="17" t="n">
        <x:v>9.76</x:v>
      </x:c>
      <x:c r="H344" s="17" t="n">
        <x:f>G344*F344</x:f>
        <x:v>549.3416</x:v>
      </x:c>
      <x:c r="I344" s="22" t="str">
        <x:f>HYPERLINK("https://etp-aktiv.ru/catalog/materialy/metizy/2000222442-U117/","Открыть позицию")</x:f>
        <x:v>Открыть позицию</x:v>
      </x:c>
    </x:row>
    <x:row r="345" ht="28" customHeight="1">
      <x:c r="A345" s="16" t="str">
        <x:v>Приморская ГРЭС</x:v>
      </x:c>
      <x:c r="B345" s="16" t="str">
        <x:v>2000953917-U117</x:v>
      </x:c>
      <x:c r="C345" s="16" t="str">
        <x:v>СЕТКА 0125 Н Л80 0,125*0,08ММ ГОСТ6613</x:v>
      </x:c>
      <x:c r="D345" s="16" t="str">
        <x:v>Металлопрокат цветной</x:v>
      </x:c>
      <x:c r="E345" s="16" t="str">
        <x:v>М2</x:v>
      </x:c>
      <x:c r="F345" s="21" t="n">
        <x:v>11</x:v>
      </x:c>
      <x:c r="G345" s="17" t="n">
        <x:v>1699.9968000000001</x:v>
      </x:c>
      <x:c r="H345" s="17" t="n">
        <x:f>G345*F345</x:f>
        <x:v>18699.9648</x:v>
      </x:c>
      <x:c r="I345" s="22" t="str">
        <x:f>HYPERLINK("https://etp-aktiv.ru/catalog/materialy/metalloprodukciya/2000953917-U117/","Открыть позицию")</x:f>
        <x:v>Открыть позицию</x:v>
      </x:c>
    </x:row>
    <x:row r="346" ht="28" customHeight="1">
      <x:c r="A346" s="16" t="str">
        <x:v>Приморская ГРЭС</x:v>
      </x:c>
      <x:c r="B346" s="16" t="str">
        <x:v>2000722244-U117</x:v>
      </x:c>
      <x:c r="C346" s="16" t="str">
        <x:v>СЕТКА 4*4*1,2 12Х18Н10Т ГОСТ3826-82</x:v>
      </x:c>
      <x:c r="D346" s="16" t="str">
        <x:v>Метизы специализированные и под заказ</x:v>
      </x:c>
      <x:c r="E346" s="16" t="str">
        <x:v>М2</x:v>
      </x:c>
      <x:c r="F346" s="21" t="n">
        <x:v>120</x:v>
      </x:c>
      <x:c r="G346" s="17" t="n">
        <x:v>2006.5706</x:v>
      </x:c>
      <x:c r="H346" s="17" t="n">
        <x:f>G346*F346</x:f>
        <x:v>240788.472</x:v>
      </x:c>
      <x:c r="I346" s="22" t="str">
        <x:f>HYPERLINK("https://etp-aktiv.ru/catalog/materialy/metizy/2000722244-U117/","Открыть позицию")</x:f>
        <x:v>Открыть позицию</x:v>
      </x:c>
    </x:row>
    <x:row r="347" ht="28" customHeight="1">
      <x:c r="A347" s="16" t="str">
        <x:v>Приморская ГРЭС</x:v>
      </x:c>
      <x:c r="B347" s="16" t="str">
        <x:v>2000692654-U117</x:v>
      </x:c>
      <x:c r="C347" s="16" t="str">
        <x:v>СЕТКА 5*5*1,2 12Х18Н10Т ГОСТ3826-82</x:v>
      </x:c>
      <x:c r="D347" s="16" t="str">
        <x:v>Метизы специализированные и под заказ</x:v>
      </x:c>
      <x:c r="E347" s="16" t="str">
        <x:v>М2</x:v>
      </x:c>
      <x:c r="F347" s="21" t="n">
        <x:v>72</x:v>
      </x:c>
      <x:c r="G347" s="17" t="n">
        <x:v>2090.1528</x:v>
      </x:c>
      <x:c r="H347" s="17" t="n">
        <x:f>G347*F347</x:f>
        <x:v>150491.0016</x:v>
      </x:c>
      <x:c r="I347" s="22" t="str">
        <x:f>HYPERLINK("https://etp-aktiv.ru/catalog/materialy/metizy/2000692654-U117/","Открыть позицию")</x:f>
        <x:v>Открыть позицию</x:v>
      </x:c>
    </x:row>
    <x:row r="348" ht="28" customHeight="1">
      <x:c r="A348" s="16" t="str">
        <x:v>Приморская ГРЭС</x:v>
      </x:c>
      <x:c r="B348" s="16" t="str">
        <x:v>2000464630-U117</x:v>
      </x:c>
      <x:c r="C348" s="16" t="str">
        <x:v>СЕТКА Л-80 0,1*0,1*0,06 ГОСТ6613-86</x:v>
      </x:c>
      <x:c r="D348" s="16" t="str">
        <x:v>Металлопрокат цветной</x:v>
      </x:c>
      <x:c r="E348" s="16" t="str">
        <x:v>М2</x:v>
      </x:c>
      <x:c r="F348" s="21" t="n">
        <x:v>65</x:v>
      </x:c>
      <x:c r="G348" s="17" t="n">
        <x:v>2255.109</x:v>
      </x:c>
      <x:c r="H348" s="17" t="n">
        <x:f>G348*F348</x:f>
        <x:v>146582.085</x:v>
      </x:c>
      <x:c r="I348" s="22" t="str">
        <x:f>HYPERLINK("https://etp-aktiv.ru/catalog/materialy/metalloprodukciya/2000464630-U117/","Открыть позицию")</x:f>
        <x:v>Открыть позицию</x:v>
      </x:c>
    </x:row>
    <x:row r="349" ht="28" customHeight="1">
      <x:c r="A349" s="16" t="str">
        <x:v>Приморская ГРЭС</x:v>
      </x:c>
      <x:c r="B349" s="16" t="str">
        <x:v>2000528481-U117</x:v>
      </x:c>
      <x:c r="C349" s="16" t="str">
        <x:v>СЕТКА Л-80 0,2*0,2*0,13 ГОСТ6613-86</x:v>
      </x:c>
      <x:c r="D349" s="16" t="str">
        <x:v>Металлопрокат цветной</x:v>
      </x:c>
      <x:c r="E349" s="16" t="str">
        <x:v>М2</x:v>
      </x:c>
      <x:c r="F349" s="21" t="n">
        <x:v>12</x:v>
      </x:c>
      <x:c r="G349" s="17" t="n">
        <x:v>3439.7778</x:v>
      </x:c>
      <x:c r="H349" s="17" t="n">
        <x:f>G349*F349</x:f>
        <x:v>41277.3336</x:v>
      </x:c>
      <x:c r="I349" s="22" t="str">
        <x:f>HYPERLINK("https://etp-aktiv.ru/catalog/materialy/metalloprodukciya/2000528481-U117/","Открыть позицию")</x:f>
        <x:v>Открыть позицию</x:v>
      </x:c>
    </x:row>
    <x:row r="350" ht="28" customHeight="1">
      <x:c r="A350" s="16" t="str">
        <x:v>Приморская ГРЭС</x:v>
      </x:c>
      <x:c r="B350" s="16" t="str">
        <x:v>2000556287-U117</x:v>
      </x:c>
      <x:c r="C350" s="16" t="str">
        <x:v>СЕТКА Л80 0,25 (0,12*0,25) Н ГОСТ6613-86</x:v>
      </x:c>
      <x:c r="D350" s="16" t="str">
        <x:v>Металлопрокат цветной</x:v>
      </x:c>
      <x:c r="E350" s="16" t="str">
        <x:v>М2</x:v>
      </x:c>
      <x:c r="F350" s="21" t="n">
        <x:v>138</x:v>
      </x:c>
      <x:c r="G350" s="17" t="n">
        <x:v>2420.4068</x:v>
      </x:c>
      <x:c r="H350" s="17" t="n">
        <x:f>G350*F350</x:f>
        <x:v>334016.13840000005</x:v>
      </x:c>
      <x:c r="I350" s="22" t="str">
        <x:f>HYPERLINK("https://etp-aktiv.ru/catalog/materialy/metalloprodukciya/2000556287-U117/","Открыть позицию")</x:f>
        <x:v>Открыть позицию</x:v>
      </x:c>
    </x:row>
    <x:row r="351" ht="28" customHeight="1">
      <x:c r="A351" s="16" t="str">
        <x:v>Приморская ГРЭС</x:v>
      </x:c>
      <x:c r="B351" s="16" t="str">
        <x:v>2000556289-U117</x:v>
      </x:c>
      <x:c r="C351" s="16" t="str">
        <x:v>СЕТКА Л80 016 (0,1*0,16) Н ГОСТ6613-86</x:v>
      </x:c>
      <x:c r="D351" s="16" t="str">
        <x:v>Металлопрокат цветной</x:v>
      </x:c>
      <x:c r="E351" s="16" t="str">
        <x:v>М2</x:v>
      </x:c>
      <x:c r="F351" s="21" t="n">
        <x:v>10</x:v>
      </x:c>
      <x:c r="G351" s="17" t="n">
        <x:v>926.4924</x:v>
      </x:c>
      <x:c r="H351" s="17" t="n">
        <x:f>G351*F351</x:f>
        <x:v>9264.923999999999</x:v>
      </x:c>
      <x:c r="I351" s="22" t="str">
        <x:f>HYPERLINK("https://etp-aktiv.ru/catalog/materialy/metalloprodukciya/2000556289-U117/","Открыть позицию")</x:f>
        <x:v>Открыть позицию</x:v>
      </x:c>
    </x:row>
    <x:row r="352" ht="28" customHeight="1">
      <x:c r="A352" s="16" t="str">
        <x:v>Приморская ГРЭС</x:v>
      </x:c>
      <x:c r="B352" s="16" t="str">
        <x:v>2000556292-U117</x:v>
      </x:c>
      <x:c r="C352" s="16" t="str">
        <x:v>СЕТКА Л80 05-0,25*0,5 ГОСТ6613-86</x:v>
      </x:c>
      <x:c r="D352" s="16" t="str">
        <x:v>Металлопрокат цветной</x:v>
      </x:c>
      <x:c r="E352" s="16" t="str">
        <x:v>М2</x:v>
      </x:c>
      <x:c r="F352" s="21" t="n">
        <x:v>17</x:v>
      </x:c>
      <x:c r="G352" s="17" t="n">
        <x:v>3050.2806</x:v>
      </x:c>
      <x:c r="H352" s="17" t="n">
        <x:f>G352*F352</x:f>
        <x:v>51854.7702</x:v>
      </x:c>
      <x:c r="I352" s="22" t="str">
        <x:f>HYPERLINK("https://etp-aktiv.ru/catalog/materialy/metalloprodukciya/2000556292-U117/","Открыть позицию")</x:f>
        <x:v>Открыть позицию</x:v>
      </x:c>
    </x:row>
    <x:row r="353" ht="28" customHeight="1">
      <x:c r="A353" s="16" t="str">
        <x:v>Приморская ГРЭС</x:v>
      </x:c>
      <x:c r="B353" s="16" t="str">
        <x:v>2000711750-U117</x:v>
      </x:c>
      <x:c r="C353" s="16" t="str">
        <x:v>СЕТКА Л80 1,2*1,2*0,8</x:v>
      </x:c>
      <x:c r="D353" s="16" t="str">
        <x:v>Металлопрокат цветной</x:v>
      </x:c>
      <x:c r="E353" s="16" t="str">
        <x:v>М2</x:v>
      </x:c>
      <x:c r="F353" s="21" t="n">
        <x:v>9</x:v>
      </x:c>
      <x:c r="G353" s="17" t="n">
        <x:v>1076.04</x:v>
      </x:c>
      <x:c r="H353" s="17" t="n">
        <x:f>G353*F353</x:f>
        <x:v>9684.36</x:v>
      </x:c>
      <x:c r="I353" s="22" t="str">
        <x:f>HYPERLINK("https://etp-aktiv.ru/catalog/materialy/metalloprodukciya/2000711750-U117/","Открыть позицию")</x:f>
        <x:v>Открыть позицию</x:v>
      </x:c>
    </x:row>
    <x:row r="354" ht="28" customHeight="1">
      <x:c r="A354" s="16" t="str">
        <x:v>Приморская ГРЭС</x:v>
      </x:c>
      <x:c r="B354" s="16" t="str">
        <x:v>2000712413-U117</x:v>
      </x:c>
      <x:c r="C354" s="16" t="str">
        <x:v>СЕТКА НЕРЖ 5*5*0,75</x:v>
      </x:c>
      <x:c r="D354" s="16" t="str">
        <x:v>Метизы</x:v>
      </x:c>
      <x:c r="E354" s="16" t="str">
        <x:v>М2</x:v>
      </x:c>
      <x:c r="F354" s="30" t="n">
        <x:v>35.8</x:v>
      </x:c>
      <x:c r="G354" s="17" t="n">
        <x:v>290.7626</x:v>
      </x:c>
      <x:c r="H354" s="17" t="n">
        <x:f>G354*F354</x:f>
        <x:v>10409.30108</x:v>
      </x:c>
      <x:c r="I354" s="22" t="str">
        <x:f>HYPERLINK("https://etp-aktiv.ru/catalog/materialy/metizy/2000712413-U117/","Открыть позицию")</x:f>
        <x:v>Открыть позицию</x:v>
      </x:c>
    </x:row>
    <x:row r="355" ht="28" customHeight="1">
      <x:c r="A355" s="16" t="str">
        <x:v>Приморская ГРЭС</x:v>
      </x:c>
      <x:c r="B355" s="16" t="str">
        <x:v>2000894616-U117</x:v>
      </x:c>
      <x:c r="C355" s="16" t="str">
        <x:v>СЕТКА СВАРНАЯ 50*50*2 H=1,5М ПВХ Л-Л ЖEЛ</x:v>
      </x:c>
      <x:c r="D355" s="16" t="str">
        <x:v>Метизы специализированные и под заказ</x:v>
      </x:c>
      <x:c r="E355" s="16" t="str">
        <x:v>М2</x:v>
      </x:c>
      <x:c r="F355" s="21" t="n">
        <x:v>594</x:v>
      </x:c>
      <x:c r="G355" s="17" t="n">
        <x:v>195.0048</x:v>
      </x:c>
      <x:c r="H355" s="17" t="n">
        <x:f>G355*F355</x:f>
        <x:v>115832.85119999999</x:v>
      </x:c>
      <x:c r="I355" s="22" t="str">
        <x:f>HYPERLINK("https://etp-aktiv.ru/catalog/materialy/metizy/2000894616-U117/","Открыть позицию")</x:f>
        <x:v>Открыть позицию</x:v>
      </x:c>
    </x:row>
    <x:row r="356" ht="28" customHeight="1">
      <x:c r="A356" s="16" t="str">
        <x:v>Приморская ГРЭС</x:v>
      </x:c>
      <x:c r="B356" s="16" t="str">
        <x:v>2000484823-U117</x:v>
      </x:c>
      <x:c r="C356" s="16" t="str">
        <x:v>СЕТКА-РАБИЦА 50*50*1,6 ГОСТ5336-80</x:v>
      </x:c>
      <x:c r="D356" s="16" t="str">
        <x:v>Метизы специализированные и под заказ</x:v>
      </x:c>
      <x:c r="E356" s="16" t="str">
        <x:v>РУЛ</x:v>
      </x:c>
      <x:c r="F356" s="21" t="n">
        <x:v>2</x:v>
      </x:c>
      <x:c r="G356" s="17" t="n">
        <x:v>321.0552</x:v>
      </x:c>
      <x:c r="H356" s="17" t="n">
        <x:f>G356*F356</x:f>
        <x:v>642.1104</x:v>
      </x:c>
      <x:c r="I356" s="22" t="str">
        <x:f>HYPERLINK("https://etp-aktiv.ru/catalog/materialy/metizy/2000484823-U117/","Открыть позицию")</x:f>
        <x:v>Открыть позицию</x:v>
      </x:c>
    </x:row>
    <x:row r="357" ht="28" customHeight="1">
      <x:c r="A357" s="16" t="str">
        <x:v>Приморская ГРЭС</x:v>
      </x:c>
      <x:c r="B357" s="16" t="str">
        <x:v>2000571418-U117</x:v>
      </x:c>
      <x:c r="C357" s="16" t="str">
        <x:v>СОЕДИНИТЕЛЬ КАБЕЛЬНЫЙ СКР-25 250А</x:v>
      </x:c>
      <x:c r="D357" s="16" t="str">
        <x:v>Комплектующие и запасные части к сварочному оборудованию</x:v>
      </x:c>
      <x:c r="E357" s="16" t="str">
        <x:v>ШТ</x:v>
      </x:c>
      <x:c r="F357" s="21" t="n">
        <x:v>15</x:v>
      </x:c>
      <x:c r="G357" s="17" t="n">
        <x:v>549</x:v>
      </x:c>
      <x:c r="H357" s="17" t="n">
        <x:f>G357*F357</x:f>
        <x:v>8235</x:v>
      </x:c>
      <x:c r="I357" s="22" t="str">
        <x:f>HYPERLINK("https://etp-aktiv.ru/catalog/materialy/zapasnye-chasti-promyshlennogo-oborudovaniya/2000571418-U117/","Открыть позицию")</x:f>
        <x:v>Открыть позицию</x:v>
      </x:c>
    </x:row>
    <x:row r="358" ht="28" customHeight="1">
      <x:c r="A358" s="16" t="str">
        <x:v>Приморская ГРЭС</x:v>
      </x:c>
      <x:c r="B358" s="16" t="str">
        <x:v>2000725145-U117</x:v>
      </x:c>
      <x:c r="C358" s="16" t="str">
        <x:v>СОПЛО КЕРАМИЧЕСКОЕ ЩЕМ7.423.224-02 АГНИ</x:v>
      </x:c>
      <x:c r="D358" s="16" t="str">
        <x:v>Комплектующие и запасные части к сварочному оборудованию</x:v>
      </x:c>
      <x:c r="E358" s="16" t="str">
        <x:v>ШТ</x:v>
      </x:c>
      <x:c r="F358" s="21" t="n">
        <x:v>20</x:v>
      </x:c>
      <x:c r="G358" s="17" t="n">
        <x:v>292.8</x:v>
      </x:c>
      <x:c r="H358" s="17" t="n">
        <x:f>G358*F358</x:f>
        <x:v>5856</x:v>
      </x:c>
      <x:c r="I358" s="22" t="str">
        <x:f>HYPERLINK("https://etp-aktiv.ru/catalog/materialy/zapasnye-chasti-promyshlennogo-oborudovaniya/2000725145-U117/","Открыть позицию")</x:f>
        <x:v>Открыть позицию</x:v>
      </x:c>
    </x:row>
    <x:row r="359" ht="28" customHeight="1">
      <x:c r="A359" s="16" t="str">
        <x:v>Приморская ГРЭС</x:v>
      </x:c>
      <x:c r="B359" s="16" t="str">
        <x:v>2000582667-U117</x:v>
      </x:c>
      <x:c r="C359" s="16" t="str">
        <x:v>УГОЛОК 09Г2С 63*63*5 ГОСТ19281-89</x:v>
      </x:c>
      <x:c r="D359" s="16" t="str">
        <x:v>Металлопрокат черный</x:v>
      </x:c>
      <x:c r="E359" s="16" t="str">
        <x:v>Т</x:v>
      </x:c>
      <x:c r="F359" s="30" t="n">
        <x:v>4.635</x:v>
      </x:c>
      <x:c r="G359" s="17" t="n">
        <x:v>103408.3834</x:v>
      </x:c>
      <x:c r="H359" s="17" t="n">
        <x:f>G359*F359</x:f>
        <x:v>479297.857059</x:v>
      </x:c>
      <x:c r="I359" s="22" t="str">
        <x:f>HYPERLINK("https://etp-aktiv.ru/catalog/materialy/metalloprodukciya/2000582667-U117/","Открыть позицию")</x:f>
        <x:v>Открыть позицию</x:v>
      </x:c>
    </x:row>
    <x:row r="360" ht="28" customHeight="1">
      <x:c r="A360" s="16" t="str">
        <x:v>Приморская ГРЭС</x:v>
      </x:c>
      <x:c r="B360" s="16" t="str">
        <x:v>2000223264-U117</x:v>
      </x:c>
      <x:c r="C360" s="16" t="str">
        <x:v>УГОЛОК 09Г2С 63*63*6 ГОСТ8509-93</x:v>
      </x:c>
      <x:c r="D360" s="16" t="str">
        <x:v>Металлопрокат черный</x:v>
      </x:c>
      <x:c r="E360" s="16" t="str">
        <x:v>Т</x:v>
      </x:c>
      <x:c r="F360" s="26" t="n">
        <x:v>0.273</x:v>
      </x:c>
      <x:c r="G360" s="17" t="n">
        <x:v>97104.985</x:v>
      </x:c>
      <x:c r="H360" s="17" t="n">
        <x:f>G360*F360</x:f>
        <x:v>26509.660905</x:v>
      </x:c>
      <x:c r="I360" s="22" t="str">
        <x:f>HYPERLINK("https://etp-aktiv.ru/catalog/materialy/metalloprodukciya/2000223264-U117/","Открыть позицию")</x:f>
        <x:v>Открыть позицию</x:v>
      </x:c>
    </x:row>
    <x:row r="361" ht="28" customHeight="1">
      <x:c r="A361" s="16" t="str">
        <x:v>Приморская ГРЭС</x:v>
      </x:c>
      <x:c r="B361" s="16" t="str">
        <x:v>2000698439-U117</x:v>
      </x:c>
      <x:c r="C361" s="16" t="str">
        <x:v>УГОЛОК 09Г2С-14 50*50*5 ГОСТ8509-93</x:v>
      </x:c>
      <x:c r="D361" s="16" t="str">
        <x:v>Металлопрокат черный</x:v>
      </x:c>
      <x:c r="E361" s="16" t="str">
        <x:v>Т</x:v>
      </x:c>
      <x:c r="F361" s="26" t="n">
        <x:v>0.001</x:v>
      </x:c>
      <x:c r="G361" s="17" t="n">
        <x:v>69064.8954</x:v>
      </x:c>
      <x:c r="H361" s="17" t="n">
        <x:f>G361*F361</x:f>
        <x:v>69.0648954</x:v>
      </x:c>
      <x:c r="I361" s="22" t="str">
        <x:f>HYPERLINK("https://etp-aktiv.ru/catalog/materialy/metalloprodukciya/2000698439-U117/","Открыть позицию")</x:f>
        <x:v>Открыть позицию</x:v>
      </x:c>
    </x:row>
    <x:row r="362" ht="28" customHeight="1">
      <x:c r="A362" s="16" t="str">
        <x:v>Приморская ГРЭС</x:v>
      </x:c>
      <x:c r="B362" s="16" t="str">
        <x:v>2000650175-U117</x:v>
      </x:c>
      <x:c r="C362" s="16" t="str">
        <x:v>УГОЛОК С245 100*100*10 ГОСТ8509-93</x:v>
      </x:c>
      <x:c r="D362" s="16" t="str">
        <x:v>Металлопрокат черный</x:v>
      </x:c>
      <x:c r="E362" s="16" t="str">
        <x:v>Т</x:v>
      </x:c>
      <x:c r="F362" s="30" t="n">
        <x:v>12.075</x:v>
      </x:c>
      <x:c r="G362" s="17" t="n">
        <x:v>91169.8924</x:v>
      </x:c>
      <x:c r="H362" s="17" t="n">
        <x:f>G362*F362</x:f>
        <x:v>1100876.45073</x:v>
      </x:c>
      <x:c r="I362" s="22" t="str">
        <x:f>HYPERLINK("https://etp-aktiv.ru/catalog/materialy/metalloprodukciya/2000650175-U117/","Открыть позицию")</x:f>
        <x:v>Открыть позицию</x:v>
      </x:c>
    </x:row>
    <x:row r="363" ht="28" customHeight="1">
      <x:c r="A363" s="16" t="str">
        <x:v>Приморская ГРЭС</x:v>
      </x:c>
      <x:c r="B363" s="16" t="str">
        <x:v>2000328978-U117</x:v>
      </x:c>
      <x:c r="C363" s="16" t="str">
        <x:v>УГОЛОК С245 160*100*10 ГОСТ8510-86</x:v>
      </x:c>
      <x:c r="D363" s="16" t="str">
        <x:v>Металлопрокат черный</x:v>
      </x:c>
      <x:c r="E363" s="16" t="str">
        <x:v>Т</x:v>
      </x:c>
      <x:c r="F363" s="30" t="n">
        <x:v>1.415</x:v>
      </x:c>
      <x:c r="G363" s="17" t="n">
        <x:v>106750</x:v>
      </x:c>
      <x:c r="H363" s="17" t="n">
        <x:f>G363*F363</x:f>
        <x:v>151051.25</x:v>
      </x:c>
      <x:c r="I363" s="22" t="str">
        <x:f>HYPERLINK("https://etp-aktiv.ru/catalog/materialy/metalloprodukciya/2000328978-U117/","Открыть позицию")</x:f>
        <x:v>Открыть позицию</x:v>
      </x:c>
    </x:row>
    <x:row r="364" ht="28" customHeight="1">
      <x:c r="A364" s="16" t="str">
        <x:v>Приморская ГРЭС</x:v>
      </x:c>
      <x:c r="B364" s="16" t="str">
        <x:v>2000720766-U117</x:v>
      </x:c>
      <x:c r="C364" s="16" t="str">
        <x:v>УГОЛОК С245-5 125*80*8 ГОСТ8510-86</x:v>
      </x:c>
      <x:c r="D364" s="16" t="str">
        <x:v>Металлопрокат черный</x:v>
      </x:c>
      <x:c r="E364" s="16" t="str">
        <x:v>Т</x:v>
      </x:c>
      <x:c r="F364" s="26" t="n">
        <x:v>0.45</x:v>
      </x:c>
      <x:c r="G364" s="17" t="n">
        <x:v>219600</x:v>
      </x:c>
      <x:c r="H364" s="17" t="n">
        <x:f>G364*F364</x:f>
        <x:v>98820</x:v>
      </x:c>
      <x:c r="I364" s="22" t="str">
        <x:f>HYPERLINK("https://etp-aktiv.ru/catalog/materialy/metalloprodukciya/2000720766-U117/","Открыть позицию")</x:f>
        <x:v>Открыть позицию</x:v>
      </x:c>
    </x:row>
    <x:row r="365" ht="28" customHeight="1">
      <x:c r="A365" s="16" t="str">
        <x:v>Приморская ГРЭС</x:v>
      </x:c>
      <x:c r="B365" s="16" t="str">
        <x:v>2000740674-U117</x:v>
      </x:c>
      <x:c r="C365" s="16" t="str">
        <x:v>УГОЛОК С245-5 75*75*6 ГОСТ8509-93</x:v>
      </x:c>
      <x:c r="D365" s="16" t="str">
        <x:v>Металлопрокат черный</x:v>
      </x:c>
      <x:c r="E365" s="16" t="str">
        <x:v>Т</x:v>
      </x:c>
      <x:c r="F365" s="26" t="n">
        <x:v>0.002</x:v>
      </x:c>
      <x:c r="G365" s="17" t="n">
        <x:v>70775.25</x:v>
      </x:c>
      <x:c r="H365" s="17" t="n">
        <x:f>G365*F365</x:f>
        <x:v>141.5505</x:v>
      </x:c>
      <x:c r="I365" s="22" t="str">
        <x:f>HYPERLINK("https://etp-aktiv.ru/catalog/materialy/metalloprodukciya/2000740674-U117/","Открыть позицию")</x:f>
        <x:v>Открыть позицию</x:v>
      </x:c>
    </x:row>
    <x:row r="366" ht="28" customHeight="1">
      <x:c r="A366" s="16" t="str">
        <x:v>Приморская ГРЭС</x:v>
      </x:c>
      <x:c r="B366" s="16" t="str">
        <x:v>2000153889-U117</x:v>
      </x:c>
      <x:c r="C366" s="16" t="str">
        <x:v>УГОЛОК СТ3 100*100*7 ГОСТ8509-93</x:v>
      </x:c>
      <x:c r="D366" s="16" t="str">
        <x:v>Металлопрокат черный</x:v>
      </x:c>
      <x:c r="E366" s="16" t="str">
        <x:v>Т</x:v>
      </x:c>
      <x:c r="F366" s="26" t="n">
        <x:v>0.024</x:v>
      </x:c>
      <x:c r="G366" s="17" t="n">
        <x:v>70775.25</x:v>
      </x:c>
      <x:c r="H366" s="17" t="n">
        <x:f>G366*F366</x:f>
        <x:v>1698.606</x:v>
      </x:c>
      <x:c r="I366" s="22" t="str">
        <x:f>HYPERLINK("https://etp-aktiv.ru/catalog/materialy/metalloprodukciya/2000153889-U117/","Открыть позицию")</x:f>
        <x:v>Открыть позицию</x:v>
      </x:c>
    </x:row>
    <x:row r="367" ht="28" customHeight="1">
      <x:c r="A367" s="16" t="str">
        <x:v>Приморская ГРЭС</x:v>
      </x:c>
      <x:c r="B367" s="16" t="str">
        <x:v>2000147463-U117</x:v>
      </x:c>
      <x:c r="C367" s="16" t="str">
        <x:v>УГОЛОК СТ3 100*8 ГОСТ8509-93</x:v>
      </x:c>
      <x:c r="D367" s="16" t="str">
        <x:v>Металлопрокат черный</x:v>
      </x:c>
      <x:c r="E367" s="16" t="str">
        <x:v>Т</x:v>
      </x:c>
      <x:c r="F367" s="26" t="n">
        <x:v>0.644</x:v>
      </x:c>
      <x:c r="G367" s="17" t="n">
        <x:v>54461.3856</x:v>
      </x:c>
      <x:c r="H367" s="17" t="n">
        <x:f>G367*F367</x:f>
        <x:v>35073.1323264</x:v>
      </x:c>
      <x:c r="I367" s="22" t="str">
        <x:f>HYPERLINK("https://etp-aktiv.ru/catalog/materialy/metalloprodukciya/2000147463-U117/","Открыть позицию")</x:f>
        <x:v>Открыть позицию</x:v>
      </x:c>
    </x:row>
    <x:row r="368" ht="28" customHeight="1">
      <x:c r="A368" s="16" t="str">
        <x:v>Приморская ГРЭС</x:v>
      </x:c>
      <x:c r="B368" s="16" t="str">
        <x:v>2000278852-U117</x:v>
      </x:c>
      <x:c r="C368" s="16" t="str">
        <x:v>УГОЛОК СТ3 125*80*10 ГОСТ8510-86</x:v>
      </x:c>
      <x:c r="D368" s="16" t="str">
        <x:v>Металлопрокат черный</x:v>
      </x:c>
      <x:c r="E368" s="16" t="str">
        <x:v>Т</x:v>
      </x:c>
      <x:c r="F368" s="26" t="n">
        <x:v>0.09</x:v>
      </x:c>
      <x:c r="G368" s="17" t="n">
        <x:v>140300</x:v>
      </x:c>
      <x:c r="H368" s="17" t="n">
        <x:f>G368*F368</x:f>
        <x:v>12627</x:v>
      </x:c>
      <x:c r="I368" s="22" t="str">
        <x:f>HYPERLINK("https://etp-aktiv.ru/catalog/materialy/metalloprodukciya/2000278852-U117/","Открыть позицию")</x:f>
        <x:v>Открыть позицию</x:v>
      </x:c>
    </x:row>
    <x:row r="369" ht="28" customHeight="1">
      <x:c r="A369" s="16" t="str">
        <x:v>Приморская ГРЭС</x:v>
      </x:c>
      <x:c r="B369" s="16" t="str">
        <x:v>2000119051-U117</x:v>
      </x:c>
      <x:c r="C369" s="16" t="str">
        <x:v>УГОЛОК СТ3 25*25 ГОСТ8509-93</x:v>
      </x:c>
      <x:c r="D369" s="16" t="str">
        <x:v>Металлопрокат черный</x:v>
      </x:c>
      <x:c r="E369" s="16" t="str">
        <x:v>Т</x:v>
      </x:c>
      <x:c r="F369" s="26" t="n">
        <x:v>0.034</x:v>
      </x:c>
      <x:c r="G369" s="17" t="n">
        <x:v>56905.741</x:v>
      </x:c>
      <x:c r="H369" s="17" t="n">
        <x:f>G369*F369</x:f>
        <x:v>1934.7951940000003</x:v>
      </x:c>
      <x:c r="I369" s="22" t="str">
        <x:f>HYPERLINK("https://etp-aktiv.ru/catalog/materialy/metalloprodukciya/2000119051-U117/","Открыть позицию")</x:f>
        <x:v>Открыть позицию</x:v>
      </x:c>
    </x:row>
    <x:row r="370" ht="28" customHeight="1">
      <x:c r="A370" s="16" t="str">
        <x:v>Приморская ГРЭС</x:v>
      </x:c>
      <x:c r="B370" s="16" t="str">
        <x:v>2000148498-U117</x:v>
      </x:c>
      <x:c r="C370" s="16" t="str">
        <x:v>УГОЛОК СТ3 25*25*3 ГОСТ8509-93</x:v>
      </x:c>
      <x:c r="D370" s="16" t="str">
        <x:v>Металлопрокат черный</x:v>
      </x:c>
      <x:c r="E370" s="16" t="str">
        <x:v>Т</x:v>
      </x:c>
      <x:c r="F370" s="26" t="n">
        <x:v>0.018</x:v>
      </x:c>
      <x:c r="G370" s="17" t="n">
        <x:v>100284</x:v>
      </x:c>
      <x:c r="H370" s="17" t="n">
        <x:f>G370*F370</x:f>
        <x:v>1805.1119999999999</x:v>
      </x:c>
      <x:c r="I370" s="22" t="str">
        <x:f>HYPERLINK("https://etp-aktiv.ru/catalog/materialy/metalloprodukciya/2000148498-U117/","Открыть позицию")</x:f>
        <x:v>Открыть позицию</x:v>
      </x:c>
    </x:row>
    <x:row r="371" ht="28" customHeight="1">
      <x:c r="A371" s="16" t="str">
        <x:v>Приморская ГРЭС</x:v>
      </x:c>
      <x:c r="B371" s="16" t="str">
        <x:v>2000723951-U117</x:v>
      </x:c>
      <x:c r="C371" s="16" t="str">
        <x:v>УГОЛОК СТ3 32*25*3 ГОСТ19771-93</x:v>
      </x:c>
      <x:c r="D371" s="16" t="str">
        <x:v>Металлопрокат черный</x:v>
      </x:c>
      <x:c r="E371" s="16" t="str">
        <x:v>Т</x:v>
      </x:c>
      <x:c r="F371" s="26" t="n">
        <x:v>0.674</x:v>
      </x:c>
      <x:c r="G371" s="17" t="n">
        <x:v>96340.1182</x:v>
      </x:c>
      <x:c r="H371" s="17" t="n">
        <x:f>G371*F371</x:f>
        <x:v>64933.2396668</x:v>
      </x:c>
      <x:c r="I371" s="22" t="str">
        <x:f>HYPERLINK("https://etp-aktiv.ru/catalog/materialy/metalloprodukciya/2000723951-U117/","Открыть позицию")</x:f>
        <x:v>Открыть позицию</x:v>
      </x:c>
    </x:row>
    <x:row r="372" ht="28" customHeight="1">
      <x:c r="A372" s="16" t="str">
        <x:v>Приморская ГРЭС</x:v>
      </x:c>
      <x:c r="B372" s="16" t="str">
        <x:v>2000147465-U117</x:v>
      </x:c>
      <x:c r="C372" s="16" t="str">
        <x:v>УГОЛОК СТ3 32*4 ГОСТ8509-93</x:v>
      </x:c>
      <x:c r="D372" s="16" t="str">
        <x:v>Металлопрокат черный</x:v>
      </x:c>
      <x:c r="E372" s="16" t="str">
        <x:v>Т</x:v>
      </x:c>
      <x:c r="F372" s="26" t="n">
        <x:v>0.053</x:v>
      </x:c>
      <x:c r="G372" s="17" t="n">
        <x:v>50669.0766</x:v>
      </x:c>
      <x:c r="H372" s="17" t="n">
        <x:f>G372*F372</x:f>
        <x:v>2685.4610598</x:v>
      </x:c>
      <x:c r="I372" s="22" t="str">
        <x:f>HYPERLINK("https://etp-aktiv.ru/catalog/materialy/metalloprodukciya/2000147465-U117/","Открыть позицию")</x:f>
        <x:v>Открыть позицию</x:v>
      </x:c>
    </x:row>
    <x:row r="373" ht="28" customHeight="1">
      <x:c r="A373" s="16" t="str">
        <x:v>Приморская ГРЭС</x:v>
      </x:c>
      <x:c r="B373" s="16" t="str">
        <x:v>2000148467-U117</x:v>
      </x:c>
      <x:c r="C373" s="16" t="str">
        <x:v>УГОЛОК СТ3 45*45*4 ГОСТ8509-93</x:v>
      </x:c>
      <x:c r="D373" s="16" t="str">
        <x:v>Металлопрокат черный</x:v>
      </x:c>
      <x:c r="E373" s="16" t="str">
        <x:v>Т</x:v>
      </x:c>
      <x:c r="F373" s="30" t="n">
        <x:v>2.483</x:v>
      </x:c>
      <x:c r="G373" s="17" t="n">
        <x:v>54900</x:v>
      </x:c>
      <x:c r="H373" s="17" t="n">
        <x:f>G373*F373</x:f>
        <x:v>136316.7</x:v>
      </x:c>
      <x:c r="I373" s="22" t="str">
        <x:f>HYPERLINK("https://etp-aktiv.ru/catalog/materialy/metalloprodukciya/2000148467-U117/","Открыть позицию")</x:f>
        <x:v>Открыть позицию</x:v>
      </x:c>
    </x:row>
    <x:row r="374" ht="28" customHeight="1">
      <x:c r="A374" s="16" t="str">
        <x:v>Приморская ГРЭС</x:v>
      </x:c>
      <x:c r="B374" s="16" t="str">
        <x:v>2000043579-U117</x:v>
      </x:c>
      <x:c r="C374" s="16" t="str">
        <x:v>УГОЛОК СТ3 63*63*5</x:v>
      </x:c>
      <x:c r="D374" s="16" t="str">
        <x:v>Металлопрокат черный</x:v>
      </x:c>
      <x:c r="E374" s="16" t="str">
        <x:v>Т</x:v>
      </x:c>
      <x:c r="F374" s="26" t="n">
        <x:v>0.579</x:v>
      </x:c>
      <x:c r="G374" s="17" t="n">
        <x:v>84474.27620000001</x:v>
      </x:c>
      <x:c r="H374" s="17" t="n">
        <x:f>G374*F374</x:f>
        <x:v>48910.6059198</x:v>
      </x:c>
      <x:c r="I374" s="22" t="str">
        <x:f>HYPERLINK("https://etp-aktiv.ru/catalog/materialy/metalloprodukciya/2000043579-U117/","Открыть позицию")</x:f>
        <x:v>Открыть позицию</x:v>
      </x:c>
    </x:row>
    <x:row r="375" ht="28" customHeight="1">
      <x:c r="A375" s="16" t="str">
        <x:v>Приморская ГРЭС</x:v>
      </x:c>
      <x:c r="B375" s="16" t="str">
        <x:v>2000555878-U117</x:v>
      </x:c>
      <x:c r="C375" s="16" t="str">
        <x:v>УГОЛОК СТ3 70*5 ГОСТ8509-93</x:v>
      </x:c>
      <x:c r="D375" s="16" t="str">
        <x:v>Металлопрокат черный</x:v>
      </x:c>
      <x:c r="E375" s="16" t="str">
        <x:v>Т</x:v>
      </x:c>
      <x:c r="F375" s="26" t="n">
        <x:v>0.102</x:v>
      </x:c>
      <x:c r="G375" s="17" t="n">
        <x:v>65880</x:v>
      </x:c>
      <x:c r="H375" s="17" t="n">
        <x:f>G375*F375</x:f>
        <x:v>6719.759999999999</x:v>
      </x:c>
      <x:c r="I375" s="22" t="str">
        <x:f>HYPERLINK("https://etp-aktiv.ru/catalog/materialy/metalloprodukciya/2000555878-U117/","Открыть позицию")</x:f>
        <x:v>Открыть позицию</x:v>
      </x:c>
    </x:row>
    <x:row r="376" ht="28" customHeight="1">
      <x:c r="A376" s="16" t="str">
        <x:v>Приморская ГРЭС</x:v>
      </x:c>
      <x:c r="B376" s="16" t="str">
        <x:v>2000247441-U117</x:v>
      </x:c>
      <x:c r="C376" s="16" t="str">
        <x:v>УГОЛОК СТ3 75*50*6 ГОСТ8509-93</x:v>
      </x:c>
      <x:c r="D376" s="16" t="str">
        <x:v>Металлопрокат черный</x:v>
      </x:c>
      <x:c r="E376" s="16" t="str">
        <x:v>Т</x:v>
      </x:c>
      <x:c r="F376" s="26" t="n">
        <x:v>0.003</x:v>
      </x:c>
      <x:c r="G376" s="17" t="n">
        <x:v>1111786</x:v>
      </x:c>
      <x:c r="H376" s="17" t="n">
        <x:f>G376*F376</x:f>
        <x:v>3335.358</x:v>
      </x:c>
      <x:c r="I376" s="22" t="str">
        <x:f>HYPERLINK("https://etp-aktiv.ru/catalog/materialy/metalloprodukciya/2000247441-U117/","Открыть позицию")</x:f>
        <x:v>Открыть позицию</x:v>
      </x:c>
    </x:row>
    <x:row r="377" ht="28" customHeight="1">
      <x:c r="A377" s="16" t="str">
        <x:v>Приморская ГРЭС</x:v>
      </x:c>
      <x:c r="B377" s="16" t="str">
        <x:v>2000118540-U117</x:v>
      </x:c>
      <x:c r="C377" s="16" t="str">
        <x:v>УГОЛОК СТ3 75*75 ГОСТ8509-93</x:v>
      </x:c>
      <x:c r="D377" s="16" t="str">
        <x:v>Металлопрокат черный</x:v>
      </x:c>
      <x:c r="E377" s="16" t="str">
        <x:v>Т</x:v>
      </x:c>
      <x:c r="F377" s="26" t="n">
        <x:v>0.01</x:v>
      </x:c>
      <x:c r="G377" s="17" t="n">
        <x:v>90585</x:v>
      </x:c>
      <x:c r="H377" s="17" t="n">
        <x:f>G377*F377</x:f>
        <x:v>905.85</x:v>
      </x:c>
      <x:c r="I377" s="22" t="str">
        <x:f>HYPERLINK("https://etp-aktiv.ru/catalog/materialy/metalloprodukciya/2000118540-U117/","Открыть позицию")</x:f>
        <x:v>Открыть позицию</x:v>
      </x:c>
    </x:row>
    <x:row r="378" ht="28" customHeight="1">
      <x:c r="A378" s="16" t="str">
        <x:v>Приморская ГРЭС</x:v>
      </x:c>
      <x:c r="B378" s="16" t="str">
        <x:v>2000176818-U117</x:v>
      </x:c>
      <x:c r="C378" s="16" t="str">
        <x:v>УГОЛОК СТ3 75*75*8 ГОСТ8509-93</x:v>
      </x:c>
      <x:c r="D378" s="16" t="str">
        <x:v>Металлопрокат черный</x:v>
      </x:c>
      <x:c r="E378" s="16" t="str">
        <x:v>Т</x:v>
      </x:c>
      <x:c r="F378" s="30" t="n">
        <x:v>1.213</x:v>
      </x:c>
      <x:c r="G378" s="17" t="n">
        <x:v>86404.85299999999</x:v>
      </x:c>
      <x:c r="H378" s="17" t="n">
        <x:f>G378*F378</x:f>
        <x:v>104809.08668899999</x:v>
      </x:c>
      <x:c r="I378" s="22" t="str">
        <x:f>HYPERLINK("https://etp-aktiv.ru/catalog/materialy/metalloprodukciya/2000176818-U117/","Открыть позицию")</x:f>
        <x:v>Открыть позицию</x:v>
      </x:c>
    </x:row>
    <x:row r="379" ht="28" customHeight="1">
      <x:c r="A379" s="16" t="str">
        <x:v>Приморская ГРЭС</x:v>
      </x:c>
      <x:c r="B379" s="16" t="str">
        <x:v>2000126290-U117</x:v>
      </x:c>
      <x:c r="C379" s="16" t="str">
        <x:v>УГОЛОК СТ3ПС5 100*100*8 ГОСТ8509-93</x:v>
      </x:c>
      <x:c r="D379" s="16" t="str">
        <x:v>Металлопрокат прочий</x:v>
      </x:c>
      <x:c r="E379" s="16" t="str">
        <x:v>Т</x:v>
      </x:c>
      <x:c r="F379" s="26" t="n">
        <x:v>0.52</x:v>
      </x:c>
      <x:c r="G379" s="17" t="n">
        <x:v>65422.5</x:v>
      </x:c>
      <x:c r="H379" s="17" t="n">
        <x:f>G379*F379</x:f>
        <x:v>34019.700000000004</x:v>
      </x:c>
      <x:c r="I379" s="22" t="str">
        <x:f>HYPERLINK("https://etp-aktiv.ru/catalog/materialy/metalloprodukciya/2000126290-U117/","Открыть позицию")</x:f>
        <x:v>Открыть позицию</x:v>
      </x:c>
    </x:row>
    <x:row r="380" ht="28" customHeight="1">
      <x:c r="A380" s="16" t="str">
        <x:v>Приморская ГРЭС</x:v>
      </x:c>
      <x:c r="B380" s="16" t="str">
        <x:v>2000628079-U117</x:v>
      </x:c>
      <x:c r="C380" s="16" t="str">
        <x:v>УГОЛОК СТ3ПС6 32*20*4 ГОСТ8510-86</x:v>
      </x:c>
      <x:c r="D380" s="16" t="str">
        <x:v>Металлопрокат черный</x:v>
      </x:c>
      <x:c r="E380" s="16" t="str">
        <x:v>Т</x:v>
      </x:c>
      <x:c r="F380" s="30" t="n">
        <x:v>12.641</x:v>
      </x:c>
      <x:c r="G380" s="17" t="n">
        <x:v>74843.3888</x:v>
      </x:c>
      <x:c r="H380" s="17" t="n">
        <x:f>G380*F380</x:f>
        <x:v>946095.2778208</x:v>
      </x:c>
      <x:c r="I380" s="22" t="str">
        <x:f>HYPERLINK("https://etp-aktiv.ru/catalog/materialy/metalloprodukciya/2000628079-U117/","Открыть позицию")</x:f>
        <x:v>Открыть позицию</x:v>
      </x:c>
    </x:row>
    <x:row r="381" ht="28" customHeight="1">
      <x:c r="A381" s="16" t="str">
        <x:v>Приморская ГРЭС</x:v>
      </x:c>
      <x:c r="B381" s="16" t="str">
        <x:v>2000260505-U117</x:v>
      </x:c>
      <x:c r="C381" s="16" t="str">
        <x:v>УГОЛОК СТ3ПС6 63*63*6 ГОСТ8509-93</x:v>
      </x:c>
      <x:c r="D381" s="16" t="str">
        <x:v>Металлопрокат черный</x:v>
      </x:c>
      <x:c r="E381" s="16" t="str">
        <x:v>Т</x:v>
      </x:c>
      <x:c r="F381" s="26" t="n">
        <x:v>0.001</x:v>
      </x:c>
      <x:c r="G381" s="17" t="n">
        <x:v>40461.299999999996</x:v>
      </x:c>
      <x:c r="H381" s="17" t="n">
        <x:f>G381*F381</x:f>
        <x:v>40.461299999999994</x:v>
      </x:c>
      <x:c r="I381" s="22" t="str">
        <x:f>HYPERLINK("https://etp-aktiv.ru/catalog/materialy/metalloprodukciya/2000260505-U117/","Открыть позицию")</x:f>
        <x:v>Открыть позицию</x:v>
      </x:c>
    </x:row>
    <x:row r="382" ht="28" customHeight="1">
      <x:c r="A382" s="16" t="str">
        <x:v>Приморская ГРЭС</x:v>
      </x:c>
      <x:c r="B382" s="16" t="str">
        <x:v>2000556296-U117</x:v>
      </x:c>
      <x:c r="C382" s="16" t="str">
        <x:v>ФЛЮС АН-348-А ЗЕРНО 0,25-2,80 ГОСТ9087</x:v>
      </x:c>
      <x:c r="D382" s="16" t="str">
        <x:v>Металлопрокат цветной</x:v>
      </x:c>
      <x:c r="E382" s="16" t="str">
        <x:v>КГ</x:v>
      </x:c>
      <x:c r="F382" s="21" t="n">
        <x:v>545</x:v>
      </x:c>
      <x:c r="G382" s="17" t="n">
        <x:v>258.8352</x:v>
      </x:c>
      <x:c r="H382" s="17" t="n">
        <x:f>G382*F382</x:f>
        <x:v>141065.18399999998</x:v>
      </x:c>
      <x:c r="I382" s="22" t="str">
        <x:f>HYPERLINK("https://etp-aktiv.ru/catalog/materialy/metalloprodukciya/2000556296-U117/","Открыть позицию")</x:f>
        <x:v>Открыть позицию</x:v>
      </x:c>
    </x:row>
    <x:row r="383" ht="28" customHeight="1">
      <x:c r="A383" s="16" t="str">
        <x:v>Приморская ГРЭС</x:v>
      </x:c>
      <x:c r="B383" s="16" t="str">
        <x:v>2000648081-U117</x:v>
      </x:c>
      <x:c r="C383" s="16" t="str">
        <x:v>ФЛЮС ПВ-209 ГОСТ23178-78</x:v>
      </x:c>
      <x:c r="D383" s="16" t="str">
        <x:v>Металлопрокат цветной</x:v>
      </x:c>
      <x:c r="E383" s="16" t="str">
        <x:v>КГ</x:v>
      </x:c>
      <x:c r="F383" s="21" t="n">
        <x:v>1</x:v>
      </x:c>
      <x:c r="G383" s="17" t="n">
        <x:v>6150.8374</x:v>
      </x:c>
      <x:c r="H383" s="17" t="n">
        <x:f>G383*F383</x:f>
        <x:v>6150.8374</x:v>
      </x:c>
      <x:c r="I383" s="22" t="str">
        <x:f>HYPERLINK("https://etp-aktiv.ru/catalog/materialy/metalloprodukciya/2000648081-U117/","Открыть позицию")</x:f>
        <x:v>Открыть позицию</x:v>
      </x:c>
    </x:row>
    <x:row r="384" ht="28" customHeight="1">
      <x:c r="A384" s="16" t="str">
        <x:v>Приморская ГРЭС</x:v>
      </x:c>
      <x:c r="B384" s="16" t="str">
        <x:v>2000691449-U117</x:v>
      </x:c>
      <x:c r="C384" s="16" t="str">
        <x:v>ФОЛЬГА ДПРНМ НД АД1 0,1*500 ГОСТ618-2014</x:v>
      </x:c>
      <x:c r="D384" s="16" t="str">
        <x:v>Металлопрокат цветной</x:v>
      </x:c>
      <x:c r="E384" s="16" t="str">
        <x:v>КГ</x:v>
      </x:c>
      <x:c r="F384" s="21" t="n">
        <x:v>25</x:v>
      </x:c>
      <x:c r="G384" s="17" t="n">
        <x:v>1205.9822</x:v>
      </x:c>
      <x:c r="H384" s="17" t="n">
        <x:f>G384*F384</x:f>
        <x:v>30149.554999999997</x:v>
      </x:c>
      <x:c r="I384" s="22" t="str">
        <x:f>HYPERLINK("https://etp-aktiv.ru/catalog/materialy/metalloprodukciya/2000691449-U117/","Открыть позицию")</x:f>
        <x:v>Открыть позицию</x:v>
      </x:c>
    </x:row>
    <x:row r="385" ht="28" customHeight="1">
      <x:c r="A385" s="16" t="str">
        <x:v>Приморская ГРЭС</x:v>
      </x:c>
      <x:c r="B385" s="16" t="str">
        <x:v>2000815302-U117</x:v>
      </x:c>
      <x:c r="C385" s="16" t="str">
        <x:v>ХОМУТ 2.2 190*30 Н ГОСТ28191-89</x:v>
      </x:c>
      <x:c r="D385" s="16" t="str">
        <x:v>Метизы</x:v>
      </x:c>
      <x:c r="E385" s="16" t="str">
        <x:v>ШТ</x:v>
      </x:c>
      <x:c r="F385" s="21" t="n">
        <x:v>1</x:v>
      </x:c>
      <x:c r="G385" s="17" t="n">
        <x:v>300.9008</x:v>
      </x:c>
      <x:c r="H385" s="17" t="n">
        <x:f>G385*F385</x:f>
        <x:v>300.9008</x:v>
      </x:c>
      <x:c r="I385" s="22" t="str">
        <x:f>HYPERLINK("https://etp-aktiv.ru/catalog/materialy/metizy/2000815302-U117/","Открыть позицию")</x:f>
        <x:v>Открыть позицию</x:v>
      </x:c>
    </x:row>
    <x:row r="386" ht="28" customHeight="1">
      <x:c r="A386" s="16" t="str">
        <x:v>Приморская ГРЭС</x:v>
      </x:c>
      <x:c r="B386" s="16" t="str">
        <x:v>2000519637-U117</x:v>
      </x:c>
      <x:c r="C386" s="16" t="str">
        <x:v>ЧУШКА ЦИНК Ц0А 5*20*40 ГОСТ3640-94</x:v>
      </x:c>
      <x:c r="D386" s="16" t="str">
        <x:v>Металлопрокат цветной</x:v>
      </x:c>
      <x:c r="E386" s="16" t="str">
        <x:v>КГ</x:v>
      </x:c>
      <x:c r="F386" s="30" t="n">
        <x:v>7.4</x:v>
      </x:c>
      <x:c r="G386" s="17" t="n">
        <x:v>265.0084</x:v>
      </x:c>
      <x:c r="H386" s="17" t="n">
        <x:f>G386*F386</x:f>
        <x:v>1961.06216</x:v>
      </x:c>
      <x:c r="I386" s="22" t="str">
        <x:f>HYPERLINK("https://etp-aktiv.ru/catalog/materialy/metalloprodukciya/2000519637-U117/","Открыть позицию")</x:f>
        <x:v>Открыть позицию</x:v>
      </x:c>
    </x:row>
    <x:row r="387" ht="28" customHeight="1">
      <x:c r="A387" s="16" t="str">
        <x:v>Приморская ГРЭС</x:v>
      </x:c>
      <x:c r="B387" s="16" t="str">
        <x:v>2000275467-U117</x:v>
      </x:c>
      <x:c r="C387" s="16" t="str">
        <x:v>ШАЙБА 42 ГОСТ6402-70</x:v>
      </x:c>
      <x:c r="D387" s="16" t="str">
        <x:v>Метизы</x:v>
      </x:c>
      <x:c r="E387" s="16" t="str">
        <x:v>КГ</x:v>
      </x:c>
      <x:c r="F387" s="30" t="n">
        <x:v>5.25</x:v>
      </x:c>
      <x:c r="G387" s="17" t="n">
        <x:v>260.5432</x:v>
      </x:c>
      <x:c r="H387" s="17" t="n">
        <x:f>G387*F387</x:f>
        <x:v>1367.8518000000001</x:v>
      </x:c>
      <x:c r="I387" s="22" t="str">
        <x:f>HYPERLINK("https://etp-aktiv.ru/catalog/materialy/metizy/2000275467-U117/","Открыть позицию")</x:f>
        <x:v>Открыть позицию</x:v>
      </x:c>
    </x:row>
    <x:row r="388" ht="28" customHeight="1">
      <x:c r="A388" s="16" t="str">
        <x:v>Приморская ГРЭС</x:v>
      </x:c>
      <x:c r="B388" s="16" t="str">
        <x:v>2000974444-U117</x:v>
      </x:c>
      <x:c r="C388" s="16" t="str">
        <x:v>ШАЙБА NORD-LOCK М20 ОЦИНК DIN25201</x:v>
      </x:c>
      <x:c r="D388" s="16" t="str">
        <x:v>Метизы</x:v>
      </x:c>
      <x:c r="E388" s="16" t="str">
        <x:v>КГ</x:v>
      </x:c>
      <x:c r="F388" s="30" t="n">
        <x:v>1.5</x:v>
      </x:c>
      <x:c r="G388" s="17" t="n">
        <x:v>8715.9484</x:v>
      </x:c>
      <x:c r="H388" s="17" t="n">
        <x:f>G388*F388</x:f>
        <x:v>13073.922599999998</x:v>
      </x:c>
      <x:c r="I388" s="22" t="str">
        <x:f>HYPERLINK("https://etp-aktiv.ru/catalog/materialy/metizy/2000974444-U117/","Открыть позицию")</x:f>
        <x:v>Открыть позицию</x:v>
      </x:c>
    </x:row>
    <x:row r="389" ht="28" customHeight="1">
      <x:c r="A389" s="16" t="str">
        <x:v>Приморская ГРЭС</x:v>
      </x:c>
      <x:c r="B389" s="16" t="str">
        <x:v>2000483218-U117</x:v>
      </x:c>
      <x:c r="C389" s="16" t="str">
        <x:v>ШАЙБА ГРОВЕРНАЯ М10 8.8 НЕРЖ DIN127</x:v>
      </x:c>
      <x:c r="D389" s="16" t="str">
        <x:v>Метизы специализированные и под заказ</x:v>
      </x:c>
      <x:c r="E389" s="16" t="str">
        <x:v>КГ</x:v>
      </x:c>
      <x:c r="F389" s="26" t="n">
        <x:v>0.2</x:v>
      </x:c>
      <x:c r="G389" s="17" t="n">
        <x:v>469.029</x:v>
      </x:c>
      <x:c r="H389" s="17" t="n">
        <x:f>G389*F389</x:f>
        <x:v>93.8058</x:v>
      </x:c>
      <x:c r="I389" s="22" t="str">
        <x:f>HYPERLINK("https://etp-aktiv.ru/catalog/materialy/metizy/2000483218-U117/","Открыть позицию")</x:f>
        <x:v>Открыть позицию</x:v>
      </x:c>
    </x:row>
    <x:row r="390" ht="28" customHeight="1">
      <x:c r="A390" s="16" t="str">
        <x:v>Приморская ГРЭС</x:v>
      </x:c>
      <x:c r="B390" s="16" t="str">
        <x:v>2000483219-U117</x:v>
      </x:c>
      <x:c r="C390" s="16" t="str">
        <x:v>ШАЙБА ГРОВЕРНАЯ М12 8.8 НЕРЖ DIN127</x:v>
      </x:c>
      <x:c r="D390" s="16" t="str">
        <x:v>Метизы</x:v>
      </x:c>
      <x:c r="E390" s="16" t="str">
        <x:v>КГ</x:v>
      </x:c>
      <x:c r="F390" s="30" t="n">
        <x:v>7.05</x:v>
      </x:c>
      <x:c r="G390" s="17" t="n">
        <x:v>334.06039999999996</x:v>
      </x:c>
      <x:c r="H390" s="17" t="n">
        <x:f>G390*F390</x:f>
        <x:v>2355.1258199999997</x:v>
      </x:c>
      <x:c r="I390" s="22" t="str">
        <x:f>HYPERLINK("https://etp-aktiv.ru/catalog/materialy/metizy/2000483219-U117/","Открыть позицию")</x:f>
        <x:v>Открыть позицию</x:v>
      </x:c>
    </x:row>
    <x:row r="391" ht="28" customHeight="1">
      <x:c r="A391" s="16" t="str">
        <x:v>Приморская ГРЭС</x:v>
      </x:c>
      <x:c r="B391" s="16" t="str">
        <x:v>2000483217-U117</x:v>
      </x:c>
      <x:c r="C391" s="16" t="str">
        <x:v>ШАЙБА ГРОВЕРНАЯ М6 8.8 НЕРЖ DIN127</x:v>
      </x:c>
      <x:c r="D391" s="16" t="str">
        <x:v>Метизы</x:v>
      </x:c>
      <x:c r="E391" s="16" t="str">
        <x:v>КГ</x:v>
      </x:c>
      <x:c r="F391" s="30" t="n">
        <x:v>52.083</x:v>
      </x:c>
      <x:c r="G391" s="17" t="n">
        <x:v>86.6932</x:v>
      </x:c>
      <x:c r="H391" s="17" t="n">
        <x:f>G391*F391</x:f>
        <x:v>4515.2419356</x:v>
      </x:c>
      <x:c r="I391" s="22" t="str">
        <x:f>HYPERLINK("https://etp-aktiv.ru/catalog/materialy/metizy/2000483217-U117/","Открыть позицию")</x:f>
        <x:v>Открыть позицию</x:v>
      </x:c>
    </x:row>
    <x:row r="392" ht="28" customHeight="1">
      <x:c r="A392" s="16" t="str">
        <x:v>Приморская ГРЭС</x:v>
      </x:c>
      <x:c r="B392" s="16" t="str">
        <x:v>2000483216-U117</x:v>
      </x:c>
      <x:c r="C392" s="16" t="str">
        <x:v>ШАЙБА ГРОВЕРНАЯ М8 8.8 НЕРЖ DIN127</x:v>
      </x:c>
      <x:c r="D392" s="16" t="str">
        <x:v>Метизы</x:v>
      </x:c>
      <x:c r="E392" s="16" t="str">
        <x:v>КГ</x:v>
      </x:c>
      <x:c r="F392" s="26" t="n">
        <x:v>0.47</x:v>
      </x:c>
      <x:c r="G392" s="17" t="n">
        <x:v>631.35</x:v>
      </x:c>
      <x:c r="H392" s="17" t="n">
        <x:f>G392*F392</x:f>
        <x:v>296.73449999999997</x:v>
      </x:c>
      <x:c r="I392" s="22" t="str">
        <x:f>HYPERLINK("https://etp-aktiv.ru/catalog/materialy/metizy/2000483216-U117/","Открыть позицию")</x:f>
        <x:v>Открыть позицию</x:v>
      </x:c>
    </x:row>
    <x:row r="393" ht="28" customHeight="1">
      <x:c r="A393" s="16" t="str">
        <x:v>Приморская ГРЭС</x:v>
      </x:c>
      <x:c r="B393" s="16" t="str">
        <x:v>2000208348-U117</x:v>
      </x:c>
      <x:c r="C393" s="16" t="str">
        <x:v>ШАЙБА М10 8.8 ОЦИН DIN125</x:v>
      </x:c>
      <x:c r="D393" s="16" t="str">
        <x:v>Метизы</x:v>
      </x:c>
      <x:c r="E393" s="16" t="str">
        <x:v>КГ</x:v>
      </x:c>
      <x:c r="F393" s="26" t="n">
        <x:v>0.05</x:v>
      </x:c>
      <x:c r="G393" s="17" t="n">
        <x:v>175.375</x:v>
      </x:c>
      <x:c r="H393" s="17" t="n">
        <x:f>G393*F393</x:f>
        <x:v>8.76875</x:v>
      </x:c>
      <x:c r="I393" s="22" t="str">
        <x:f>HYPERLINK("https://etp-aktiv.ru/catalog/materialy/metizy/2000208348-U117/","Открыть позицию")</x:f>
        <x:v>Открыть позицию</x:v>
      </x:c>
    </x:row>
    <x:row r="394" ht="28" customHeight="1">
      <x:c r="A394" s="16" t="str">
        <x:v>Приморская ГРЭС</x:v>
      </x:c>
      <x:c r="B394" s="16" t="str">
        <x:v>2000068575-U117</x:v>
      </x:c>
      <x:c r="C394" s="16" t="str">
        <x:v>ШАЙБА М10 ГРОВЕР ОЦИНК ГОСТ6402-70</x:v>
      </x:c>
      <x:c r="D394" s="16" t="str">
        <x:v>Метизы</x:v>
      </x:c>
      <x:c r="E394" s="16" t="str">
        <x:v>КГ</x:v>
      </x:c>
      <x:c r="F394" s="30" t="n">
        <x:v>7.985</x:v>
      </x:c>
      <x:c r="G394" s="17" t="n">
        <x:v>170.00699999999998</x:v>
      </x:c>
      <x:c r="H394" s="17" t="n">
        <x:f>G394*F394</x:f>
        <x:v>1357.5058949999998</x:v>
      </x:c>
      <x:c r="I394" s="22" t="str">
        <x:f>HYPERLINK("https://etp-aktiv.ru/catalog/materialy/metizy/2000068575-U117/","Открыть позицию")</x:f>
        <x:v>Открыть позицию</x:v>
      </x:c>
    </x:row>
    <x:row r="395" ht="28" customHeight="1">
      <x:c r="A395" s="16" t="str">
        <x:v>Приморская ГРЭС</x:v>
      </x:c>
      <x:c r="B395" s="16" t="str">
        <x:v>2000385907-U117</x:v>
      </x:c>
      <x:c r="C395" s="16" t="str">
        <x:v>ШАЙБА М12 8,8 ОЦИНК DIN125</x:v>
      </x:c>
      <x:c r="D395" s="16" t="str">
        <x:v>Метизы</x:v>
      </x:c>
      <x:c r="E395" s="16" t="str">
        <x:v>КГ</x:v>
      </x:c>
      <x:c r="F395" s="30" t="n">
        <x:v>12.64</x:v>
      </x:c>
      <x:c r="G395" s="17" t="n">
        <x:v>246.4034</x:v>
      </x:c>
      <x:c r="H395" s="17" t="n">
        <x:f>G395*F395</x:f>
        <x:v>3114.5389760000003</x:v>
      </x:c>
      <x:c r="I395" s="22" t="str">
        <x:f>HYPERLINK("https://etp-aktiv.ru/catalog/materialy/metizy/2000385907-U117/","Открыть позицию")</x:f>
        <x:v>Открыть позицию</x:v>
      </x:c>
    </x:row>
    <x:row r="396" ht="28" customHeight="1">
      <x:c r="A396" s="16" t="str">
        <x:v>Приморская ГРЭС</x:v>
      </x:c>
      <x:c r="B396" s="16" t="str">
        <x:v>2000385950-U117</x:v>
      </x:c>
      <x:c r="C396" s="16" t="str">
        <x:v>ШАЙБА М12 8,8 ОЦИНК DIN127</x:v>
      </x:c>
      <x:c r="D396" s="16" t="str">
        <x:v>Метизы</x:v>
      </x:c>
      <x:c r="E396" s="16" t="str">
        <x:v>КГ</x:v>
      </x:c>
      <x:c r="F396" s="30" t="n">
        <x:v>2.524</x:v>
      </x:c>
      <x:c r="G396" s="17" t="n">
        <x:v>274.2682</x:v>
      </x:c>
      <x:c r="H396" s="17" t="n">
        <x:f>G396*F396</x:f>
        <x:v>692.2529367999999</x:v>
      </x:c>
      <x:c r="I396" s="22" t="str">
        <x:f>HYPERLINK("https://etp-aktiv.ru/catalog/materialy/metizy/2000385950-U117/","Открыть позицию")</x:f>
        <x:v>Открыть позицию</x:v>
      </x:c>
    </x:row>
    <x:row r="397" ht="28" customHeight="1">
      <x:c r="A397" s="16" t="str">
        <x:v>Приморская ГРЭС</x:v>
      </x:c>
      <x:c r="B397" s="16" t="str">
        <x:v>2000166489-U117</x:v>
      </x:c>
      <x:c r="C397" s="16" t="str">
        <x:v>ШАЙБА М12 ГРОВЕР ГОСТ6402-80</x:v>
      </x:c>
      <x:c r="D397" s="16" t="str">
        <x:v>Метизы</x:v>
      </x:c>
      <x:c r="E397" s="16" t="str">
        <x:v>КГ</x:v>
      </x:c>
      <x:c r="F397" s="30" t="n">
        <x:v>1.72</x:v>
      </x:c>
      <x:c r="G397" s="17" t="n">
        <x:v>118.46199999999999</x:v>
      </x:c>
      <x:c r="H397" s="17" t="n">
        <x:f>G397*F397</x:f>
        <x:v>203.75463999999997</x:v>
      </x:c>
      <x:c r="I397" s="22" t="str">
        <x:f>HYPERLINK("https://etp-aktiv.ru/catalog/materialy/metizy/2000166489-U117/","Открыть позицию")</x:f>
        <x:v>Открыть позицию</x:v>
      </x:c>
    </x:row>
    <x:row r="398" ht="28" customHeight="1">
      <x:c r="A398" s="16" t="str">
        <x:v>Приморская ГРЭС</x:v>
      </x:c>
      <x:c r="B398" s="16" t="str">
        <x:v>2000068590-U117</x:v>
      </x:c>
      <x:c r="C398" s="16" t="str">
        <x:v>ШАЙБА М12 ГРОВЕР ОЦИНК ГОСТ6402-70</x:v>
      </x:c>
      <x:c r="D398" s="16" t="str">
        <x:v>Метизы</x:v>
      </x:c>
      <x:c r="E398" s="16" t="str">
        <x:v>КГ</x:v>
      </x:c>
      <x:c r="F398" s="30" t="n">
        <x:v>3.67</x:v>
      </x:c>
      <x:c r="G398" s="17" t="n">
        <x:v>196.42</x:v>
      </x:c>
      <x:c r="H398" s="17" t="n">
        <x:f>G398*F398</x:f>
        <x:v>720.8613999999999</x:v>
      </x:c>
      <x:c r="I398" s="22" t="str">
        <x:f>HYPERLINK("https://etp-aktiv.ru/catalog/materialy/metizy/2000068590-U117/","Открыть позицию")</x:f>
        <x:v>Открыть позицию</x:v>
      </x:c>
    </x:row>
    <x:row r="399" ht="28" customHeight="1">
      <x:c r="A399" s="16" t="str">
        <x:v>Приморская ГРЭС</x:v>
      </x:c>
      <x:c r="B399" s="16" t="str">
        <x:v>2000068576-U117</x:v>
      </x:c>
      <x:c r="C399" s="16" t="str">
        <x:v>ШАЙБА М12 ОЦИНК ГОСТ11371-78</x:v>
      </x:c>
      <x:c r="D399" s="16" t="str">
        <x:v>Метизы</x:v>
      </x:c>
      <x:c r="E399" s="16" t="str">
        <x:v>КГ</x:v>
      </x:c>
      <x:c r="F399" s="30" t="n">
        <x:v>67.03</x:v>
      </x:c>
      <x:c r="G399" s="17" t="n">
        <x:v>124.86699999999999</x:v>
      </x:c>
      <x:c r="H399" s="17" t="n">
        <x:f>G399*F399</x:f>
        <x:v>8369.835009999999</x:v>
      </x:c>
      <x:c r="I399" s="22" t="str">
        <x:f>HYPERLINK("https://etp-aktiv.ru/catalog/materialy/metizy/2000068576-U117/","Открыть позицию")</x:f>
        <x:v>Открыть позицию</x:v>
      </x:c>
    </x:row>
    <x:row r="400" ht="28" customHeight="1">
      <x:c r="A400" s="16" t="str">
        <x:v>Приморская ГРЭС</x:v>
      </x:c>
      <x:c r="B400" s="16" t="str">
        <x:v>2000385949-U117</x:v>
      </x:c>
      <x:c r="C400" s="16" t="str">
        <x:v>ШАЙБА М14 8,8 ОЦИНК DIN127</x:v>
      </x:c>
      <x:c r="D400" s="16" t="str">
        <x:v>Метизы</x:v>
      </x:c>
      <x:c r="E400" s="16" t="str">
        <x:v>КГ</x:v>
      </x:c>
      <x:c r="F400" s="30" t="n">
        <x:v>9.72</x:v>
      </x:c>
      <x:c r="G400" s="17" t="n">
        <x:v>256.24879999999996</x:v>
      </x:c>
      <x:c r="H400" s="17" t="n">
        <x:f>G400*F400</x:f>
        <x:v>2490.738336</x:v>
      </x:c>
      <x:c r="I400" s="22" t="str">
        <x:f>HYPERLINK("https://etp-aktiv.ru/catalog/materialy/metizy/2000385949-U117/","Открыть позицию")</x:f>
        <x:v>Открыть позицию</x:v>
      </x:c>
    </x:row>
    <x:row r="401" ht="28" customHeight="1">
      <x:c r="A401" s="16" t="str">
        <x:v>Приморская ГРЭС</x:v>
      </x:c>
      <x:c r="B401" s="16" t="str">
        <x:v>2000068577-U117</x:v>
      </x:c>
      <x:c r="C401" s="16" t="str">
        <x:v>ШАЙБА М14 ГРОВЕР ГОСТ6402-70</x:v>
      </x:c>
      <x:c r="D401" s="16" t="str">
        <x:v>Метизы</x:v>
      </x:c>
      <x:c r="E401" s="16" t="str">
        <x:v>КГ</x:v>
      </x:c>
      <x:c r="F401" s="30" t="n">
        <x:v>1.966</x:v>
      </x:c>
      <x:c r="G401" s="17" t="n">
        <x:v>96.08720000000001</x:v>
      </x:c>
      <x:c r="H401" s="17" t="n">
        <x:f>G401*F401</x:f>
        <x:v>188.9074352</x:v>
      </x:c>
      <x:c r="I401" s="22" t="str">
        <x:f>HYPERLINK("https://etp-aktiv.ru/catalog/materialy/metizy/2000068577-U117/","Открыть позицию")</x:f>
        <x:v>Открыть позицию</x:v>
      </x:c>
    </x:row>
    <x:row r="402" ht="28" customHeight="1">
      <x:c r="A402" s="16" t="str">
        <x:v>Приморская ГРЭС</x:v>
      </x:c>
      <x:c r="B402" s="16" t="str">
        <x:v>2000330276-U117</x:v>
      </x:c>
      <x:c r="C402" s="16" t="str">
        <x:v>ШАЙБА М16 3Х13 ГОСТ6402-70</x:v>
      </x:c>
      <x:c r="D402" s="16" t="str">
        <x:v>Метизы</x:v>
      </x:c>
      <x:c r="E402" s="16" t="str">
        <x:v>КГ</x:v>
      </x:c>
      <x:c r="F402" s="26" t="n">
        <x:v>0.82</x:v>
      </x:c>
      <x:c r="G402" s="17" t="n">
        <x:v>4824.8072</x:v>
      </x:c>
      <x:c r="H402" s="17" t="n">
        <x:f>G402*F402</x:f>
        <x:v>3956.341904</x:v>
      </x:c>
      <x:c r="I402" s="22" t="str">
        <x:f>HYPERLINK("https://etp-aktiv.ru/catalog/materialy/metizy/2000330276-U117/","Открыть позицию")</x:f>
        <x:v>Открыть позицию</x:v>
      </x:c>
    </x:row>
    <x:row r="403" ht="28" customHeight="1">
      <x:c r="A403" s="16" t="str">
        <x:v>Приморская ГРЭС</x:v>
      </x:c>
      <x:c r="B403" s="16" t="str">
        <x:v>2000148443-U117</x:v>
      </x:c>
      <x:c r="C403" s="16" t="str">
        <x:v>ШАЙБА М16 ГРОВЕР ГОСТ6402-78</x:v>
      </x:c>
      <x:c r="D403" s="16" t="str">
        <x:v>Метизы специализированные и под заказ</x:v>
      </x:c>
      <x:c r="E403" s="16" t="str">
        <x:v>КГ</x:v>
      </x:c>
      <x:c r="F403" s="26" t="n">
        <x:v>0.006</x:v>
      </x:c>
      <x:c r="G403" s="17" t="n">
        <x:v>178.93739999999997</x:v>
      </x:c>
      <x:c r="H403" s="17" t="n">
        <x:f>G403*F403</x:f>
        <x:v>1.0736244</x:v>
      </x:c>
      <x:c r="I403" s="22" t="str">
        <x:f>HYPERLINK("https://etp-aktiv.ru/catalog/materialy/metizy/2000148443-U117/","Открыть позицию")</x:f>
        <x:v>Открыть позицию</x:v>
      </x:c>
    </x:row>
    <x:row r="404" ht="28" customHeight="1">
      <x:c r="A404" s="16" t="str">
        <x:v>Приморская ГРЭС</x:v>
      </x:c>
      <x:c r="B404" s="16" t="str">
        <x:v>2000385941-U117</x:v>
      </x:c>
      <x:c r="C404" s="16" t="str">
        <x:v>ШАЙБА М18 8,8 ОЦИНК DIN9021</x:v>
      </x:c>
      <x:c r="D404" s="16" t="str">
        <x:v>Метизы</x:v>
      </x:c>
      <x:c r="E404" s="16" t="str">
        <x:v>КГ</x:v>
      </x:c>
      <x:c r="F404" s="26" t="n">
        <x:v>0.46</x:v>
      </x:c>
      <x:c r="G404" s="17" t="n">
        <x:v>109.9952</x:v>
      </x:c>
      <x:c r="H404" s="17" t="n">
        <x:f>G404*F404</x:f>
        <x:v>50.597792</x:v>
      </x:c>
      <x:c r="I404" s="22" t="str">
        <x:f>HYPERLINK("https://etp-aktiv.ru/catalog/materialy/metizy/2000385941-U117/","Открыть позицию")</x:f>
        <x:v>Открыть позицию</x:v>
      </x:c>
    </x:row>
    <x:row r="405" ht="28" customHeight="1">
      <x:c r="A405" s="16" t="str">
        <x:v>Приморская ГРЭС</x:v>
      </x:c>
      <x:c r="B405" s="16" t="str">
        <x:v>2000068587-U117</x:v>
      </x:c>
      <x:c r="C405" s="16" t="str">
        <x:v>ШАЙБА М18 ГОСТ11371-78</x:v>
      </x:c>
      <x:c r="D405" s="16" t="str">
        <x:v>Метизы</x:v>
      </x:c>
      <x:c r="E405" s="16" t="str">
        <x:v>КГ</x:v>
      </x:c>
      <x:c r="F405" s="30" t="n">
        <x:v>12.03</x:v>
      </x:c>
      <x:c r="G405" s="17" t="n">
        <x:v>94.55</x:v>
      </x:c>
      <x:c r="H405" s="17" t="n">
        <x:f>G405*F405</x:f>
        <x:v>1137.4364999999998</x:v>
      </x:c>
      <x:c r="I405" s="22" t="str">
        <x:f>HYPERLINK("https://etp-aktiv.ru/catalog/materialy/metizy/2000068587-U117/","Открыть позицию")</x:f>
        <x:v>Открыть позицию</x:v>
      </x:c>
    </x:row>
    <x:row r="406" ht="28" customHeight="1">
      <x:c r="A406" s="16" t="str">
        <x:v>Приморская ГРЭС</x:v>
      </x:c>
      <x:c r="B406" s="16" t="str">
        <x:v>2000385909-U117</x:v>
      </x:c>
      <x:c r="C406" s="16" t="str">
        <x:v>ШАЙБА М20 8,8 ОЦИНК DIN125</x:v>
      </x:c>
      <x:c r="D406" s="16" t="str">
        <x:v>Метизы</x:v>
      </x:c>
      <x:c r="E406" s="16" t="str">
        <x:v>КГ</x:v>
      </x:c>
      <x:c r="F406" s="30" t="n">
        <x:v>23.15</x:v>
      </x:c>
      <x:c r="G406" s="17" t="n">
        <x:v>230.0066</x:v>
      </x:c>
      <x:c r="H406" s="17" t="n">
        <x:f>G406*F406</x:f>
        <x:v>5324.652789999999</x:v>
      </x:c>
      <x:c r="I406" s="22" t="str">
        <x:f>HYPERLINK("https://etp-aktiv.ru/catalog/materialy/metizy/2000385909-U117/","Открыть позицию")</x:f>
        <x:v>Открыть позицию</x:v>
      </x:c>
    </x:row>
    <x:row r="407" ht="28" customHeight="1">
      <x:c r="A407" s="16" t="str">
        <x:v>Приморская ГРЭС</x:v>
      </x:c>
      <x:c r="B407" s="16" t="str">
        <x:v>2000141759-U117</x:v>
      </x:c>
      <x:c r="C407" s="16" t="str">
        <x:v>ШАЙБА М20 ГРОВЕР ГОСТ6402-80</x:v>
      </x:c>
      <x:c r="D407" s="16" t="str">
        <x:v>Метизы специализированные и под заказ</x:v>
      </x:c>
      <x:c r="E407" s="16" t="str">
        <x:v>КГ</x:v>
      </x:c>
      <x:c r="F407" s="30" t="n">
        <x:v>4.18</x:v>
      </x:c>
      <x:c r="G407" s="17" t="n">
        <x:v>212.2068</x:v>
      </x:c>
      <x:c r="H407" s="17" t="n">
        <x:f>G407*F407</x:f>
        <x:v>887.0244239999998</x:v>
      </x:c>
      <x:c r="I407" s="22" t="str">
        <x:f>HYPERLINK("https://etp-aktiv.ru/catalog/materialy/metizy/2000141759-U117/","Открыть позицию")</x:f>
        <x:v>Открыть позицию</x:v>
      </x:c>
    </x:row>
    <x:row r="408" ht="28" customHeight="1">
      <x:c r="A408" s="16" t="str">
        <x:v>Приморская ГРЭС</x:v>
      </x:c>
      <x:c r="B408" s="16" t="str">
        <x:v>2000045309-U117</x:v>
      </x:c>
      <x:c r="C408" s="16" t="str">
        <x:v>ШАЙБА М30 65Г ГРОВЕР ГОСТ6402-70</x:v>
      </x:c>
      <x:c r="D408" s="16" t="str">
        <x:v>Метизы специализированные и под заказ</x:v>
      </x:c>
      <x:c r="E408" s="16" t="str">
        <x:v>Т</x:v>
      </x:c>
      <x:c r="F408" s="26" t="n">
        <x:v>0.946</x:v>
      </x:c>
      <x:c r="G408" s="17" t="n">
        <x:v>195229.45080000002</x:v>
      </x:c>
      <x:c r="H408" s="17" t="n">
        <x:f>G408*F408</x:f>
        <x:v>184687.0604568</x:v>
      </x:c>
      <x:c r="I408" s="22" t="str">
        <x:f>HYPERLINK("https://etp-aktiv.ru/catalog/materialy/metizy/2000045309-U117/","Открыть позицию")</x:f>
        <x:v>Открыть позицию</x:v>
      </x:c>
    </x:row>
    <x:row r="409" ht="28" customHeight="1">
      <x:c r="A409" s="16" t="str">
        <x:v>Приморская ГРЭС</x:v>
      </x:c>
      <x:c r="B409" s="16" t="str">
        <x:v>2000082298-U117</x:v>
      </x:c>
      <x:c r="C409" s="16" t="str">
        <x:v>ШАЙБА М6 ГОСТ11371-78</x:v>
      </x:c>
      <x:c r="D409" s="16" t="str">
        <x:v>Метизы</x:v>
      </x:c>
      <x:c r="E409" s="16" t="str">
        <x:v>ШТ</x:v>
      </x:c>
      <x:c r="F409" s="21" t="n">
        <x:v>205</x:v>
      </x:c>
      <x:c r="G409" s="17" t="n">
        <x:v>0.1098</x:v>
      </x:c>
      <x:c r="H409" s="17" t="n">
        <x:f>G409*F409</x:f>
        <x:v>22.509</x:v>
      </x:c>
      <x:c r="I409" s="22" t="str">
        <x:f>HYPERLINK("https://etp-aktiv.ru/catalog/materialy/metizy/2000082298-U117/","Открыть позицию")</x:f>
        <x:v>Открыть позицию</x:v>
      </x:c>
    </x:row>
    <x:row r="410" ht="28" customHeight="1">
      <x:c r="A410" s="16" t="str">
        <x:v>Приморская ГРЭС</x:v>
      </x:c>
      <x:c r="B410" s="16" t="str">
        <x:v>2000177246-U117</x:v>
      </x:c>
      <x:c r="C410" s="16" t="str">
        <x:v>ШАЙБА М6 ГОСТ22355-77</x:v>
      </x:c>
      <x:c r="D410" s="16" t="str">
        <x:v>Метизы</x:v>
      </x:c>
      <x:c r="E410" s="16" t="str">
        <x:v>КГ</x:v>
      </x:c>
      <x:c r="F410" s="30" t="n">
        <x:v>280.084</x:v>
      </x:c>
      <x:c r="G410" s="17" t="n">
        <x:v>67.8442</x:v>
      </x:c>
      <x:c r="H410" s="17" t="n">
        <x:f>G410*F410</x:f>
        <x:v>19002.0749128</x:v>
      </x:c>
      <x:c r="I410" s="22" t="str">
        <x:f>HYPERLINK("https://etp-aktiv.ru/catalog/materialy/metizy/2000177246-U117/","Открыть позицию")</x:f>
        <x:v>Открыть позицию</x:v>
      </x:c>
    </x:row>
    <x:row r="411" ht="28" customHeight="1">
      <x:c r="A411" s="16" t="str">
        <x:v>Приморская ГРЭС</x:v>
      </x:c>
      <x:c r="B411" s="16" t="str">
        <x:v>2000177244-U117</x:v>
      </x:c>
      <x:c r="C411" s="16" t="str">
        <x:v>ШАЙБА М8 ГОСТ22355-77</x:v>
      </x:c>
      <x:c r="D411" s="16" t="str">
        <x:v>Метизы</x:v>
      </x:c>
      <x:c r="E411" s="16" t="str">
        <x:v>КГ</x:v>
      </x:c>
      <x:c r="F411" s="30" t="n">
        <x:v>162.15</x:v>
      </x:c>
      <x:c r="G411" s="17" t="n">
        <x:v>59.0358</x:v>
      </x:c>
      <x:c r="H411" s="17" t="n">
        <x:f>G411*F411</x:f>
        <x:v>9572.654970000001</x:v>
      </x:c>
      <x:c r="I411" s="22" t="str">
        <x:f>HYPERLINK("https://etp-aktiv.ru/catalog/materialy/metizy/2000177244-U117/","Открыть позицию")</x:f>
        <x:v>Открыть позицию</x:v>
      </x:c>
    </x:row>
    <x:row r="412" ht="28" customHeight="1">
      <x:c r="A412" s="16" t="str">
        <x:v>Приморская ГРЭС</x:v>
      </x:c>
      <x:c r="B412" s="16" t="str">
        <x:v>2000068571-U117</x:v>
      </x:c>
      <x:c r="C412" s="16" t="str">
        <x:v>ШАЙБА М8 ГРОВЕР ГОСТ6402-70</x:v>
      </x:c>
      <x:c r="D412" s="16" t="str">
        <x:v>Метизы</x:v>
      </x:c>
      <x:c r="E412" s="16" t="str">
        <x:v>КГ</x:v>
      </x:c>
      <x:c r="F412" s="30" t="n">
        <x:v>4.253</x:v>
      </x:c>
      <x:c r="G412" s="17" t="n">
        <x:v>92.4516</x:v>
      </x:c>
      <x:c r="H412" s="17" t="n">
        <x:f>G412*F412</x:f>
        <x:v>393.19665480000003</x:v>
      </x:c>
      <x:c r="I412" s="22" t="str">
        <x:f>HYPERLINK("https://etp-aktiv.ru/catalog/materialy/metizy/2000068571-U117/","Открыть позицию")</x:f>
        <x:v>Открыть позицию</x:v>
      </x:c>
    </x:row>
    <x:row r="413" ht="28" customHeight="1">
      <x:c r="A413" s="16" t="str">
        <x:v>Приморская ГРЭС</x:v>
      </x:c>
      <x:c r="B413" s="16" t="str">
        <x:v>2000485047-U117</x:v>
      </x:c>
      <x:c r="C413" s="16" t="str">
        <x:v>ШАЙБА ПЛОСКАЯ M10 8.8 A2 DIN125</x:v>
      </x:c>
      <x:c r="D413" s="16" t="str">
        <x:v>Метизы</x:v>
      </x:c>
      <x:c r="E413" s="16" t="str">
        <x:v>КГ</x:v>
      </x:c>
      <x:c r="F413" s="26" t="n">
        <x:v>0.59</x:v>
      </x:c>
      <x:c r="G413" s="17" t="n">
        <x:v>2333.1158</x:v>
      </x:c>
      <x:c r="H413" s="17" t="n">
        <x:f>G413*F413</x:f>
        <x:v>1376.5383219999999</x:v>
      </x:c>
      <x:c r="I413" s="22" t="str">
        <x:f>HYPERLINK("https://etp-aktiv.ru/catalog/materialy/metizy/2000485047-U117/","Открыть позицию")</x:f>
        <x:v>Открыть позицию</x:v>
      </x:c>
    </x:row>
    <x:row r="414" ht="28" customHeight="1">
      <x:c r="A414" s="16" t="str">
        <x:v>Приморская ГРЭС</x:v>
      </x:c>
      <x:c r="B414" s="16" t="str">
        <x:v>2000485048-U117</x:v>
      </x:c>
      <x:c r="C414" s="16" t="str">
        <x:v>ШАЙБА ПЛОСКАЯ M12 8.8 A2 DIN125</x:v>
      </x:c>
      <x:c r="D414" s="16" t="str">
        <x:v>Метизы</x:v>
      </x:c>
      <x:c r="E414" s="16" t="str">
        <x:v>КГ</x:v>
      </x:c>
      <x:c r="F414" s="26" t="n">
        <x:v>0.9</x:v>
      </x:c>
      <x:c r="G414" s="17" t="n">
        <x:v>457.622</x:v>
      </x:c>
      <x:c r="H414" s="17" t="n">
        <x:f>G414*F414</x:f>
        <x:v>411.8598</x:v>
      </x:c>
      <x:c r="I414" s="22" t="str">
        <x:f>HYPERLINK("https://etp-aktiv.ru/catalog/materialy/metizy/2000485048-U117/","Открыть позицию")</x:f>
        <x:v>Открыть позицию</x:v>
      </x:c>
    </x:row>
    <x:row r="415" ht="28" customHeight="1">
      <x:c r="A415" s="16" t="str">
        <x:v>Приморская ГРЭС</x:v>
      </x:c>
      <x:c r="B415" s="16" t="str">
        <x:v>2000485046-U117</x:v>
      </x:c>
      <x:c r="C415" s="16" t="str">
        <x:v>ШАЙБА ПЛОСКАЯ M8 8.8 A2 DIN125</x:v>
      </x:c>
      <x:c r="D415" s="16" t="str">
        <x:v>Метизы</x:v>
      </x:c>
      <x:c r="E415" s="16" t="str">
        <x:v>КГ</x:v>
      </x:c>
      <x:c r="F415" s="30" t="n">
        <x:v>1.41</x:v>
      </x:c>
      <x:c r="G415" s="17" t="n">
        <x:v>1220.61</x:v>
      </x:c>
      <x:c r="H415" s="17" t="n">
        <x:f>G415*F415</x:f>
        <x:v>1721.0600999999997</x:v>
      </x:c>
      <x:c r="I415" s="22" t="str">
        <x:f>HYPERLINK("https://etp-aktiv.ru/catalog/materialy/metizy/2000485046-U117/","Открыть позицию")</x:f>
        <x:v>Открыть позицию</x:v>
      </x:c>
    </x:row>
    <x:row r="416" ht="28" customHeight="1">
      <x:c r="A416" s="16" t="str">
        <x:v>Приморская ГРЭС</x:v>
      </x:c>
      <x:c r="B416" s="16" t="str">
        <x:v>2000530256-U117</x:v>
      </x:c>
      <x:c r="C416" s="16" t="str">
        <x:v>ШАЙБА ПЛОСКАЯ А.16 ГОСТ10450-78</x:v>
      </x:c>
      <x:c r="D416" s="16" t="str">
        <x:v>Метизы</x:v>
      </x:c>
      <x:c r="E416" s="16" t="str">
        <x:v>КГ</x:v>
      </x:c>
      <x:c r="F416" s="26" t="n">
        <x:v>0.31</x:v>
      </x:c>
      <x:c r="G416" s="17" t="n">
        <x:v>120.80439999999999</x:v>
      </x:c>
      <x:c r="H416" s="17" t="n">
        <x:f>G416*F416</x:f>
        <x:v>37.449363999999996</x:v>
      </x:c>
      <x:c r="I416" s="22" t="str">
        <x:f>HYPERLINK("https://etp-aktiv.ru/catalog/materialy/metizy/2000530256-U117/","Открыть позицию")</x:f>
        <x:v>Открыть позицию</x:v>
      </x:c>
    </x:row>
    <x:row r="417" ht="28" customHeight="1">
      <x:c r="A417" s="16" t="str">
        <x:v>Приморская ГРЭС</x:v>
      </x:c>
      <x:c r="B417" s="16" t="str">
        <x:v>2000530258-U117</x:v>
      </x:c>
      <x:c r="C417" s="16" t="str">
        <x:v>ШАЙБА ПЛОСКАЯ А.18 ГОСТ11371-78</x:v>
      </x:c>
      <x:c r="D417" s="16" t="str">
        <x:v>Метизы</x:v>
      </x:c>
      <x:c r="E417" s="16" t="str">
        <x:v>КГ</x:v>
      </x:c>
      <x:c r="F417" s="30" t="n">
        <x:v>1.5</x:v>
      </x:c>
      <x:c r="G417" s="17" t="n">
        <x:v>95.56259999999999</x:v>
      </x:c>
      <x:c r="H417" s="17" t="n">
        <x:f>G417*F417</x:f>
        <x:v>143.3439</x:v>
      </x:c>
      <x:c r="I417" s="22" t="str">
        <x:f>HYPERLINK("https://etp-aktiv.ru/catalog/materialy/metizy/2000530258-U117/","Открыть позицию")</x:f>
        <x:v>Открыть позицию</x:v>
      </x:c>
    </x:row>
    <x:row r="418" ht="28" customHeight="1">
      <x:c r="A418" s="16" t="str">
        <x:v>Приморская ГРЭС</x:v>
      </x:c>
      <x:c r="B418" s="16" t="str">
        <x:v>2000791367-U117</x:v>
      </x:c>
      <x:c r="C418" s="16" t="str">
        <x:v>ШАЙБА ПЛОСКАЯ М10 DIN7349</x:v>
      </x:c>
      <x:c r="D418" s="16" t="str">
        <x:v>Метизы специализированные и под заказ</x:v>
      </x:c>
      <x:c r="E418" s="16" t="str">
        <x:v>КГ</x:v>
      </x:c>
      <x:c r="F418" s="26" t="n">
        <x:v>0.96</x:v>
      </x:c>
      <x:c r="G418" s="17" t="n">
        <x:v>3660</x:v>
      </x:c>
      <x:c r="H418" s="17" t="n">
        <x:f>G418*F418</x:f>
        <x:v>3513.6</x:v>
      </x:c>
      <x:c r="I418" s="22" t="str">
        <x:f>HYPERLINK("https://etp-aktiv.ru/catalog/materialy/metizy/2000791367-U117/","Открыть позицию")</x:f>
        <x:v>Открыть позицию</x:v>
      </x:c>
    </x:row>
    <x:row r="419" ht="28" customHeight="1">
      <x:c r="A419" s="16" t="str">
        <x:v>Приморская ГРЭС</x:v>
      </x:c>
      <x:c r="B419" s="16" t="str">
        <x:v>2000634807-U117</x:v>
      </x:c>
      <x:c r="C419" s="16" t="str">
        <x:v>ШАЙБА ПЛОСКАЯ М14 8.8 ОЦИНК DIN125</x:v>
      </x:c>
      <x:c r="D419" s="16" t="str">
        <x:v>Метизы</x:v>
      </x:c>
      <x:c r="E419" s="16" t="str">
        <x:v>КГ</x:v>
      </x:c>
      <x:c r="F419" s="30" t="n">
        <x:v>1.06</x:v>
      </x:c>
      <x:c r="G419" s="17" t="n">
        <x:v>230.7874</x:v>
      </x:c>
      <x:c r="H419" s="17" t="n">
        <x:f>G419*F419</x:f>
        <x:v>244.634644</x:v>
      </x:c>
      <x:c r="I419" s="22" t="str">
        <x:f>HYPERLINK("https://etp-aktiv.ru/catalog/materialy/metizy/2000634807-U117/","Открыть позицию")</x:f>
        <x:v>Открыть позицию</x:v>
      </x:c>
    </x:row>
    <x:row r="420" ht="28" customHeight="1">
      <x:c r="A420" s="16" t="str">
        <x:v>Приморская ГРЭС</x:v>
      </x:c>
      <x:c r="B420" s="16" t="str">
        <x:v>2000487795-U117</x:v>
      </x:c>
      <x:c r="C420" s="16" t="str">
        <x:v>ШАЙБА ПЛОСКАЯ ОЦ М10*20 СД 050618.01-01</x:v>
      </x:c>
      <x:c r="D420" s="16" t="str">
        <x:v>Метизы</x:v>
      </x:c>
      <x:c r="E420" s="16" t="str">
        <x:v>КГ</x:v>
      </x:c>
      <x:c r="F420" s="30" t="n">
        <x:v>1.5</x:v>
      </x:c>
      <x:c r="G420" s="17" t="n">
        <x:v>180.43800000000002</x:v>
      </x:c>
      <x:c r="H420" s="17" t="n">
        <x:f>G420*F420</x:f>
        <x:v>270.65700000000004</x:v>
      </x:c>
      <x:c r="I420" s="22" t="str">
        <x:f>HYPERLINK("https://etp-aktiv.ru/catalog/materialy/metizy/2000487795-U117/","Открыть позицию")</x:f>
        <x:v>Открыть позицию</x:v>
      </x:c>
    </x:row>
    <x:row r="421" ht="28" customHeight="1">
      <x:c r="A421" s="16" t="str">
        <x:v>Приморская ГРЭС</x:v>
      </x:c>
      <x:c r="B421" s="16" t="str">
        <x:v>2000530286-U117</x:v>
      </x:c>
      <x:c r="C421" s="16" t="str">
        <x:v>ШАЙБА ПРУЖИННАЯ 1.16 СТ65Г ГОСТ6402</x:v>
      </x:c>
      <x:c r="D421" s="16" t="str">
        <x:v>Метизы</x:v>
      </x:c>
      <x:c r="E421" s="16" t="str">
        <x:v>КГ</x:v>
      </x:c>
      <x:c r="F421" s="26" t="n">
        <x:v>0.4</x:v>
      </x:c>
      <x:c r="G421" s="17" t="n">
        <x:v>184.76899999999998</x:v>
      </x:c>
      <x:c r="H421" s="17" t="n">
        <x:f>G421*F421</x:f>
        <x:v>73.90759999999999</x:v>
      </x:c>
      <x:c r="I421" s="22" t="str">
        <x:f>HYPERLINK("https://etp-aktiv.ru/catalog/materialy/metizy/2000530286-U117/","Открыть позицию")</x:f>
        <x:v>Открыть позицию</x:v>
      </x:c>
    </x:row>
    <x:row r="422" ht="28" customHeight="1">
      <x:c r="A422" s="16" t="str">
        <x:v>Приморская ГРЭС</x:v>
      </x:c>
      <x:c r="B422" s="16" t="str">
        <x:v>2000462182-U117</x:v>
      </x:c>
      <x:c r="C422" s="16" t="str">
        <x:v>ШАЙБА ПРУЖИННАЯ 10Н 3Х13 ГОСТ6402-70</x:v>
      </x:c>
      <x:c r="D422" s="16" t="str">
        <x:v>Метизы</x:v>
      </x:c>
      <x:c r="E422" s="16" t="str">
        <x:v>КГ</x:v>
      </x:c>
      <x:c r="F422" s="26" t="n">
        <x:v>0.04</x:v>
      </x:c>
      <x:c r="G422" s="17" t="n">
        <x:v>368.745</x:v>
      </x:c>
      <x:c r="H422" s="17" t="n">
        <x:f>G422*F422</x:f>
        <x:v>14.7498</x:v>
      </x:c>
      <x:c r="I422" s="22" t="str">
        <x:f>HYPERLINK("https://etp-aktiv.ru/catalog/materialy/metizy/2000462182-U117/","Открыть позицию")</x:f>
        <x:v>Открыть позицию</x:v>
      </x:c>
    </x:row>
    <x:row r="423" ht="28" customHeight="1">
      <x:c r="A423" s="16" t="str">
        <x:v>Приморская ГРЭС</x:v>
      </x:c>
      <x:c r="B423" s="16" t="str">
        <x:v>2000530319-U117</x:v>
      </x:c>
      <x:c r="C423" s="16" t="str">
        <x:v>ШАЙБА УВЕЛ А.16 01.СТ08КП 016 ГОСТ6958</x:v>
      </x:c>
      <x:c r="D423" s="16" t="str">
        <x:v>Метизы</x:v>
      </x:c>
      <x:c r="E423" s="16" t="str">
        <x:v>КГ</x:v>
      </x:c>
      <x:c r="F423" s="30" t="n">
        <x:v>2.5</x:v>
      </x:c>
      <x:c r="G423" s="17" t="n">
        <x:v>176.9</x:v>
      </x:c>
      <x:c r="H423" s="17" t="n">
        <x:f>G423*F423</x:f>
        <x:v>442.25</x:v>
      </x:c>
      <x:c r="I423" s="22" t="str">
        <x:f>HYPERLINK("https://etp-aktiv.ru/catalog/materialy/metizy/2000530319-U117/","Открыть позицию")</x:f>
        <x:v>Открыть позицию</x:v>
      </x:c>
    </x:row>
    <x:row r="424" ht="28" customHeight="1">
      <x:c r="A424" s="16" t="str">
        <x:v>Приморская ГРЭС</x:v>
      </x:c>
      <x:c r="B424" s="16" t="str">
        <x:v>2000654909-U117</x:v>
      </x:c>
      <x:c r="C424" s="16" t="str">
        <x:v>ШАЙБА УСИЛЕННАЯ М10 8 ОЦИНК DIN9021</x:v>
      </x:c>
      <x:c r="D424" s="16" t="str">
        <x:v>Метизы</x:v>
      </x:c>
      <x:c r="E424" s="16" t="str">
        <x:v>КГ</x:v>
      </x:c>
      <x:c r="F424" s="30" t="n">
        <x:v>1.695</x:v>
      </x:c>
      <x:c r="G424" s="17" t="n">
        <x:v>118.3156</x:v>
      </x:c>
      <x:c r="H424" s="17" t="n">
        <x:f>G424*F424</x:f>
        <x:v>200.54494200000002</x:v>
      </x:c>
      <x:c r="I424" s="22" t="str">
        <x:f>HYPERLINK("https://etp-aktiv.ru/catalog/materialy/metizy/2000654909-U117/","Открыть позицию")</x:f>
        <x:v>Открыть позицию</x:v>
      </x:c>
    </x:row>
    <x:row r="425" ht="28" customHeight="1">
      <x:c r="A425" s="16" t="str">
        <x:v>Приморская ГРЭС</x:v>
      </x:c>
      <x:c r="B425" s="16" t="str">
        <x:v>2000330392-U117</x:v>
      </x:c>
      <x:c r="C425" s="16" t="str">
        <x:v>ШАЙБА УСИЛЕННАЯ М12 8.8 ОЦИНК DIN9021</x:v>
      </x:c>
      <x:c r="D425" s="16" t="str">
        <x:v>Метизы</x:v>
      </x:c>
      <x:c r="E425" s="16" t="str">
        <x:v>КГ</x:v>
      </x:c>
      <x:c r="F425" s="26" t="n">
        <x:v>0.8</x:v>
      </x:c>
      <x:c r="G425" s="17" t="n">
        <x:v>95.48939999999999</x:v>
      </x:c>
      <x:c r="H425" s="17" t="n">
        <x:f>G425*F425</x:f>
        <x:v>76.39152</x:v>
      </x:c>
      <x:c r="I425" s="22" t="str">
        <x:f>HYPERLINK("https://etp-aktiv.ru/catalog/materialy/metizy/2000330392-U117/","Открыть позицию")</x:f>
        <x:v>Открыть позицию</x:v>
      </x:c>
    </x:row>
    <x:row r="426" ht="28" customHeight="1">
      <x:c r="A426" s="16" t="str">
        <x:v>Приморская ГРЭС</x:v>
      </x:c>
      <x:c r="B426" s="16" t="str">
        <x:v>2000736397-U117</x:v>
      </x:c>
      <x:c r="C426" s="16" t="str">
        <x:v>ШВЕЛЛЕР С245 30П ГОСТ8240-97</x:v>
      </x:c>
      <x:c r="D426" s="16" t="str">
        <x:v>Металлопрокат черный</x:v>
      </x:c>
      <x:c r="E426" s="16" t="str">
        <x:v>Т</x:v>
      </x:c>
      <x:c r="F426" s="26" t="n">
        <x:v>0.024</x:v>
      </x:c>
      <x:c r="G426" s="17" t="n">
        <x:v>103876.1314</x:v>
      </x:c>
      <x:c r="H426" s="17" t="n">
        <x:f>G426*F426</x:f>
        <x:v>2493.0271536</x:v>
      </x:c>
      <x:c r="I426" s="22" t="str">
        <x:f>HYPERLINK("https://etp-aktiv.ru/catalog/materialy/metalloprodukciya/2000736397-U117/","Открыть позицию")</x:f>
        <x:v>Открыть позицию</x:v>
      </x:c>
    </x:row>
    <x:row r="427" ht="28" customHeight="1">
      <x:c r="A427" s="16" t="str">
        <x:v>Приморская ГРЭС</x:v>
      </x:c>
      <x:c r="B427" s="16" t="str">
        <x:v>2000015630-U117</x:v>
      </x:c>
      <x:c r="C427" s="16" t="str">
        <x:v>ШВЕЛЛЕР СТ3 30 ГОСТ8240-97</x:v>
      </x:c>
      <x:c r="D427" s="16" t="str">
        <x:v>Металлопрокат черный</x:v>
      </x:c>
      <x:c r="E427" s="16" t="str">
        <x:v>Т</x:v>
      </x:c>
      <x:c r="F427" s="30" t="n">
        <x:v>10.657</x:v>
      </x:c>
      <x:c r="G427" s="17" t="n">
        <x:v>145130.224</x:v>
      </x:c>
      <x:c r="H427" s="17" t="n">
        <x:f>G427*F427</x:f>
        <x:v>1546652.797168</x:v>
      </x:c>
      <x:c r="I427" s="22" t="str">
        <x:f>HYPERLINK("https://etp-aktiv.ru/catalog/materialy/metalloprodukciya/2000015630-U117/","Открыть позицию")</x:f>
        <x:v>Открыть позицию</x:v>
      </x:c>
    </x:row>
    <x:row r="428" ht="28" customHeight="1">
      <x:c r="A428" s="16" t="str">
        <x:v>Приморская ГРЭС</x:v>
      </x:c>
      <x:c r="B428" s="16" t="str">
        <x:v>2000158362-U117</x:v>
      </x:c>
      <x:c r="C428" s="16" t="str">
        <x:v>ШВЕЛЛЕР СТ3СП5 40У ГОСТ8240-97</x:v>
      </x:c>
      <x:c r="D428" s="16" t="str">
        <x:v>Металлопрокат черный</x:v>
      </x:c>
      <x:c r="E428" s="16" t="str">
        <x:v>Т</x:v>
      </x:c>
      <x:c r="F428" s="26" t="n">
        <x:v>0.07</x:v>
      </x:c>
      <x:c r="G428" s="17" t="n">
        <x:v>71681.7466</x:v>
      </x:c>
      <x:c r="H428" s="17" t="n">
        <x:f>G428*F428</x:f>
        <x:v>5017.722262</x:v>
      </x:c>
      <x:c r="I428" s="22" t="str">
        <x:f>HYPERLINK("https://etp-aktiv.ru/catalog/materialy/metalloprodukciya/2000158362-U117/","Открыть позицию")</x:f>
        <x:v>Открыть позицию</x:v>
      </x:c>
    </x:row>
    <x:row r="429" ht="28" customHeight="1">
      <x:c r="A429" s="16" t="str">
        <x:v>Приморская ГРЭС</x:v>
      </x:c>
      <x:c r="B429" s="16" t="str">
        <x:v>2000250738-U117</x:v>
      </x:c>
      <x:c r="C429" s="16" t="str">
        <x:v>ШЕСТИГРАННИК 12Х18Н10Т 17ММ ГОСТ5949-75</x:v>
      </x:c>
      <x:c r="D429" s="16" t="str">
        <x:v>Металлопрокат из нержавеющей стали</x:v>
      </x:c>
      <x:c r="E429" s="16" t="str">
        <x:v>Т</x:v>
      </x:c>
      <x:c r="F429" s="26" t="n">
        <x:v>0.023</x:v>
      </x:c>
      <x:c r="G429" s="17" t="n">
        <x:v>661545</x:v>
      </x:c>
      <x:c r="H429" s="17" t="n">
        <x:f>G429*F429</x:f>
        <x:v>15215.535</x:v>
      </x:c>
      <x:c r="I429" s="22" t="str">
        <x:f>HYPERLINK("https://etp-aktiv.ru/catalog/materialy/metalloprodukciya/2000250738-U117/","Открыть позицию")</x:f>
        <x:v>Открыть позицию</x:v>
      </x:c>
    </x:row>
    <x:row r="430" ht="28" customHeight="1">
      <x:c r="A430" s="16" t="str">
        <x:v>Приморская ГРЭС</x:v>
      </x:c>
      <x:c r="B430" s="16" t="str">
        <x:v>2000555616-U117</x:v>
      </x:c>
      <x:c r="C430" s="16" t="str">
        <x:v>ШЕСТИГРАННИК 12Х18Н10Т 24ММ ГОСТ5949-75</x:v>
      </x:c>
      <x:c r="D430" s="16" t="str">
        <x:v>Металлопрокат из нержавеющей стали</x:v>
      </x:c>
      <x:c r="E430" s="16" t="str">
        <x:v>КГ</x:v>
      </x:c>
      <x:c r="F430" s="30" t="n">
        <x:v>364.385</x:v>
      </x:c>
      <x:c r="G430" s="17" t="n">
        <x:v>256.9198</x:v>
      </x:c>
      <x:c r="H430" s="17" t="n">
        <x:f>G430*F430</x:f>
        <x:v>93617.721323</x:v>
      </x:c>
      <x:c r="I430" s="22" t="str">
        <x:f>HYPERLINK("https://etp-aktiv.ru/catalog/materialy/metalloprodukciya/2000555616-U117/","Открыть позицию")</x:f>
        <x:v>Открыть позицию</x:v>
      </x:c>
    </x:row>
    <x:row r="431" ht="28" customHeight="1">
      <x:c r="A431" s="16" t="str">
        <x:v>Приморская ГРЭС</x:v>
      </x:c>
      <x:c r="B431" s="16" t="str">
        <x:v>2000229089-U117</x:v>
      </x:c>
      <x:c r="C431" s="16" t="str">
        <x:v>ШЕСТИГРАННИК ЛС59 22ММ ГОСТ2060-90</x:v>
      </x:c>
      <x:c r="D431" s="16" t="str">
        <x:v>Металлопрокат цветной</x:v>
      </x:c>
      <x:c r="E431" s="16" t="str">
        <x:v>КГ</x:v>
      </x:c>
      <x:c r="F431" s="30" t="n">
        <x:v>26.3</x:v>
      </x:c>
      <x:c r="G431" s="17" t="n">
        <x:v>597.8</x:v>
      </x:c>
      <x:c r="H431" s="17" t="n">
        <x:f>G431*F431</x:f>
        <x:v>15722.14</x:v>
      </x:c>
      <x:c r="I431" s="22" t="str">
        <x:f>HYPERLINK("https://etp-aktiv.ru/catalog/materialy/metalloprodukciya/2000229089-U117/","Открыть позицию")</x:f>
        <x:v>Открыть позицию</x:v>
      </x:c>
    </x:row>
    <x:row r="432" ht="28" customHeight="1">
      <x:c r="A432" s="16" t="str">
        <x:v>Приморская ГРЭС</x:v>
      </x:c>
      <x:c r="B432" s="16" t="str">
        <x:v>2000015423-U117</x:v>
      </x:c>
      <x:c r="C432" s="16" t="str">
        <x:v>ШЕСТИГРАННИК СТ35 24ММ ГОСТ2879-88</x:v>
      </x:c>
      <x:c r="D432" s="16" t="str">
        <x:v>Металлопрокат прочий</x:v>
      </x:c>
      <x:c r="E432" s="16" t="str">
        <x:v>Т</x:v>
      </x:c>
      <x:c r="F432" s="26" t="n">
        <x:v>0.019</x:v>
      </x:c>
      <x:c r="G432" s="17" t="n">
        <x:v>59627.5</x:v>
      </x:c>
      <x:c r="H432" s="17" t="n">
        <x:f>G432*F432</x:f>
        <x:v>1132.9225</x:v>
      </x:c>
      <x:c r="I432" s="22" t="str">
        <x:f>HYPERLINK("https://etp-aktiv.ru/catalog/materialy/metalloprodukciya/2000015423-U117/","Открыть позицию")</x:f>
        <x:v>Открыть позицию</x:v>
      </x:c>
    </x:row>
    <x:row r="433" ht="28" customHeight="1">
      <x:c r="A433" s="16" t="str">
        <x:v>Приморская ГРЭС</x:v>
      </x:c>
      <x:c r="B433" s="16" t="str">
        <x:v>2000015427-U117</x:v>
      </x:c>
      <x:c r="C433" s="16" t="str">
        <x:v>ШЕСТИГРАННИК СТ45 17ММ ГОСТ2879-88</x:v>
      </x:c>
      <x:c r="D433" s="16" t="str">
        <x:v>Металлопрокат прочий</x:v>
      </x:c>
      <x:c r="E433" s="16" t="str">
        <x:v>Т</x:v>
      </x:c>
      <x:c r="F433" s="26" t="n">
        <x:v>0.177</x:v>
      </x:c>
      <x:c r="G433" s="17" t="n">
        <x:v>64549.6388</x:v>
      </x:c>
      <x:c r="H433" s="17" t="n">
        <x:f>G433*F433</x:f>
        <x:v>11425.2860676</x:v>
      </x:c>
      <x:c r="I433" s="22" t="str">
        <x:f>HYPERLINK("https://etp-aktiv.ru/catalog/materialy/metalloprodukciya/2000015427-U117/","Открыть позицию")</x:f>
        <x:v>Открыть позицию</x:v>
      </x:c>
    </x:row>
    <x:row r="434" ht="28" customHeight="1">
      <x:c r="A434" s="16" t="str">
        <x:v>Приморская ГРЭС</x:v>
      </x:c>
      <x:c r="B434" s="16" t="str">
        <x:v>2000015428-U117</x:v>
      </x:c>
      <x:c r="C434" s="16" t="str">
        <x:v>ШЕСТИГРАННИК СТ45 19ММ ГОСТ2879-88</x:v>
      </x:c>
      <x:c r="D434" s="16" t="str">
        <x:v>Металлопрокат прочий</x:v>
      </x:c>
      <x:c r="E434" s="16" t="str">
        <x:v>Т</x:v>
      </x:c>
      <x:c r="F434" s="26" t="n">
        <x:v>0.11</x:v>
      </x:c>
      <x:c r="G434" s="17" t="n">
        <x:v>78781.5</x:v>
      </x:c>
      <x:c r="H434" s="17" t="n">
        <x:f>G434*F434</x:f>
        <x:v>8665.965</x:v>
      </x:c>
      <x:c r="I434" s="22" t="str">
        <x:f>HYPERLINK("https://etp-aktiv.ru/catalog/materialy/metalloprodukciya/2000015428-U117/","Открыть позицию")</x:f>
        <x:v>Открыть позицию</x:v>
      </x:c>
    </x:row>
    <x:row r="435" ht="28" customHeight="1">
      <x:c r="A435" s="16" t="str">
        <x:v>Приморская ГРЭС</x:v>
      </x:c>
      <x:c r="B435" s="16" t="str">
        <x:v>2000015430-U117</x:v>
      </x:c>
      <x:c r="C435" s="16" t="str">
        <x:v>ШЕСТИГРАННИК СТ45 24ММ ГОСТ2879-88</x:v>
      </x:c>
      <x:c r="D435" s="16" t="str">
        <x:v>Металлопрокат прочий</x:v>
      </x:c>
      <x:c r="E435" s="16" t="str">
        <x:v>Т</x:v>
      </x:c>
      <x:c r="F435" s="26" t="n">
        <x:v>0.001</x:v>
      </x:c>
      <x:c r="G435" s="17" t="n">
        <x:v>80291.25</x:v>
      </x:c>
      <x:c r="H435" s="17" t="n">
        <x:f>G435*F435</x:f>
        <x:v>80.29125</x:v>
      </x:c>
      <x:c r="I435" s="22" t="str">
        <x:f>HYPERLINK("https://etp-aktiv.ru/catalog/materialy/metalloprodukciya/2000015430-U117/","Открыть позицию")</x:f>
        <x:v>Открыть позицию</x:v>
      </x:c>
    </x:row>
    <x:row r="436" ht="28" customHeight="1">
      <x:c r="A436" s="16" t="str">
        <x:v>Приморская ГРЭС</x:v>
      </x:c>
      <x:c r="B436" s="16" t="str">
        <x:v>2000555840-U117</x:v>
      </x:c>
      <x:c r="C436" s="16" t="str">
        <x:v>ШЕСТИГРАННИК СТ45 46ММ ГОСТ2879-2006</x:v>
      </x:c>
      <x:c r="D436" s="16" t="str">
        <x:v>Металлопрокат прочий</x:v>
      </x:c>
      <x:c r="E436" s="16" t="str">
        <x:v>Т</x:v>
      </x:c>
      <x:c r="F436" s="26" t="n">
        <x:v>0.048</x:v>
      </x:c>
      <x:c r="G436" s="17" t="n">
        <x:v>332816</x:v>
      </x:c>
      <x:c r="H436" s="17" t="n">
        <x:f>G436*F436</x:f>
        <x:v>15975.168</x:v>
      </x:c>
      <x:c r="I436" s="22" t="str">
        <x:f>HYPERLINK("https://etp-aktiv.ru/catalog/materialy/metalloprodukciya/2000555840-U117/","Открыть позицию")</x:f>
        <x:v>Открыть позицию</x:v>
      </x:c>
    </x:row>
    <x:row r="437" ht="28" customHeight="1">
      <x:c r="A437" s="16" t="str">
        <x:v>Приморская ГРЭС</x:v>
      </x:c>
      <x:c r="B437" s="16" t="str">
        <x:v>2000530407-U117</x:v>
      </x:c>
      <x:c r="C437" s="16" t="str">
        <x:v>ШПИЛЬКА М22-6G*180 58 ГОСТ22036-76</x:v>
      </x:c>
      <x:c r="D437" s="16" t="str">
        <x:v>Метизы</x:v>
      </x:c>
      <x:c r="E437" s="16" t="str">
        <x:v>ШТ</x:v>
      </x:c>
      <x:c r="F437" s="21" t="n">
        <x:v>16</x:v>
      </x:c>
      <x:c r="G437" s="17" t="n">
        <x:v>170.00699999999998</x:v>
      </x:c>
      <x:c r="H437" s="17" t="n">
        <x:f>G437*F437</x:f>
        <x:v>2720.1119999999996</x:v>
      </x:c>
      <x:c r="I437" s="22" t="str">
        <x:f>HYPERLINK("https://etp-aktiv.ru/catalog/materialy/metizy/2000530407-U117/","Открыть позицию")</x:f>
        <x:v>Открыть позицию</x:v>
      </x:c>
    </x:row>
    <x:row r="438" ht="28" customHeight="1">
      <x:c r="A438" s="16" t="str">
        <x:v>Приморская ГРЭС</x:v>
      </x:c>
      <x:c r="B438" s="16" t="str">
        <x:v>2000530424-U117</x:v>
      </x:c>
      <x:c r="C438" s="16" t="str">
        <x:v>ШПИЛЬКА М42-6G*280 СТ35Х 58 ГОСТ22034</x:v>
      </x:c>
      <x:c r="D438" s="16" t="str">
        <x:v>Метизы</x:v>
      </x:c>
      <x:c r="E438" s="16" t="str">
        <x:v>ШТ</x:v>
      </x:c>
      <x:c r="F438" s="21" t="n">
        <x:v>120</x:v>
      </x:c>
      <x:c r="G438" s="17" t="n">
        <x:v>1198.5402</x:v>
      </x:c>
      <x:c r="H438" s="17" t="n">
        <x:f>G438*F438</x:f>
        <x:v>143824.824</x:v>
      </x:c>
      <x:c r="I438" s="22" t="str">
        <x:f>HYPERLINK("https://etp-aktiv.ru/catalog/materialy/metizy/2000530424-U117/","Открыть позицию")</x:f>
        <x:v>Открыть позицию</x:v>
      </x:c>
    </x:row>
    <x:row r="439" ht="28" customHeight="1">
      <x:c r="A439" s="16" t="str">
        <x:v>Приморская ГРЭС</x:v>
      </x:c>
      <x:c r="B439" s="16" t="str">
        <x:v>2000500982-U117</x:v>
      </x:c>
      <x:c r="C439" s="16" t="str">
        <x:v>ШПИЛЬКА РЕЗЬБ M27*2000 8.8 ОЦИНК DIN975</x:v>
      </x:c>
      <x:c r="D439" s="16" t="str">
        <x:v>Метизы</x:v>
      </x:c>
      <x:c r="E439" s="16" t="str">
        <x:v>ШТ</x:v>
      </x:c>
      <x:c r="F439" s="21" t="n">
        <x:v>24</x:v>
      </x:c>
      <x:c r="G439" s="17" t="n">
        <x:v>2910.8712</x:v>
      </x:c>
      <x:c r="H439" s="17" t="n">
        <x:f>G439*F439</x:f>
        <x:v>69860.9088</x:v>
      </x:c>
      <x:c r="I439" s="22" t="str">
        <x:f>HYPERLINK("https://etp-aktiv.ru/catalog/materialy/metizy/2000500982-U117/","Открыть позицию")</x:f>
        <x:v>Открыть позицию</x:v>
      </x:c>
    </x:row>
    <x:row r="440" ht="28" customHeight="1">
      <x:c r="A440" s="16" t="str">
        <x:v>Приморская ГРЭС</x:v>
      </x:c>
      <x:c r="B440" s="16" t="str">
        <x:v>2000500981-U117</x:v>
      </x:c>
      <x:c r="C440" s="16" t="str">
        <x:v>ШПИЛЬКА РЕЗЬБ M30*2000 8.8 ОЦИНК DIN975</x:v>
      </x:c>
      <x:c r="D440" s="16" t="str">
        <x:v>Метизы</x:v>
      </x:c>
      <x:c r="E440" s="16" t="str">
        <x:v>ШТ</x:v>
      </x:c>
      <x:c r="F440" s="21" t="n">
        <x:v>6</x:v>
      </x:c>
      <x:c r="G440" s="17" t="n">
        <x:v>1830</x:v>
      </x:c>
      <x:c r="H440" s="17" t="n">
        <x:f>G440*F440</x:f>
        <x:v>10980</x:v>
      </x:c>
      <x:c r="I440" s="22" t="str">
        <x:f>HYPERLINK("https://etp-aktiv.ru/catalog/materialy/metizy/2000500981-U117/","Открыть позицию")</x:f>
        <x:v>Открыть позицию</x:v>
      </x:c>
    </x:row>
    <x:row r="441" ht="28" customHeight="1">
      <x:c r="A441" s="16" t="str">
        <x:v>Приморская ГРЭС</x:v>
      </x:c>
      <x:c r="B441" s="16" t="str">
        <x:v>2000530426-U117</x:v>
      </x:c>
      <x:c r="C441" s="16" t="str">
        <x:v>ШПЛИНТ 2*32 0 ГОСТ397-79</x:v>
      </x:c>
      <x:c r="D441" s="16" t="str">
        <x:v>Метизы специализированные и под заказ</x:v>
      </x:c>
      <x:c r="E441" s="16" t="str">
        <x:v>КГ</x:v>
      </x:c>
      <x:c r="F441" s="30" t="n">
        <x:v>5.115</x:v>
      </x:c>
      <x:c r="G441" s="17" t="n">
        <x:v>268.0218</x:v>
      </x:c>
      <x:c r="H441" s="17" t="n">
        <x:f>G441*F441</x:f>
        <x:v>1370.931507</x:v>
      </x:c>
      <x:c r="I441" s="22" t="str">
        <x:f>HYPERLINK("https://etp-aktiv.ru/catalog/materialy/metizy/2000530426-U117/","Открыть позицию")</x:f>
        <x:v>Открыть позицию</x:v>
      </x:c>
    </x:row>
    <x:row r="442" ht="28" customHeight="1">
      <x:c r="A442" s="16" t="str">
        <x:v>Приморская ГРЭС</x:v>
      </x:c>
      <x:c r="B442" s="16" t="str">
        <x:v>2000281144-U117</x:v>
      </x:c>
      <x:c r="C442" s="16" t="str">
        <x:v>ШПЛИНТ 2,5*25 ГОСТ397-79</x:v>
      </x:c>
      <x:c r="D442" s="16" t="str">
        <x:v>Метизы специализированные и под заказ</x:v>
      </x:c>
      <x:c r="E442" s="16" t="str">
        <x:v>КГ</x:v>
      </x:c>
      <x:c r="F442" s="26" t="n">
        <x:v>0.115</x:v>
      </x:c>
      <x:c r="G442" s="17" t="n">
        <x:v>249.19719999999998</x:v>
      </x:c>
      <x:c r="H442" s="17" t="n">
        <x:f>G442*F442</x:f>
        <x:v>28.657678</x:v>
      </x:c>
      <x:c r="I442" s="22" t="str">
        <x:f>HYPERLINK("https://etp-aktiv.ru/catalog/materialy/metizy/2000281144-U117/","Открыть позицию")</x:f>
        <x:v>Открыть позицию</x:v>
      </x:c>
    </x:row>
    <x:row r="443" ht="28" customHeight="1">
      <x:c r="A443" s="16" t="str">
        <x:v>Приморская ГРЭС</x:v>
      </x:c>
      <x:c r="B443" s="16" t="str">
        <x:v>2000170766-U117</x:v>
      </x:c>
      <x:c r="C443" s="16" t="str">
        <x:v>ШПЛИНТ 3*40 ГОСТ397-79</x:v>
      </x:c>
      <x:c r="D443" s="16" t="str">
        <x:v>Метизы специализированные и под заказ</x:v>
      </x:c>
      <x:c r="E443" s="16" t="str">
        <x:v>ШТ</x:v>
      </x:c>
      <x:c r="F443" s="21" t="n">
        <x:v>100</x:v>
      </x:c>
      <x:c r="G443" s="17" t="n">
        <x:v>2.1716</x:v>
      </x:c>
      <x:c r="H443" s="17" t="n">
        <x:f>G443*F443</x:f>
        <x:v>217.16000000000003</x:v>
      </x:c>
      <x:c r="I443" s="22" t="str">
        <x:f>HYPERLINK("https://etp-aktiv.ru/catalog/materialy/metizy/2000170766-U117/","Открыть позицию")</x:f>
        <x:v>Открыть позицию</x:v>
      </x:c>
    </x:row>
    <x:row r="444" ht="28" customHeight="1">
      <x:c r="A444" s="16" t="str">
        <x:v>Приморская ГРЭС</x:v>
      </x:c>
      <x:c r="B444" s="16" t="str">
        <x:v>2000630992-U117</x:v>
      </x:c>
      <x:c r="C444" s="16" t="str">
        <x:v>ШПЛИНТ 3,2*32 ГОСТ397-79</x:v>
      </x:c>
      <x:c r="D444" s="16" t="str">
        <x:v>Метизы специализированные и под заказ</x:v>
      </x:c>
      <x:c r="E444" s="16" t="str">
        <x:v>КГ</x:v>
      </x:c>
      <x:c r="F444" s="21" t="n">
        <x:v>40</x:v>
      </x:c>
      <x:c r="G444" s="17" t="n">
        <x:v>272.9506</x:v>
      </x:c>
      <x:c r="H444" s="17" t="n">
        <x:f>G444*F444</x:f>
        <x:v>10918.024000000001</x:v>
      </x:c>
      <x:c r="I444" s="22" t="str">
        <x:f>HYPERLINK("https://etp-aktiv.ru/catalog/materialy/metizy/2000630992-U117/","Открыть позицию")</x:f>
        <x:v>Открыть позицию</x:v>
      </x:c>
    </x:row>
    <x:row r="445" ht="28" customHeight="1">
      <x:c r="A445" s="16" t="str">
        <x:v>Приморская ГРЭС</x:v>
      </x:c>
      <x:c r="B445" s="16" t="str">
        <x:v>2000277768-U117</x:v>
      </x:c>
      <x:c r="C445" s="16" t="str">
        <x:v>ШПЛИНТ 4*40 ГОСТ397-79</x:v>
      </x:c>
      <x:c r="D445" s="16" t="str">
        <x:v>Метизы специализированные и под заказ</x:v>
      </x:c>
      <x:c r="E445" s="16" t="str">
        <x:v>КГ</x:v>
      </x:c>
      <x:c r="F445" s="21" t="n">
        <x:v>1</x:v>
      </x:c>
      <x:c r="G445" s="17" t="n">
        <x:v>210.45</x:v>
      </x:c>
      <x:c r="H445" s="17" t="n">
        <x:f>G445*F445</x:f>
        <x:v>210.45</x:v>
      </x:c>
      <x:c r="I445" s="22" t="str">
        <x:f>HYPERLINK("https://etp-aktiv.ru/catalog/materialy/metizy/2000277768-U117/","Открыть позицию")</x:f>
        <x:v>Открыть позицию</x:v>
      </x:c>
    </x:row>
    <x:row r="446" ht="28" customHeight="1">
      <x:c r="A446" s="16" t="str">
        <x:v>Приморская ГРЭС</x:v>
      </x:c>
      <x:c r="B446" s="16" t="str">
        <x:v>2000166290-U117</x:v>
      </x:c>
      <x:c r="C446" s="16" t="str">
        <x:v>ШПЛИНТ 5*100 ГОСТ397-79</x:v>
      </x:c>
      <x:c r="D446" s="16" t="str">
        <x:v>Метизы специализированные и под заказ</x:v>
      </x:c>
      <x:c r="E446" s="16" t="str">
        <x:v>ШТ</x:v>
      </x:c>
      <x:c r="F446" s="21" t="n">
        <x:v>900</x:v>
      </x:c>
      <x:c r="G446" s="17" t="n">
        <x:v>97.5634</x:v>
      </x:c>
      <x:c r="H446" s="17" t="n">
        <x:f>G446*F446</x:f>
        <x:v>87807.06</x:v>
      </x:c>
      <x:c r="I446" s="22" t="str">
        <x:f>HYPERLINK("https://etp-aktiv.ru/catalog/materialy/metizy/2000166290-U117/","Открыть позицию")</x:f>
        <x:v>Открыть позицию</x:v>
      </x:c>
    </x:row>
    <x:row r="447" ht="28" customHeight="1">
      <x:c r="A447" s="16" t="str">
        <x:v>Приморская ГРЭС</x:v>
      </x:c>
      <x:c r="B447" s="16" t="str">
        <x:v>2000068530-U117</x:v>
      </x:c>
      <x:c r="C447" s="16" t="str">
        <x:v>ШПЛИНТ 6,3*100 ГОСТ397-79</x:v>
      </x:c>
      <x:c r="D447" s="16" t="str">
        <x:v>Метизы специализированные и под заказ</x:v>
      </x:c>
      <x:c r="E447" s="16" t="str">
        <x:v>КГ</x:v>
      </x:c>
      <x:c r="F447" s="21" t="n">
        <x:v>121</x:v>
      </x:c>
      <x:c r="G447" s="17" t="n">
        <x:v>195.0048</x:v>
      </x:c>
      <x:c r="H447" s="17" t="n">
        <x:f>G447*F447</x:f>
        <x:v>23595.5808</x:v>
      </x:c>
      <x:c r="I447" s="22" t="str">
        <x:f>HYPERLINK("https://etp-aktiv.ru/catalog/materialy/metizy/2000068530-U117/","Открыть позицию")</x:f>
        <x:v>Открыть позицию</x:v>
      </x:c>
    </x:row>
    <x:row r="448" ht="28" customHeight="1">
      <x:c r="A448" s="16" t="str">
        <x:v>Приморская ГРЭС</x:v>
      </x:c>
      <x:c r="B448" s="16" t="str">
        <x:v>2000314324-U117</x:v>
      </x:c>
      <x:c r="C448" s="16" t="str">
        <x:v>ШПЛИНТ 8*110 ГОСТ397-79</x:v>
      </x:c>
      <x:c r="D448" s="16" t="str">
        <x:v>Метизы специализированные и под заказ</x:v>
      </x:c>
      <x:c r="E448" s="16" t="str">
        <x:v>КГ</x:v>
      </x:c>
      <x:c r="F448" s="30" t="n">
        <x:v>19.5</x:v>
      </x:c>
      <x:c r="G448" s="17" t="n">
        <x:v>170.00699999999998</x:v>
      </x:c>
      <x:c r="H448" s="17" t="n">
        <x:f>G448*F448</x:f>
        <x:v>3315.1364999999996</x:v>
      </x:c>
      <x:c r="I448" s="22" t="str">
        <x:f>HYPERLINK("https://etp-aktiv.ru/catalog/materialy/metizy/2000314324-U117/","Открыть позицию")</x:f>
        <x:v>Открыть позицию</x:v>
      </x:c>
    </x:row>
    <x:row r="449" ht="28" customHeight="1">
      <x:c r="A449" s="16" t="str">
        <x:v>Приморская ГРЭС</x:v>
      </x:c>
      <x:c r="B449" s="16" t="str">
        <x:v>2000068556-U117</x:v>
      </x:c>
      <x:c r="C449" s="16" t="str">
        <x:v>ШУРУП 6*60 ГОСТ1145-80</x:v>
      </x:c>
      <x:c r="D449" s="16" t="str">
        <x:v>Метизы</x:v>
      </x:c>
      <x:c r="E449" s="16" t="str">
        <x:v>КГ</x:v>
      </x:c>
      <x:c r="F449" s="21" t="n">
        <x:v>1</x:v>
      </x:c>
      <x:c r="G449" s="17" t="n">
        <x:v>306.525</x:v>
      </x:c>
      <x:c r="H449" s="17" t="n">
        <x:f>G449*F449</x:f>
        <x:v>306.525</x:v>
      </x:c>
      <x:c r="I449" s="22" t="str">
        <x:f>HYPERLINK("https://etp-aktiv.ru/catalog/materialy/metizy/2000068556-U117/","Открыть позицию")</x:f>
        <x:v>Открыть позицию</x:v>
      </x:c>
    </x:row>
    <x:row r="450" ht="28" customHeight="1">
      <x:c r="A450" s="16" t="str">
        <x:v>Приморская ГРЭС</x:v>
      </x:c>
      <x:c r="B450" s="16" t="str">
        <x:v>2000279008-U117</x:v>
      </x:c>
      <x:c r="C450" s="16" t="str">
        <x:v>ЭКРАН ЗАЩИТНЫЙ 220636</x:v>
      </x:c>
      <x:c r="D450" s="16" t="str">
        <x:v>Комплектующие и запасные части к сварочному оборудованию</x:v>
      </x:c>
      <x:c r="E450" s="16" t="str">
        <x:v>ШТ</x:v>
      </x:c>
      <x:c r="F450" s="21" t="n">
        <x:v>300</x:v>
      </x:c>
      <x:c r="G450" s="17" t="n">
        <x:v>157.13600000000002</x:v>
      </x:c>
      <x:c r="H450" s="17" t="n">
        <x:f>G450*F450</x:f>
        <x:v>47140.80000000001</x:v>
      </x:c>
      <x:c r="I450" s="22" t="str">
        <x:f>HYPERLINK("https://etp-aktiv.ru/catalog/materialy/zapasnye-chasti-promyshlennogo-oborudovaniya/2000279008-U117/","Открыть позицию")</x:f>
        <x:v>Открыть позицию</x:v>
      </x:c>
    </x:row>
    <x:row r="451" ht="28" customHeight="1">
      <x:c r="A451" s="16" t="str">
        <x:v>Приморская ГРЭС</x:v>
      </x:c>
      <x:c r="B451" s="16" t="str">
        <x:v>2000279005-U117</x:v>
      </x:c>
      <x:c r="C451" s="16" t="str">
        <x:v>ЭКРАН ЗАЩИТНЫЙ 220761</x:v>
      </x:c>
      <x:c r="D451" s="16" t="str">
        <x:v>Комплектующие и запасные части к сварочному оборудованию</x:v>
      </x:c>
      <x:c r="E451" s="16" t="str">
        <x:v>ШТ</x:v>
      </x:c>
      <x:c r="F451" s="21" t="n">
        <x:v>2000</x:v>
      </x:c>
      <x:c r="G451" s="17" t="n">
        <x:v>58.5844</x:v>
      </x:c>
      <x:c r="H451" s="17" t="n">
        <x:f>G451*F451</x:f>
        <x:v>117168.8</x:v>
      </x:c>
      <x:c r="I451" s="22" t="str">
        <x:f>HYPERLINK("https://etp-aktiv.ru/catalog/materialy/zapasnye-chasti-promyshlennogo-oborudovaniya/2000279005-U117/","Открыть позицию")</x:f>
        <x:v>Открыть позицию</x:v>
      </x:c>
    </x:row>
    <x:row r="452" ht="28" customHeight="1">
      <x:c r="A452" s="16" t="str">
        <x:v>Приморская ГРЭС</x:v>
      </x:c>
      <x:c r="B452" s="16" t="str">
        <x:v>2000558909-U117</x:v>
      </x:c>
      <x:c r="C452" s="16" t="str">
        <x:v>ЭЛЕКТРОД WL-20 2*175ММ ISO6848:2015</x:v>
      </x:c>
      <x:c r="D452" s="16" t="str">
        <x:v>Сварочные электроды</x:v>
      </x:c>
      <x:c r="E452" s="16" t="str">
        <x:v>ШТ</x:v>
      </x:c>
      <x:c r="F452" s="21" t="n">
        <x:v>41</x:v>
      </x:c>
      <x:c r="G452" s="17" t="n">
        <x:v>122</x:v>
      </x:c>
      <x:c r="H452" s="17" t="n">
        <x:f>G452*F452</x:f>
        <x:v>5002</x:v>
      </x:c>
      <x:c r="I452" s="22" t="str">
        <x:f>HYPERLINK("https://etp-aktiv.ru/catalog/materialy/svarochnye-ehlektrody/2000558909-U117/","Открыть позицию")</x:f>
        <x:v>Открыть позицию</x:v>
      </x:c>
    </x:row>
    <x:row r="453" ht="28" customHeight="1">
      <x:c r="A453" s="16" t="str">
        <x:v>Приморская ГРЭС</x:v>
      </x:c>
      <x:c r="B453" s="16" t="str">
        <x:v>2000015574-U117</x:v>
      </x:c>
      <x:c r="C453" s="16" t="str">
        <x:v>ЭЛЕКТРОД МР-3 5ММ ГОСТ9466-75</x:v>
      </x:c>
      <x:c r="D453" s="16" t="str">
        <x:v>Сварочные электроды</x:v>
      </x:c>
      <x:c r="E453" s="16" t="str">
        <x:v>Т</x:v>
      </x:c>
      <x:c r="F453" s="26" t="n">
        <x:v>0.022</x:v>
      </x:c>
      <x:c r="G453" s="17" t="n">
        <x:v>20706.45</x:v>
      </x:c>
      <x:c r="H453" s="17" t="n">
        <x:f>G453*F453</x:f>
        <x:v>455.5419</x:v>
      </x:c>
      <x:c r="I453" s="22" t="str">
        <x:f>HYPERLINK("https://etp-aktiv.ru/catalog/materialy/svarochnye-ehlektrody/2000015574-U117/","Открыть позицию")</x:f>
        <x:v>Открыть позицию</x:v>
      </x:c>
    </x:row>
    <x:row r="454" ht="28" customHeight="1">
      <x:c r="A454" s="16" t="str">
        <x:v>Приморская ГРЭС</x:v>
      </x:c>
      <x:c r="B454" s="16" t="str">
        <x:v>2000078488-U117</x:v>
      </x:c>
      <x:c r="C454" s="16" t="str">
        <x:v>ЭЛЕКТРОД МР-3С 3ММ ГОСТ9466-75</x:v>
      </x:c>
      <x:c r="D454" s="16" t="str">
        <x:v>Сварочные электроды</x:v>
      </x:c>
      <x:c r="E454" s="16" t="str">
        <x:v>Т</x:v>
      </x:c>
      <x:c r="F454" s="26" t="n">
        <x:v>0.622</x:v>
      </x:c>
      <x:c r="G454" s="17" t="n">
        <x:v>136781.032</x:v>
      </x:c>
      <x:c r="H454" s="17" t="n">
        <x:f>G454*F454</x:f>
        <x:v>85077.801904</x:v>
      </x:c>
      <x:c r="I454" s="22" t="str">
        <x:f>HYPERLINK("https://etp-aktiv.ru/catalog/materialy/svarochnye-ehlektrody/2000078488-U117/","Открыть позицию")</x:f>
        <x:v>Открыть позицию</x:v>
      </x:c>
    </x:row>
    <x:row r="455" ht="28" customHeight="1">
      <x:c r="A455" s="16" t="str">
        <x:v>Приморская ГРЭС</x:v>
      </x:c>
      <x:c r="B455" s="16" t="str">
        <x:v>2000046860-U117</x:v>
      </x:c>
      <x:c r="C455" s="16" t="str">
        <x:v>ЭЛЕКТРОД ОЗЛ-6 4ММ ГОСТ9466-75</x:v>
      </x:c>
      <x:c r="D455" s="16" t="str">
        <x:v>Сварочные электроды</x:v>
      </x:c>
      <x:c r="E455" s="16" t="str">
        <x:v>Т</x:v>
      </x:c>
      <x:c r="F455" s="26" t="n">
        <x:v>0.024</x:v>
      </x:c>
      <x:c r="G455" s="17" t="n">
        <x:v>750300</x:v>
      </x:c>
      <x:c r="H455" s="17" t="n">
        <x:f>G455*F455</x:f>
        <x:v>18007.2</x:v>
      </x:c>
      <x:c r="I455" s="22" t="str">
        <x:f>HYPERLINK("https://etp-aktiv.ru/catalog/materialy/svarochnye-ehlektrody/2000046860-U117/","Открыть позицию")</x:f>
        <x:v>Открыть позицию</x:v>
      </x:c>
    </x:row>
    <x:row r="456" ht="28" customHeight="1">
      <x:c r="A456" s="16" t="str">
        <x:v>Приморская ГРЭС</x:v>
      </x:c>
      <x:c r="B456" s="16" t="str">
        <x:v>2000587694-U117</x:v>
      </x:c>
      <x:c r="C456" s="16" t="str">
        <x:v>ЭЛЕКТРОД Т-590 3ММ ГОСТ9466-75</x:v>
      </x:c>
      <x:c r="D456" s="16" t="str">
        <x:v>Сварочные электроды</x:v>
      </x:c>
      <x:c r="E456" s="16" t="str">
        <x:v>Т</x:v>
      </x:c>
      <x:c r="F456" s="26" t="n">
        <x:v>0.058</x:v>
      </x:c>
      <x:c r="G456" s="17" t="n">
        <x:v>120048</x:v>
      </x:c>
      <x:c r="H456" s="17" t="n">
        <x:f>G456*F456</x:f>
        <x:v>6962.784000000001</x:v>
      </x:c>
      <x:c r="I456" s="22" t="str">
        <x:f>HYPERLINK("https://etp-aktiv.ru/catalog/materialy/svarochnye-ehlektrody/2000587694-U117/","Открыть позицию")</x:f>
        <x:v>Открыть позицию</x:v>
      </x:c>
    </x:row>
    <x:row r="457" ht="28" customHeight="1">
      <x:c r="A457" s="16" t="str">
        <x:v>Приморская ГРЭС</x:v>
      </x:c>
      <x:c r="B457" s="16" t="str">
        <x:v>2000753810-U117</x:v>
      </x:c>
      <x:c r="C457" s="16" t="str">
        <x:v>ЭЛЕКТРОД Т-590 4ММ ГОСТ9466-75 (КГ)</x:v>
      </x:c>
      <x:c r="D457" s="16" t="str">
        <x:v>Сварочные электроды</x:v>
      </x:c>
      <x:c r="E457" s="16" t="str">
        <x:v>КГ</x:v>
      </x:c>
      <x:c r="F457" s="30" t="n">
        <x:v>25.31</x:v>
      </x:c>
      <x:c r="G457" s="17" t="n">
        <x:v>230.0066</x:v>
      </x:c>
      <x:c r="H457" s="17" t="n">
        <x:f>G457*F457</x:f>
        <x:v>5821.467046</x:v>
      </x:c>
      <x:c r="I457" s="22" t="str">
        <x:f>HYPERLINK("https://etp-aktiv.ru/catalog/materialy/svarochnye-ehlektrody/2000753810-U117/","Открыть позицию")</x:f>
        <x:v>Открыть позицию</x:v>
      </x:c>
    </x:row>
    <x:row r="458" ht="28" customHeight="1">
      <x:c r="A458" s="16" t="str">
        <x:v>Приморская ГРЭС</x:v>
      </x:c>
      <x:c r="B458" s="16" t="str">
        <x:v>2000016862-U117</x:v>
      </x:c>
      <x:c r="C458" s="16" t="str">
        <x:v>ЭЛЕКТРОД Т-590 5ММ ГОСТ9466-75</x:v>
      </x:c>
      <x:c r="D458" s="16" t="str">
        <x:v>Сварочные электроды</x:v>
      </x:c>
      <x:c r="E458" s="16" t="str">
        <x:v>Т</x:v>
      </x:c>
      <x:c r="F458" s="26" t="n">
        <x:v>0.02</x:v>
      </x:c>
      <x:c r="G458" s="17" t="n">
        <x:v>101048.94</x:v>
      </x:c>
      <x:c r="H458" s="17" t="n">
        <x:f>G458*F458</x:f>
        <x:v>2020.9788</x:v>
      </x:c>
      <x:c r="I458" s="22" t="str">
        <x:f>HYPERLINK("https://etp-aktiv.ru/catalog/materialy/svarochnye-ehlektrody/2000016862-U117/","Открыть позицию")</x:f>
        <x:v>Открыть позицию</x:v>
      </x:c>
    </x:row>
    <x:row r="459" ht="28" customHeight="1">
      <x:c r="A459" s="16" t="str">
        <x:v>Приморская ГРЭС</x:v>
      </x:c>
      <x:c r="B459" s="16" t="str">
        <x:v>2000068200-U117</x:v>
      </x:c>
      <x:c r="C459" s="16" t="str">
        <x:v>ЭЛЕКТРОД Т-620 4ММ ГОСТ9466-75</x:v>
      </x:c>
      <x:c r="D459" s="16" t="str">
        <x:v>Сварочные электроды</x:v>
      </x:c>
      <x:c r="E459" s="16" t="str">
        <x:v>Т</x:v>
      </x:c>
      <x:c r="F459" s="26" t="n">
        <x:v>0.078</x:v>
      </x:c>
      <x:c r="G459" s="17" t="n">
        <x:v>255464.2546</x:v>
      </x:c>
      <x:c r="H459" s="17" t="n">
        <x:f>G459*F459</x:f>
        <x:v>19926.211858799998</x:v>
      </x:c>
      <x:c r="I459" s="22" t="str">
        <x:f>HYPERLINK("https://etp-aktiv.ru/catalog/materialy/svarochnye-ehlektrody/2000068200-U117/","Открыть позицию")</x:f>
        <x:v>Открыть позицию</x:v>
      </x:c>
    </x:row>
    <x:row r="460" ht="28" customHeight="1">
      <x:c r="A460" s="16" t="str">
        <x:v>Приморская ГРЭС</x:v>
      </x:c>
      <x:c r="B460" s="16" t="str">
        <x:v>2000796428-U117</x:v>
      </x:c>
      <x:c r="C460" s="16" t="str">
        <x:v>ЭЛЕКТРОД ТМЛ3У 3ММ ГОСТ9467-75 (КГ)</x:v>
      </x:c>
      <x:c r="D460" s="16" t="str">
        <x:v>Сварочные электроды</x:v>
      </x:c>
      <x:c r="E460" s="16" t="str">
        <x:v>КГ</x:v>
      </x:c>
      <x:c r="F460" s="30" t="n">
        <x:v>1.804</x:v>
      </x:c>
      <x:c r="G460" s="17" t="n">
        <x:v>228.7744</x:v>
      </x:c>
      <x:c r="H460" s="17" t="n">
        <x:f>G460*F460</x:f>
        <x:v>412.70901760000004</x:v>
      </x:c>
      <x:c r="I460" s="22" t="str">
        <x:f>HYPERLINK("https://etp-aktiv.ru/catalog/materialy/svarochnye-ehlektrody/2000796428-U117/","Открыть позицию")</x:f>
        <x:v>Открыть позицию</x:v>
      </x:c>
    </x:row>
    <x:row r="461" ht="28" customHeight="1">
      <x:c r="A461" s="16" t="str">
        <x:v>Приморская ГРЭС</x:v>
      </x:c>
      <x:c r="B461" s="16" t="str">
        <x:v>2000861319-U117</x:v>
      </x:c>
      <x:c r="C461" s="16" t="str">
        <x:v>ЭЛЕКТРОД ТМУ-21У 4ММ ГОСТ9466-75 (КГ)</x:v>
      </x:c>
      <x:c r="D461" s="16" t="str">
        <x:v>Сварочные электроды</x:v>
      </x:c>
      <x:c r="E461" s="16" t="str">
        <x:v>КГ</x:v>
      </x:c>
      <x:c r="F461" s="21" t="n">
        <x:v>66</x:v>
      </x:c>
      <x:c r="G461" s="17" t="n">
        <x:v>130.0032</x:v>
      </x:c>
      <x:c r="H461" s="17" t="n">
        <x:f>G461*F461</x:f>
        <x:v>8580.2112</x:v>
      </x:c>
      <x:c r="I461" s="22" t="str">
        <x:f>HYPERLINK("https://etp-aktiv.ru/catalog/materialy/svarochnye-ehlektrody/2000861319-U117/","Открыть позицию")</x:f>
        <x:v>Открыть позицию</x:v>
      </x:c>
    </x:row>
    <x:row r="462" ht="28" customHeight="1">
      <x:c r="A462" s="16" t="str">
        <x:v>Приморская ГРЭС</x:v>
      </x:c>
      <x:c r="B462" s="16" t="str">
        <x:v>2000015613-U117</x:v>
      </x:c>
      <x:c r="C462" s="16" t="str">
        <x:v>ЭЛЕКТРОД УОНИ-13/55 5ММ ГОСТ9466-75</x:v>
      </x:c>
      <x:c r="D462" s="16" t="str">
        <x:v>Сварочные электроды</x:v>
      </x:c>
      <x:c r="E462" s="16" t="str">
        <x:v>Т</x:v>
      </x:c>
      <x:c r="F462" s="26" t="n">
        <x:v>0.873</x:v>
      </x:c>
      <x:c r="G462" s="17" t="n">
        <x:v>161215.8752</x:v>
      </x:c>
      <x:c r="H462" s="17" t="n">
        <x:f>G462*F462</x:f>
        <x:v>140741.4590496</x:v>
      </x:c>
      <x:c r="I462" s="22" t="str">
        <x:f>HYPERLINK("https://etp-aktiv.ru/catalog/materialy/svarochnye-ehlektrody/2000015613-U117/","Открыть позицию")</x:f>
        <x:v>Открыть позицию</x:v>
      </x:c>
    </x:row>
    <x:row r="463" ht="28" customHeight="1">
      <x:c r="A463" s="16" t="str">
        <x:v>Приморская ГРЭС</x:v>
      </x:c>
      <x:c r="B463" s="16" t="str">
        <x:v>2000796432-U117</x:v>
      </x:c>
      <x:c r="C463" s="16" t="str">
        <x:v>ЭЛЕКТРОД ЦН-6Л 3ММ ГОСТ9466-75 (КГ)</x:v>
      </x:c>
      <x:c r="D463" s="16" t="str">
        <x:v>Сварочные электроды</x:v>
      </x:c>
      <x:c r="E463" s="16" t="str">
        <x:v>КГ</x:v>
      </x:c>
      <x:c r="F463" s="21" t="n">
        <x:v>350</x:v>
      </x:c>
      <x:c r="G463" s="17" t="n">
        <x:v>457.5</x:v>
      </x:c>
      <x:c r="H463" s="17" t="n">
        <x:f>G463*F463</x:f>
        <x:v>160125</x:v>
      </x:c>
      <x:c r="I463" s="22" t="str">
        <x:f>HYPERLINK("https://etp-aktiv.ru/catalog/materialy/svarochnye-ehlektrody/2000796432-U117/","Открыть позицию")</x:f>
        <x:v>Открыть позицию</x:v>
      </x:c>
    </x:row>
    <x:row r="464" ht="28" customHeight="1">
      <x:c r="A464" s="16" t="str">
        <x:v>Приморская ГРЭС</x:v>
      </x:c>
      <x:c r="B464" s="16" t="str">
        <x:v>2000546325-U117</x:v>
      </x:c>
      <x:c r="C464" s="16" t="str">
        <x:v>ЭЛЕКТРОД ЦТ-15 2,5ММ ГОСТ9466-75</x:v>
      </x:c>
      <x:c r="D464" s="16" t="str">
        <x:v>Сварочные электроды</x:v>
      </x:c>
      <x:c r="E464" s="16" t="str">
        <x:v>КГ</x:v>
      </x:c>
      <x:c r="F464" s="21" t="n">
        <x:v>5</x:v>
      </x:c>
      <x:c r="G464" s="17" t="n">
        <x:v>695.9368000000001</x:v>
      </x:c>
      <x:c r="H464" s="17" t="n">
        <x:f>G464*F464</x:f>
        <x:v>3479.684</x:v>
      </x:c>
      <x:c r="I464" s="22" t="str">
        <x:f>HYPERLINK("https://etp-aktiv.ru/catalog/materialy/svarochnye-ehlektrody/2000546325-U117/","Открыть позицию")</x:f>
        <x:v>Открыть позицию</x:v>
      </x:c>
    </x:row>
    <x:row r="465" ht="28" customHeight="1">
      <x:c r="A465" s="16" t="str">
        <x:v>Приморская ГРЭС</x:v>
      </x:c>
      <x:c r="B465" s="16" t="str">
        <x:v>2000546328-U117</x:v>
      </x:c>
      <x:c r="C465" s="16" t="str">
        <x:v>ЭЛЕКТРОД ЦТ-28 3ММ ГОСТ9466-75</x:v>
      </x:c>
      <x:c r="D465" s="16" t="str">
        <x:v>Сварочные электроды</x:v>
      </x:c>
      <x:c r="E465" s="16" t="str">
        <x:v>Т</x:v>
      </x:c>
      <x:c r="F465" s="26" t="n">
        <x:v>0.005</x:v>
      </x:c>
      <x:c r="G465" s="17" t="n">
        <x:v>5919876.149999999</x:v>
      </x:c>
      <x:c r="H465" s="17" t="n">
        <x:f>G465*F465</x:f>
        <x:v>29599.380749999997</x:v>
      </x:c>
      <x:c r="I465" s="22" t="str">
        <x:f>HYPERLINK("https://etp-aktiv.ru/catalog/materialy/svarochnye-ehlektrody/2000546328-U117/","Открыть позицию")</x:f>
        <x:v>Открыть позицию</x:v>
      </x:c>
    </x:row>
    <x:row r="466" ht="28" customHeight="1">
      <x:c r="A466" s="16" t="str">
        <x:v>Приморская ГРЭС</x:v>
      </x:c>
      <x:c r="B466" s="16" t="str">
        <x:v>2000546331-U117</x:v>
      </x:c>
      <x:c r="C466" s="16" t="str">
        <x:v>ЭЛЕКТРОД ЦУ-5 3ММ ГОСТ9466-75</x:v>
      </x:c>
      <x:c r="D466" s="16" t="str">
        <x:v>Сварочные электроды</x:v>
      </x:c>
      <x:c r="E466" s="16" t="str">
        <x:v>КГ</x:v>
      </x:c>
      <x:c r="F466" s="30" t="n">
        <x:v>118.666</x:v>
      </x:c>
      <x:c r="G466" s="17" t="n">
        <x:v>218.5386</x:v>
      </x:c>
      <x:c r="H466" s="17" t="n">
        <x:f>G466*F466</x:f>
        <x:v>25933.1015076</x:v>
      </x:c>
      <x:c r="I466" s="22" t="str">
        <x:f>HYPERLINK("https://etp-aktiv.ru/catalog/materialy/svarochnye-ehlektrody/2000546331-U117/","Открыть позицию")</x:f>
        <x:v>Открыть позицию</x:v>
      </x:c>
    </x:row>
    <x:row r="467" ht="28" customHeight="1">
      <x:c r="A467" s="16" t="str">
        <x:v>Приморская ГРЭС</x:v>
      </x:c>
      <x:c r="B467" s="16" t="str">
        <x:v>2000168064-U117</x:v>
      </x:c>
      <x:c r="C467" s="16" t="str">
        <x:v>ЭЛЕКТРОД Э42А 4ММ ГОСТ9467-75</x:v>
      </x:c>
      <x:c r="D467" s="16" t="str">
        <x:v>Сварочные электроды</x:v>
      </x:c>
      <x:c r="E467" s="16" t="str">
        <x:v>КГ</x:v>
      </x:c>
      <x:c r="F467" s="21" t="n">
        <x:v>11</x:v>
      </x:c>
      <x:c r="G467" s="17" t="n">
        <x:v>123.52499999999999</x:v>
      </x:c>
      <x:c r="H467" s="17" t="n">
        <x:f>G467*F467</x:f>
        <x:v>1358.7749999999999</x:v>
      </x:c>
      <x:c r="I467" s="22" t="str">
        <x:f>HYPERLINK("https://etp-aktiv.ru/catalog/materialy/svarochnye-ehlektrody/2000168064-U117/","Открыть позицию")</x:f>
        <x:v>Открыть позицию</x:v>
      </x:c>
    </x:row>
    <x:row r="468" ht="28" customHeight="1">
      <x:c r="A468" s="16" t="str">
        <x:v>Приморская ГРЭС</x:v>
      </x:c>
      <x:c r="B468" s="16" t="str">
        <x:v>2000142160-U117</x:v>
      </x:c>
      <x:c r="C468" s="16" t="str">
        <x:v>ЭЛЕКТРОД ЭА-395/9 3ММ ГОСТ9466-75</x:v>
      </x:c>
      <x:c r="D468" s="16" t="str">
        <x:v>Сварочные электроды</x:v>
      </x:c>
      <x:c r="E468" s="16" t="str">
        <x:v>Т</x:v>
      </x:c>
      <x:c r="F468" s="26" t="n">
        <x:v>0.043</x:v>
      </x:c>
      <x:c r="G468" s="17" t="n">
        <x:v>1531643.2172</x:v>
      </x:c>
      <x:c r="H468" s="17" t="n">
        <x:f>G468*F468</x:f>
        <x:v>65860.65833959999</x:v>
      </x:c>
      <x:c r="I468" s="22" t="str">
        <x:f>HYPERLINK("https://etp-aktiv.ru/catalog/materialy/svarochnye-ehlektrody/2000142160-U117/","Открыть позицию")</x:f>
        <x:v>Открыть позицию</x:v>
      </x:c>
    </x:row>
    <x:row r="469" ht="28" customHeight="1">
      <x:c r="A469" s="16" t="str">
        <x:v>Приморская ГРЭС</x:v>
      </x:c>
      <x:c r="B469" s="16" t="str">
        <x:v>2000740826-U117</x:v>
      </x:c>
      <x:c r="C469" s="16" t="str">
        <x:v>ЭЛЕКТРОД ЭА-400/10Т 3ММ 5КГ ГОСТ9466-75</x:v>
      </x:c>
      <x:c r="D469" s="16" t="str">
        <x:v>Сварочные электроды</x:v>
      </x:c>
      <x:c r="E469" s="16" t="str">
        <x:v>ШТ</x:v>
      </x:c>
      <x:c r="F469" s="21" t="n">
        <x:v>76</x:v>
      </x:c>
      <x:c r="G469" s="17" t="n">
        <x:v>2939.0775999999996</x:v>
      </x:c>
      <x:c r="H469" s="17" t="n">
        <x:f>G469*F469</x:f>
        <x:v>223369.89759999997</x:v>
      </x:c>
      <x:c r="I469" s="22" t="str">
        <x:f>HYPERLINK("https://etp-aktiv.ru/catalog/materialy/svarochnye-ehlektrody/2000740826-U117/","Открыть позицию")</x:f>
        <x:v>Открыть позицию</x:v>
      </x:c>
    </x:row>
    <x:row r="470" ht="28" customHeight="1">
      <x:c r="A470" s="16" t="str">
        <x:v>Приморская ГРЭС</x:v>
      </x:c>
      <x:c r="B470" s="16" t="str">
        <x:v>2000342506-U117</x:v>
      </x:c>
      <x:c r="C470" s="16" t="str">
        <x:v>ЭЛЕКТРОДЫ KISWEL 2,2ММ AWS E308L-16</x:v>
      </x:c>
      <x:c r="D470" s="16" t="str">
        <x:v>Сварочные электроды</x:v>
      </x:c>
      <x:c r="E470" s="16" t="str">
        <x:v>Т</x:v>
      </x:c>
      <x:c r="F470" s="26" t="n">
        <x:v>0.002</x:v>
      </x:c>
      <x:c r="G470" s="17" t="n">
        <x:v>1553206.4</x:v>
      </x:c>
      <x:c r="H470" s="17" t="n">
        <x:f>G470*F470</x:f>
        <x:v>3106.4128</x:v>
      </x:c>
      <x:c r="I470" s="22" t="str">
        <x:f>HYPERLINK("https://etp-aktiv.ru/catalog/materialy/svarochnye-ehlektrody/2000342506-U117/","Открыть позицию")</x:f>
        <x:v>Открыть позицию</x:v>
      </x:c>
    </x:row>
    <x:row r="471" ht="28" customHeight="1">
      <x:c r="A471" s="16" t="str">
        <x:v>Приморская ГРЭС</x:v>
      </x:c>
      <x:c r="B471" s="16" t="str">
        <x:v>2000226449-U117</x:v>
      </x:c>
      <x:c r="C471" s="16" t="str">
        <x:v>ЭЛЕКТРОДЫ ВОЛЬФРАМОВЫЕ WL 20 D2,4ММ</x:v>
      </x:c>
      <x:c r="D471" s="16" t="str">
        <x:v>Сварочные электроды</x:v>
      </x:c>
      <x:c r="E471" s="16" t="str">
        <x:v>ШТ</x:v>
      </x:c>
      <x:c r="F471" s="21" t="n">
        <x:v>304</x:v>
      </x:c>
      <x:c r="G471" s="17" t="n">
        <x:v>136.1398</x:v>
      </x:c>
      <x:c r="H471" s="17" t="n">
        <x:f>G471*F471</x:f>
        <x:v>41386.499200000006</x:v>
      </x:c>
      <x:c r="I471" s="22" t="str">
        <x:f>HYPERLINK("https://etp-aktiv.ru/catalog/materialy/svarochnye-ehlektrody/2000226449-U117/","Открыть позицию")</x:f>
        <x:v>Открыть позицию</x:v>
      </x:c>
    </x:row>
    <x:row r="472" ht="28" customHeight="1">
      <x:c r="A472" s="16" t="str">
        <x:v>Приморская ГРЭС</x:v>
      </x:c>
      <x:c r="B472" s="16" t="str">
        <x:v>2000226446-U117</x:v>
      </x:c>
      <x:c r="C472" s="16" t="str">
        <x:v>ЭЛЕКТРОДЫ ВОЛЬФРАМОВЫЕ WL 20 D4ММ</x:v>
      </x:c>
      <x:c r="D472" s="16" t="str">
        <x:v>Сварочные электроды</x:v>
      </x:c>
      <x:c r="E472" s="16" t="str">
        <x:v>ШТ</x:v>
      </x:c>
      <x:c r="F472" s="21" t="n">
        <x:v>104</x:v>
      </x:c>
      <x:c r="G472" s="17" t="n">
        <x:v>259.25</x:v>
      </x:c>
      <x:c r="H472" s="17" t="n">
        <x:f>G472*F472</x:f>
        <x:v>26962</x:v>
      </x:c>
      <x:c r="I472" s="22" t="str">
        <x:f>HYPERLINK("https://etp-aktiv.ru/catalog/materialy/svarochnye-ehlektrody/2000226446-U117/","Открыть позицию")</x:f>
        <x:v>Открыть позицию</x:v>
      </x:c>
    </x:row>
    <x:row r="473" ht="28" customHeight="1">
      <x:c r="A473" s="16" t="str">
        <x:v>Приморская ГРЭС</x:v>
      </x:c>
      <x:c r="B473" s="16" t="str">
        <x:v>2000590853-U117</x:v>
      </x:c>
      <x:c r="C473" s="16" t="str">
        <x:v>ЭЛЕКТРОДЫ СВАРОЧНЫЕ УОНИ 13/55К 3,0 Э46А</x:v>
      </x:c>
      <x:c r="D473" s="16" t="str">
        <x:v>Сварочные электроды</x:v>
      </x:c>
      <x:c r="E473" s="16" t="str">
        <x:v>КГ</x:v>
      </x:c>
      <x:c r="F473" s="21" t="n">
        <x:v>3</x:v>
      </x:c>
      <x:c r="G473" s="17" t="n">
        <x:v>169.9948</x:v>
      </x:c>
      <x:c r="H473" s="17" t="n">
        <x:f>G473*F473</x:f>
        <x:v>509.9844</x:v>
      </x:c>
      <x:c r="I473" s="22" t="str">
        <x:f>HYPERLINK("https://etp-aktiv.ru/catalog/materialy/svarochnye-ehlektrody/2000590853-U117/","Открыть позицию")</x:f>
        <x:v>Открыть позицию</x:v>
      </x:c>
    </x:row>
    <x:row r="474" ht="28" customHeight="1">
      <x:c r="A474" s="16" t="str">
        <x:v>Приморская ГРЭС</x:v>
      </x:c>
      <x:c r="B474" s="16" t="str">
        <x:v>2000046866-U117</x:v>
      </x:c>
      <x:c r="C474" s="16" t="str">
        <x:v>ЭЛЕКТРОДЫ УОНИ 13/55 6ММ ГОСТ9466-75</x:v>
      </x:c>
      <x:c r="D474" s="16" t="str">
        <x:v>Сварочные электроды</x:v>
      </x:c>
      <x:c r="E474" s="16" t="str">
        <x:v>Т</x:v>
      </x:c>
      <x:c r="F474" s="26" t="n">
        <x:v>0.008</x:v>
      </x:c>
      <x:c r="G474" s="17" t="n">
        <x:v>60872.6686</x:v>
      </x:c>
      <x:c r="H474" s="17" t="n">
        <x:f>G474*F474</x:f>
        <x:v>486.9813488</x:v>
      </x:c>
      <x:c r="I474" s="22" t="str">
        <x:f>HYPERLINK("https://etp-aktiv.ru/catalog/materialy/svarochnye-ehlektrody/2000046866-U117/","Открыть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f6fd14ed5dd74492"/>
  </x:tableParts>
</x:worksheet>
</file>

<file path=xl/worksheets/sheet10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Приморье: Кабельно-проводниковая продукция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Приморская ГРЭС</x:v>
      </x:c>
      <x:c r="B5" s="16" t="str">
        <x:v>2000532459-U117</x:v>
      </x:c>
      <x:c r="C5" s="16" t="str">
        <x:v>БОЛТ М8*25 NCM020825</x:v>
      </x:c>
      <x:c r="D5" s="16" t="str">
        <x:v>Монтажные изделия для кабельной продукции</x:v>
      </x:c>
      <x:c r="E5" s="16" t="str">
        <x:v>КГ</x:v>
      </x:c>
      <x:c r="F5" s="21" t="n">
        <x:v>1</x:v>
      </x:c>
      <x:c r="G5" s="17" t="n">
        <x:v>510.7408</x:v>
      </x:c>
      <x:c r="H5" s="17" t="n">
        <x:f>G5*F5</x:f>
        <x:v>510.7408</x:v>
      </x:c>
      <x:c r="I5" s="22" t="str">
        <x:f>HYPERLINK("https://etp-aktiv.ru/catalog/materialy/ehlektrotekhnicheskie-materialy/2000532459-U117/","Открыть позицию")</x:f>
        <x:v>Открыть позицию</x:v>
      </x:c>
    </x:row>
    <x:row r="6" ht="28" customHeight="1">
      <x:c r="A6" s="16" t="str">
        <x:v>Приморская ГРЭС</x:v>
      </x:c>
      <x:c r="B6" s="16" t="str">
        <x:v>2000479991-U117</x:v>
      </x:c>
      <x:c r="C6" s="16" t="str">
        <x:v>ГИЛЬЗА ТЕРМОУСАЖИВАЕМАЯ КДЗС-6030 10ШТ</x:v>
      </x:c>
      <x:c r="D6" s="16" t="str">
        <x:v>Монтажные изделия для кабельной продукции</x:v>
      </x:c>
      <x:c r="E6" s="16" t="str">
        <x:v>УПК</x:v>
      </x:c>
      <x:c r="F6" s="21" t="n">
        <x:v>90</x:v>
      </x:c>
      <x:c r="G6" s="17" t="n">
        <x:v>59.3896</x:v>
      </x:c>
      <x:c r="H6" s="17" t="n">
        <x:f>G6*F6</x:f>
        <x:v>5345.064</x:v>
      </x:c>
      <x:c r="I6" s="22" t="str">
        <x:f>HYPERLINK("https://etp-aktiv.ru/catalog/materialy/ehlektrotekhnicheskie-materialy/2000479991-U117/","Открыть позицию")</x:f>
        <x:v>Открыть позицию</x:v>
      </x:c>
    </x:row>
    <x:row r="7" ht="28" customHeight="1">
      <x:c r="A7" s="16" t="str">
        <x:v>Приморская ГРЭС</x:v>
      </x:c>
      <x:c r="B7" s="16" t="str">
        <x:v>2000661465-U117</x:v>
      </x:c>
      <x:c r="C7" s="16" t="str">
        <x:v>ИНСТРУМЕНТ Д/СНЯТИЯ КАБЕЛЬНОЙ ИЗОЛЯЦИИ 0</x:v>
      </x:c>
      <x:c r="D7" s="16" t="str">
        <x:v>Инструмент и спецоснастка</x:v>
      </x:c>
      <x:c r="E7" s="16" t="str">
        <x:v>ШТ</x:v>
      </x:c>
      <x:c r="F7" s="21" t="n">
        <x:v>1</x:v>
      </x:c>
      <x:c r="G7" s="17" t="n">
        <x:v>1642.8763999999999</x:v>
      </x:c>
      <x:c r="H7" s="17" t="n">
        <x:f>G7*F7</x:f>
        <x:v>1642.8763999999999</x:v>
      </x:c>
      <x:c r="I7" s="22" t="str">
        <x:f>HYPERLINK("https://etp-aktiv.ru/catalog/materialy/instrument-i-specosnastka/2000661465-U117/","Открыть позицию")</x:f>
        <x:v>Открыть позицию</x:v>
      </x:c>
    </x:row>
    <x:row r="8" ht="28" customHeight="1">
      <x:c r="A8" s="16" t="str">
        <x:v>Приморская ГРЭС</x:v>
      </x:c>
      <x:c r="B8" s="16" t="str">
        <x:v>2000604146-U117</x:v>
      </x:c>
      <x:c r="C8" s="16" t="str">
        <x:v>ИСКАТЕЛЬ СКРЫТОЙ ПРОВОДКИ ЛИС-100</x:v>
      </x:c>
      <x:c r="D8" s="16" t="str">
        <x:v>Запасные части и принадлежности для приборов КИПиА</x:v>
      </x:c>
      <x:c r="E8" s="16" t="str">
        <x:v>ШТ</x:v>
      </x:c>
      <x:c r="F8" s="21" t="n">
        <x:v>1</x:v>
      </x:c>
      <x:c r="G8" s="17" t="n">
        <x:v>8924.483</x:v>
      </x:c>
      <x:c r="H8" s="17" t="n">
        <x:f>G8*F8</x:f>
        <x:v>8924.483</x:v>
      </x:c>
      <x:c r="I8" s="22" t="str">
        <x:f>HYPERLINK("https://etp-aktiv.ru/catalog/materialy/zapasnye-chasti-i-prinadlezhnosti-dlya-priborov-kipia/2000604146-U117/","Открыть позицию")</x:f>
        <x:v>Открыть позицию</x:v>
      </x:c>
    </x:row>
    <x:row r="9" ht="28" customHeight="1">
      <x:c r="A9" s="16" t="str">
        <x:v>Приморская ГРЭС</x:v>
      </x:c>
      <x:c r="B9" s="16" t="str">
        <x:v>2000530992-U117</x:v>
      </x:c>
      <x:c r="C9" s="16" t="str">
        <x:v>КАБЕЛЬ ААШВ 3*185 1КВ</x:v>
      </x:c>
      <x:c r="D9" s="16" t="str">
        <x:v>Кабель общепромышленный и провод</x:v>
      </x:c>
      <x:c r="E9" s="16" t="str">
        <x:v>КМ</x:v>
      </x:c>
      <x:c r="F9" s="26" t="n">
        <x:v>0.314</x:v>
      </x:c>
      <x:c r="G9" s="17" t="n">
        <x:v>639613.6455999999</x:v>
      </x:c>
      <x:c r="H9" s="17" t="n">
        <x:f>G9*F9</x:f>
        <x:v>200838.68471839998</x:v>
      </x:c>
      <x:c r="I9" s="22" t="str">
        <x:f>HYPERLINK("https://etp-aktiv.ru/catalog/materialy/kabelno-provodnikovaya-produkciya/2000530992-U117/","Открыть позицию")</x:f>
        <x:v>Открыть позицию</x:v>
      </x:c>
    </x:row>
    <x:row r="10" ht="28" customHeight="1">
      <x:c r="A10" s="16" t="str">
        <x:v>Приморская ГРЭС</x:v>
      </x:c>
      <x:c r="B10" s="16" t="str">
        <x:v>2000531022-U117</x:v>
      </x:c>
      <x:c r="C10" s="16" t="str">
        <x:v>КАБЕЛЬ АВВГ 3*120+1*70 1КВ</x:v>
      </x:c>
      <x:c r="D10" s="16" t="str">
        <x:v>Кабель общепромышленный и провод</x:v>
      </x:c>
      <x:c r="E10" s="16" t="str">
        <x:v>М</x:v>
      </x:c>
      <x:c r="F10" s="21" t="n">
        <x:v>183</x:v>
      </x:c>
      <x:c r="G10" s="17" t="n">
        <x:v>610</x:v>
      </x:c>
      <x:c r="H10" s="17" t="n">
        <x:f>G10*F10</x:f>
        <x:v>111630</x:v>
      </x:c>
      <x:c r="I10" s="22" t="str">
        <x:f>HYPERLINK("https://etp-aktiv.ru/catalog/materialy/kabelno-provodnikovaya-produkciya/2000531022-U117/","Открыть позицию")</x:f>
        <x:v>Открыть позицию</x:v>
      </x:c>
    </x:row>
    <x:row r="11" ht="28" customHeight="1">
      <x:c r="A11" s="16" t="str">
        <x:v>Приморская ГРЭС</x:v>
      </x:c>
      <x:c r="B11" s="16" t="str">
        <x:v>2000531032-U117</x:v>
      </x:c>
      <x:c r="C11" s="16" t="str">
        <x:v>КАБЕЛЬ АВВГ 3*150+1*70 1КВ</x:v>
      </x:c>
      <x:c r="D11" s="16" t="str">
        <x:v>Кабель общепромышленный и провод</x:v>
      </x:c>
      <x:c r="E11" s="16" t="str">
        <x:v>КМ</x:v>
      </x:c>
      <x:c r="F11" s="26" t="n">
        <x:v>0.05</x:v>
      </x:c>
      <x:c r="G11" s="17" t="n">
        <x:v>564703.779</x:v>
      </x:c>
      <x:c r="H11" s="17" t="n">
        <x:f>G11*F11</x:f>
        <x:v>28235.18895</x:v>
      </x:c>
      <x:c r="I11" s="22" t="str">
        <x:f>HYPERLINK("https://etp-aktiv.ru/catalog/materialy/kabelno-provodnikovaya-produkciya/2000531032-U117/","Открыть позицию")</x:f>
        <x:v>Открыть позицию</x:v>
      </x:c>
    </x:row>
    <x:row r="12" ht="28" customHeight="1">
      <x:c r="A12" s="16" t="str">
        <x:v>Приморская ГРЭС</x:v>
      </x:c>
      <x:c r="B12" s="16" t="str">
        <x:v>2000712312-U117</x:v>
      </x:c>
      <x:c r="C12" s="16" t="str">
        <x:v>КАБЕЛЬ АВВГ 3*150+1*70 ОЖ 1КВ</x:v>
      </x:c>
      <x:c r="D12" s="16" t="str">
        <x:v>Кабель общепромышленный и провод</x:v>
      </x:c>
      <x:c r="E12" s="16" t="str">
        <x:v>КМ</x:v>
      </x:c>
      <x:c r="F12" s="26" t="n">
        <x:v>0.041</x:v>
      </x:c>
      <x:c r="G12" s="17" t="n">
        <x:v>214000.0048</x:v>
      </x:c>
      <x:c r="H12" s="17" t="n">
        <x:f>G12*F12</x:f>
        <x:v>8774.0001968</x:v>
      </x:c>
      <x:c r="I12" s="22" t="str">
        <x:f>HYPERLINK("https://etp-aktiv.ru/catalog/materialy/kabelno-provodnikovaya-produkciya/2000712312-U117/","Открыть позицию")</x:f>
        <x:v>Открыть позицию</x:v>
      </x:c>
    </x:row>
    <x:row r="13" ht="28" customHeight="1">
      <x:c r="A13" s="16" t="str">
        <x:v>Приморская ГРЭС</x:v>
      </x:c>
      <x:c r="B13" s="16" t="str">
        <x:v>2000531034-U117</x:v>
      </x:c>
      <x:c r="C13" s="16" t="str">
        <x:v>КАБЕЛЬ АВВГ 3*2,5 1КВ</x:v>
      </x:c>
      <x:c r="D13" s="16" t="str">
        <x:v>Кабель общепромышленный и провод</x:v>
      </x:c>
      <x:c r="E13" s="16" t="str">
        <x:v>КМ</x:v>
      </x:c>
      <x:c r="F13" s="26" t="n">
        <x:v>0.5</x:v>
      </x:c>
      <x:c r="G13" s="17" t="n">
        <x:v>55033.59</x:v>
      </x:c>
      <x:c r="H13" s="17" t="n">
        <x:f>G13*F13</x:f>
        <x:v>27516.795</x:v>
      </x:c>
      <x:c r="I13" s="22" t="str">
        <x:f>HYPERLINK("https://etp-aktiv.ru/catalog/materialy/kabelno-provodnikovaya-produkciya/2000531034-U117/","Открыть позицию")</x:f>
        <x:v>Открыть позицию</x:v>
      </x:c>
    </x:row>
    <x:row r="14" ht="28" customHeight="1">
      <x:c r="A14" s="16" t="str">
        <x:v>Приморская ГРЭС</x:v>
      </x:c>
      <x:c r="B14" s="16" t="str">
        <x:v>2000531057-U117</x:v>
      </x:c>
      <x:c r="C14" s="16" t="str">
        <x:v>КАБЕЛЬ АВВГНГ(A) 3*120 1КВ</x:v>
      </x:c>
      <x:c r="D14" s="16" t="str">
        <x:v>Кабель общепромышленный и провод</x:v>
      </x:c>
      <x:c r="E14" s="16" t="str">
        <x:v>КМ</x:v>
      </x:c>
      <x:c r="F14" s="26" t="n">
        <x:v>0.4</x:v>
      </x:c>
      <x:c r="G14" s="17" t="n">
        <x:v>297003.69299999997</x:v>
      </x:c>
      <x:c r="H14" s="17" t="n">
        <x:f>G14*F14</x:f>
        <x:v>118801.4772</x:v>
      </x:c>
      <x:c r="I14" s="22" t="str">
        <x:f>HYPERLINK("https://etp-aktiv.ru/catalog/materialy/kabelno-provodnikovaya-produkciya/2000531057-U117/","Открыть позицию")</x:f>
        <x:v>Открыть позицию</x:v>
      </x:c>
    </x:row>
    <x:row r="15" ht="28" customHeight="1">
      <x:c r="A15" s="16" t="str">
        <x:v>Приморская ГРЭС</x:v>
      </x:c>
      <x:c r="B15" s="16" t="str">
        <x:v>2000171588-U117</x:v>
      </x:c>
      <x:c r="C15" s="16" t="str">
        <x:v>КАБЕЛЬ АВВГНГ-LS 3*185+1*95 1КВ</x:v>
      </x:c>
      <x:c r="D15" s="16" t="str">
        <x:v>@Кабельно-проводниковая продукция</x:v>
      </x:c>
      <x:c r="E15" s="16" t="str">
        <x:v>КМ</x:v>
      </x:c>
      <x:c r="F15" s="26" t="n">
        <x:v>0.12</x:v>
      </x:c>
      <x:c r="G15" s="17" t="n">
        <x:v>691383.15</x:v>
      </x:c>
      <x:c r="H15" s="17" t="n">
        <x:f>G15*F15</x:f>
        <x:v>82965.978</x:v>
      </x:c>
      <x:c r="I15" s="22" t="str">
        <x:f>HYPERLINK("https://etp-aktiv.ru/catalog/materialy/kabelno-provodnikovaya-produkciya/2000171588-U117/","Открыть позицию")</x:f>
        <x:v>Открыть позицию</x:v>
      </x:c>
    </x:row>
    <x:row r="16" ht="28" customHeight="1">
      <x:c r="A16" s="16" t="str">
        <x:v>Приморская ГРЭС</x:v>
      </x:c>
      <x:c r="B16" s="16" t="str">
        <x:v>2000015676-U117</x:v>
      </x:c>
      <x:c r="C16" s="16" t="str">
        <x:v>КАБЕЛЬ ВВГ 2*2,5 0,66КВ</x:v>
      </x:c>
      <x:c r="D16" s="16" t="str">
        <x:v>Кабель общепромышленный и провод</x:v>
      </x:c>
      <x:c r="E16" s="16" t="str">
        <x:v>КМ</x:v>
      </x:c>
      <x:c r="F16" s="26" t="n">
        <x:v>0.01</x:v>
      </x:c>
      <x:c r="G16" s="17" t="n">
        <x:v>34888.95</x:v>
      </x:c>
      <x:c r="H16" s="17" t="n">
        <x:f>G16*F16</x:f>
        <x:v>348.8895</x:v>
      </x:c>
      <x:c r="I16" s="22" t="str">
        <x:f>HYPERLINK("https://etp-aktiv.ru/catalog/materialy/kabelno-provodnikovaya-produkciya/2000015676-U117/","Открыть позицию")</x:f>
        <x:v>Открыть позицию</x:v>
      </x:c>
    </x:row>
    <x:row r="17" ht="28" customHeight="1">
      <x:c r="A17" s="16" t="str">
        <x:v>Приморская ГРЭС</x:v>
      </x:c>
      <x:c r="B17" s="16" t="str">
        <x:v>2000014761-U117</x:v>
      </x:c>
      <x:c r="C17" s="16" t="str">
        <x:v>КАБЕЛЬ ВВГ 3*1,5 0,66КВ</x:v>
      </x:c>
      <x:c r="D17" s="16" t="str">
        <x:v>Кабель общепромышленный и провод</x:v>
      </x:c>
      <x:c r="E17" s="16" t="str">
        <x:v>КМ</x:v>
      </x:c>
      <x:c r="F17" s="26" t="n">
        <x:v>0.19</x:v>
      </x:c>
      <x:c r="G17" s="17" t="n">
        <x:v>39911.629</x:v>
      </x:c>
      <x:c r="H17" s="17" t="n">
        <x:f>G17*F17</x:f>
        <x:v>7583.209510000001</x:v>
      </x:c>
      <x:c r="I17" s="22" t="str">
        <x:f>HYPERLINK("https://etp-aktiv.ru/catalog/materialy/kabelno-provodnikovaya-produkciya/2000014761-U117/","Открыть позицию")</x:f>
        <x:v>Открыть позицию</x:v>
      </x:c>
    </x:row>
    <x:row r="18" ht="28" customHeight="1">
      <x:c r="A18" s="16" t="str">
        <x:v>Приморская ГРЭС</x:v>
      </x:c>
      <x:c r="B18" s="16" t="str">
        <x:v>2000017328-U117</x:v>
      </x:c>
      <x:c r="C18" s="16" t="str">
        <x:v>КАБЕЛЬ ВВГ 3*6+1*4 0,66КВ</x:v>
      </x:c>
      <x:c r="D18" s="16" t="str">
        <x:v>Кабель общепромышленный и провод</x:v>
      </x:c>
      <x:c r="E18" s="16" t="str">
        <x:v>КМ</x:v>
      </x:c>
      <x:c r="F18" s="26" t="n">
        <x:v>0.178</x:v>
      </x:c>
      <x:c r="G18" s="17" t="n">
        <x:v>224897.94759999998</x:v>
      </x:c>
      <x:c r="H18" s="17" t="n">
        <x:f>G18*F18</x:f>
        <x:v>40031.834672799996</x:v>
      </x:c>
      <x:c r="I18" s="22" t="str">
        <x:f>HYPERLINK("https://etp-aktiv.ru/catalog/materialy/kabelno-provodnikovaya-produkciya/2000017328-U117/","Открыть позицию")</x:f>
        <x:v>Открыть позицию</x:v>
      </x:c>
    </x:row>
    <x:row r="19" ht="28" customHeight="1">
      <x:c r="A19" s="16" t="str">
        <x:v>Приморская ГРЭС</x:v>
      </x:c>
      <x:c r="B19" s="16" t="str">
        <x:v>2000067013-U117</x:v>
      </x:c>
      <x:c r="C19" s="16" t="str">
        <x:v>КАБЕЛЬ ВВГНГ 2*1,5 0,66КВ</x:v>
      </x:c>
      <x:c r="D19" s="16" t="str">
        <x:v>Кабель общепромышленный и провод</x:v>
      </x:c>
      <x:c r="E19" s="16" t="str">
        <x:v>КМ</x:v>
      </x:c>
      <x:c r="F19" s="26" t="n">
        <x:v>0.8</x:v>
      </x:c>
      <x:c r="G19" s="17" t="n">
        <x:v>26740.374799999998</x:v>
      </x:c>
      <x:c r="H19" s="17" t="n">
        <x:f>G19*F19</x:f>
        <x:v>21392.29984</x:v>
      </x:c>
      <x:c r="I19" s="22" t="str">
        <x:f>HYPERLINK("https://etp-aktiv.ru/catalog/materialy/kabelno-provodnikovaya-produkciya/2000067013-U117/","Открыть позицию")</x:f>
        <x:v>Открыть позицию</x:v>
      </x:c>
    </x:row>
    <x:row r="20" ht="28" customHeight="1">
      <x:c r="A20" s="16" t="str">
        <x:v>Приморская ГРЭС</x:v>
      </x:c>
      <x:c r="B20" s="16" t="str">
        <x:v>2000171421-U117</x:v>
      </x:c>
      <x:c r="C20" s="16" t="str">
        <x:v>КАБЕЛЬ ВВГНГ 3*6 0,66КВ</x:v>
      </x:c>
      <x:c r="D20" s="16" t="str">
        <x:v>Кабель общепромышленный и провод</x:v>
      </x:c>
      <x:c r="E20" s="16" t="str">
        <x:v>КМ</x:v>
      </x:c>
      <x:c r="F20" s="26" t="n">
        <x:v>0.3</x:v>
      </x:c>
      <x:c r="G20" s="17" t="n">
        <x:v>155741.3936</x:v>
      </x:c>
      <x:c r="H20" s="17" t="n">
        <x:f>G20*F20</x:f>
        <x:v>46722.41808</x:v>
      </x:c>
      <x:c r="I20" s="22" t="str">
        <x:f>HYPERLINK("https://etp-aktiv.ru/catalog/materialy/kabelno-provodnikovaya-produkciya/2000171421-U117/","Открыть позицию")</x:f>
        <x:v>Открыть позицию</x:v>
      </x:c>
    </x:row>
    <x:row r="21" ht="28" customHeight="1">
      <x:c r="A21" s="16" t="str">
        <x:v>Приморская ГРЭС</x:v>
      </x:c>
      <x:c r="B21" s="16" t="str">
        <x:v>2001128208-U117</x:v>
      </x:c>
      <x:c r="C21" s="16" t="str">
        <x:v>КАБЕЛЬ ВВГНГ(A)-LS 2*2,5 0,66КВ</x:v>
      </x:c>
      <x:c r="D21" s="16" t="str">
        <x:v>Кабель общепромышленный и провод</x:v>
      </x:c>
      <x:c r="E21" s="16" t="str">
        <x:v>КМ</x:v>
      </x:c>
      <x:c r="F21" s="26" t="n">
        <x:v>0.4</x:v>
      </x:c>
      <x:c r="G21" s="17" t="n">
        <x:v>77390.7</x:v>
      </x:c>
      <x:c r="H21" s="17" t="n">
        <x:f>G21*F21</x:f>
        <x:v>30956.28</x:v>
      </x:c>
      <x:c r="I21" s="22" t="str">
        <x:f>HYPERLINK("https://etp-aktiv.ru/catalog/materialy/kabelno-provodnikovaya-produkciya/2001128208-U117/","Открыть позицию")</x:f>
        <x:v>Открыть позицию</x:v>
      </x:c>
    </x:row>
    <x:row r="22" ht="28" customHeight="1">
      <x:c r="A22" s="16" t="str">
        <x:v>Приморская ГРЭС</x:v>
      </x:c>
      <x:c r="B22" s="16" t="str">
        <x:v>2000566818-U117</x:v>
      </x:c>
      <x:c r="C22" s="16" t="str">
        <x:v>КАБЕЛЬ ВВГНГ(А)-LS 2*1,5 0,66КВ</x:v>
      </x:c>
      <x:c r="D22" s="16" t="str">
        <x:v>Кабель общепромышленный и провод</x:v>
      </x:c>
      <x:c r="E22" s="16" t="str">
        <x:v>КМ</x:v>
      </x:c>
      <x:c r="F22" s="30" t="n">
        <x:v>2.15</x:v>
      </x:c>
      <x:c r="G22" s="17" t="n">
        <x:v>33550</x:v>
      </x:c>
      <x:c r="H22" s="17" t="n">
        <x:f>G22*F22</x:f>
        <x:v>72132.5</x:v>
      </x:c>
      <x:c r="I22" s="22" t="str">
        <x:f>HYPERLINK("https://etp-aktiv.ru/catalog/materialy/kabelno-provodnikovaya-produkciya/2000566818-U117/","Открыть позицию")</x:f>
        <x:v>Открыть позицию</x:v>
      </x:c>
    </x:row>
    <x:row r="23" ht="28" customHeight="1">
      <x:c r="A23" s="16" t="str">
        <x:v>Приморская ГРЭС</x:v>
      </x:c>
      <x:c r="B23" s="16" t="str">
        <x:v>2000531175-U117</x:v>
      </x:c>
      <x:c r="C23" s="16" t="str">
        <x:v>КАБЕЛЬ ВВГНГ(А)-LS 2*10 0,66КВ</x:v>
      </x:c>
      <x:c r="D23" s="16" t="str">
        <x:v>Кабель общепромышленный и провод</x:v>
      </x:c>
      <x:c r="E23" s="16" t="str">
        <x:v>КМ</x:v>
      </x:c>
      <x:c r="F23" s="30" t="n">
        <x:v>5.123</x:v>
      </x:c>
      <x:c r="G23" s="17" t="n">
        <x:v>179113.6046</x:v>
      </x:c>
      <x:c r="H23" s="17" t="n">
        <x:f>G23*F23</x:f>
        <x:v>917598.9963658</x:v>
      </x:c>
      <x:c r="I23" s="22" t="str">
        <x:f>HYPERLINK("https://etp-aktiv.ru/catalog/materialy/kabelno-provodnikovaya-produkciya/2000531175-U117/","Открыть позицию")</x:f>
        <x:v>Открыть позицию</x:v>
      </x:c>
    </x:row>
    <x:row r="24" ht="28" customHeight="1">
      <x:c r="A24" s="16" t="str">
        <x:v>Приморская ГРЭС</x:v>
      </x:c>
      <x:c r="B24" s="16" t="str">
        <x:v>2000476932-U117</x:v>
      </x:c>
      <x:c r="C24" s="16" t="str">
        <x:v>КАБЕЛЬ ВВГНГ(А)-LS 2*4 0,66КВ</x:v>
      </x:c>
      <x:c r="D24" s="16" t="str">
        <x:v>Кабель общепромышленный и провод</x:v>
      </x:c>
      <x:c r="E24" s="16" t="str">
        <x:v>КМ</x:v>
      </x:c>
      <x:c r="F24" s="30" t="n">
        <x:v>3.6</x:v>
      </x:c>
      <x:c r="G24" s="17" t="n">
        <x:v>70150</x:v>
      </x:c>
      <x:c r="H24" s="17" t="n">
        <x:f>G24*F24</x:f>
        <x:v>252540</x:v>
      </x:c>
      <x:c r="I24" s="22" t="str">
        <x:f>HYPERLINK("https://etp-aktiv.ru/catalog/materialy/kabelno-provodnikovaya-produkciya/2000476932-U117/","Открыть позицию")</x:f>
        <x:v>Открыть позицию</x:v>
      </x:c>
    </x:row>
    <x:row r="25" ht="28" customHeight="1">
      <x:c r="A25" s="16" t="str">
        <x:v>Приморская ГРЭС</x:v>
      </x:c>
      <x:c r="B25" s="16" t="str">
        <x:v>2000531185-U117</x:v>
      </x:c>
      <x:c r="C25" s="16" t="str">
        <x:v>КАБЕЛЬ ВВГНГ(А)-LS 3*95 6КВ</x:v>
      </x:c>
      <x:c r="D25" s="16" t="str">
        <x:v>Кабель общепромышленный и провод</x:v>
      </x:c>
      <x:c r="E25" s="16" t="str">
        <x:v>М</x:v>
      </x:c>
      <x:c r="F25" s="21" t="n">
        <x:v>6</x:v>
      </x:c>
      <x:c r="G25" s="17" t="n">
        <x:v>2762.3484</x:v>
      </x:c>
      <x:c r="H25" s="17" t="n">
        <x:f>G25*F25</x:f>
        <x:v>16574.0904</x:v>
      </x:c>
      <x:c r="I25" s="22" t="str">
        <x:f>HYPERLINK("https://etp-aktiv.ru/catalog/materialy/kabelno-provodnikovaya-produkciya/2000531185-U117/","Открыть позицию")</x:f>
        <x:v>Открыть позицию</x:v>
      </x:c>
    </x:row>
    <x:row r="26" ht="28" customHeight="1">
      <x:c r="A26" s="16" t="str">
        <x:v>Приморская ГРЭС</x:v>
      </x:c>
      <x:c r="B26" s="16" t="str">
        <x:v>2000575195-U117</x:v>
      </x:c>
      <x:c r="C26" s="16" t="str">
        <x:v>КАБЕЛЬ ВВГНГ(А)-LS 4*6 0,66КВ (М)</x:v>
      </x:c>
      <x:c r="D26" s="16" t="str">
        <x:v>Кабель общепромышленный и провод</x:v>
      </x:c>
      <x:c r="E26" s="16" t="str">
        <x:v>М</x:v>
      </x:c>
      <x:c r="F26" s="21" t="n">
        <x:v>84</x:v>
      </x:c>
      <x:c r="G26" s="17" t="n">
        <x:v>240.7914</x:v>
      </x:c>
      <x:c r="H26" s="17" t="n">
        <x:f>G26*F26</x:f>
        <x:v>20226.477600000002</x:v>
      </x:c>
      <x:c r="I26" s="22" t="str">
        <x:f>HYPERLINK("https://etp-aktiv.ru/catalog/materialy/kabelno-provodnikovaya-produkciya/2000575195-U117/","Открыть позицию")</x:f>
        <x:v>Открыть позицию</x:v>
      </x:c>
    </x:row>
    <x:row r="27" ht="28" customHeight="1">
      <x:c r="A27" s="16" t="str">
        <x:v>Приморская ГРЭС</x:v>
      </x:c>
      <x:c r="B27" s="16" t="str">
        <x:v>2001094280-U117</x:v>
      </x:c>
      <x:c r="C27" s="16" t="str">
        <x:v>КАБЕЛЬ ВВГНГ(А)-LS 5*1,5 1КВ</x:v>
      </x:c>
      <x:c r="D27" s="16" t="str">
        <x:v>Кабель общепромышленный и провод</x:v>
      </x:c>
      <x:c r="E27" s="16" t="str">
        <x:v>КМ</x:v>
      </x:c>
      <x:c r="F27" s="26" t="n">
        <x:v>0.02</x:v>
      </x:c>
      <x:c r="G27" s="17" t="n">
        <x:v>120523.8</x:v>
      </x:c>
      <x:c r="H27" s="17" t="n">
        <x:f>G27*F27</x:f>
        <x:v>2410.476</x:v>
      </x:c>
      <x:c r="I27" s="22" t="str">
        <x:f>HYPERLINK("https://etp-aktiv.ru/catalog/materialy/kabelno-provodnikovaya-produkciya/2001094280-U117/","Открыть позицию")</x:f>
        <x:v>Открыть позицию</x:v>
      </x:c>
    </x:row>
    <x:row r="28" ht="28" customHeight="1">
      <x:c r="A28" s="16" t="str">
        <x:v>Приморская ГРЭС</x:v>
      </x:c>
      <x:c r="B28" s="16" t="str">
        <x:v>2000494077-U117</x:v>
      </x:c>
      <x:c r="C28" s="16" t="str">
        <x:v>КАБЕЛЬ ВВГНГ(А)-LS 5*4 1КВ</x:v>
      </x:c>
      <x:c r="D28" s="16" t="str">
        <x:v>Кабель общепромышленный и провод</x:v>
      </x:c>
      <x:c r="E28" s="16" t="str">
        <x:v>КМ</x:v>
      </x:c>
      <x:c r="F28" s="30" t="n">
        <x:v>2.534</x:v>
      </x:c>
      <x:c r="G28" s="17" t="n">
        <x:v>185211.189</x:v>
      </x:c>
      <x:c r="H28" s="17" t="n">
        <x:f>G28*F28</x:f>
        <x:v>469325.152926</x:v>
      </x:c>
      <x:c r="I28" s="22" t="str">
        <x:f>HYPERLINK("https://etp-aktiv.ru/catalog/materialy/kabelno-provodnikovaya-produkciya/2000494077-U117/","Открыть позицию")</x:f>
        <x:v>Открыть позицию</x:v>
      </x:c>
    </x:row>
    <x:row r="29" ht="28" customHeight="1">
      <x:c r="A29" s="16" t="str">
        <x:v>Приморская ГРЭС</x:v>
      </x:c>
      <x:c r="B29" s="16" t="str">
        <x:v>2000142789-U117</x:v>
      </x:c>
      <x:c r="C29" s="16" t="str">
        <x:v>КАБЕЛЬ ВВГНГ-LS 2*1,5 0,66КВ</x:v>
      </x:c>
      <x:c r="D29" s="16" t="str">
        <x:v>Кабель общепромышленный и провод</x:v>
      </x:c>
      <x:c r="E29" s="16" t="str">
        <x:v>КМ</x:v>
      </x:c>
      <x:c r="F29" s="26" t="n">
        <x:v>0.15</x:v>
      </x:c>
      <x:c r="G29" s="17" t="n">
        <x:v>35468.389</x:v>
      </x:c>
      <x:c r="H29" s="17" t="n">
        <x:f>G29*F29</x:f>
        <x:v>5320.25835</x:v>
      </x:c>
      <x:c r="I29" s="22" t="str">
        <x:f>HYPERLINK("https://etp-aktiv.ru/catalog/materialy/kabelno-provodnikovaya-produkciya/2000142789-U117/","Открыть позицию")</x:f>
        <x:v>Открыть позицию</x:v>
      </x:c>
    </x:row>
    <x:row r="30" ht="28" customHeight="1">
      <x:c r="A30" s="16" t="str">
        <x:v>Приморская ГРЭС</x:v>
      </x:c>
      <x:c r="B30" s="16" t="str">
        <x:v>2000531215-U117</x:v>
      </x:c>
      <x:c r="C30" s="16" t="str">
        <x:v>КАБЕЛЬ ВВГНГ-LS 2*10 1КВ</x:v>
      </x:c>
      <x:c r="D30" s="16" t="str">
        <x:v>Кабель общепромышленный и провод</x:v>
      </x:c>
      <x:c r="E30" s="16" t="str">
        <x:v>КМ</x:v>
      </x:c>
      <x:c r="F30" s="30" t="n">
        <x:v>1.3</x:v>
      </x:c>
      <x:c r="G30" s="17" t="n">
        <x:v>102480</x:v>
      </x:c>
      <x:c r="H30" s="17" t="n">
        <x:f>G30*F30</x:f>
        <x:v>133224</x:v>
      </x:c>
      <x:c r="I30" s="22" t="str">
        <x:f>HYPERLINK("https://etp-aktiv.ru/catalog/materialy/kabelno-provodnikovaya-produkciya/2000531215-U117/","Открыть позицию")</x:f>
        <x:v>Открыть позицию</x:v>
      </x:c>
    </x:row>
    <x:row r="31" ht="28" customHeight="1">
      <x:c r="A31" s="16" t="str">
        <x:v>Приморская ГРЭС</x:v>
      </x:c>
      <x:c r="B31" s="16" t="str">
        <x:v>2000531217-U117</x:v>
      </x:c>
      <x:c r="C31" s="16" t="str">
        <x:v>КАБЕЛЬ ВВГНГ-LS 2*2,5 1КВ</x:v>
      </x:c>
      <x:c r="D31" s="16" t="str">
        <x:v>Кабель общепромышленный и провод</x:v>
      </x:c>
      <x:c r="E31" s="16" t="str">
        <x:v>КМ</x:v>
      </x:c>
      <x:c r="F31" s="26" t="n">
        <x:v>0.3</x:v>
      </x:c>
      <x:c r="G31" s="17" t="n">
        <x:v>40479.6</x:v>
      </x:c>
      <x:c r="H31" s="17" t="n">
        <x:f>G31*F31</x:f>
        <x:v>12143.88</x:v>
      </x:c>
      <x:c r="I31" s="22" t="str">
        <x:f>HYPERLINK("https://etp-aktiv.ru/catalog/materialy/kabelno-provodnikovaya-produkciya/2000531217-U117/","Открыть позицию")</x:f>
        <x:v>Открыть позицию</x:v>
      </x:c>
    </x:row>
    <x:row r="32" ht="28" customHeight="1">
      <x:c r="A32" s="16" t="str">
        <x:v>Приморская ГРЭС</x:v>
      </x:c>
      <x:c r="B32" s="16" t="str">
        <x:v>2000531203-U117</x:v>
      </x:c>
      <x:c r="C32" s="16" t="str">
        <x:v>КАБЕЛЬ ВВГНГ-LS 2*4 0,66КВ</x:v>
      </x:c>
      <x:c r="D32" s="16" t="str">
        <x:v>Кабель общепромышленный и провод</x:v>
      </x:c>
      <x:c r="E32" s="16" t="str">
        <x:v>КМ</x:v>
      </x:c>
      <x:c r="F32" s="30" t="n">
        <x:v>1.94</x:v>
      </x:c>
      <x:c r="G32" s="17" t="n">
        <x:v>70150</x:v>
      </x:c>
      <x:c r="H32" s="17" t="n">
        <x:f>G32*F32</x:f>
        <x:v>136091</x:v>
      </x:c>
      <x:c r="I32" s="22" t="str">
        <x:f>HYPERLINK("https://etp-aktiv.ru/catalog/materialy/kabelno-provodnikovaya-produkciya/2000531203-U117/","Открыть позицию")</x:f>
        <x:v>Открыть позицию</x:v>
      </x:c>
    </x:row>
    <x:row r="33" ht="28" customHeight="1">
      <x:c r="A33" s="16" t="str">
        <x:v>Приморская ГРЭС</x:v>
      </x:c>
      <x:c r="B33" s="16" t="str">
        <x:v>2000250938-U117</x:v>
      </x:c>
      <x:c r="C33" s="16" t="str">
        <x:v>КАБЕЛЬ ВВГНГ-LS 4*6 0,66КВ</x:v>
      </x:c>
      <x:c r="D33" s="16" t="str">
        <x:v>Кабель общепромышленный и провод</x:v>
      </x:c>
      <x:c r="E33" s="16" t="str">
        <x:v>КМ</x:v>
      </x:c>
      <x:c r="F33" s="26" t="n">
        <x:v>0.38</x:v>
      </x:c>
      <x:c r="G33" s="17" t="n">
        <x:v>206339.82</x:v>
      </x:c>
      <x:c r="H33" s="17" t="n">
        <x:f>G33*F33</x:f>
        <x:v>78409.13160000001</x:v>
      </x:c>
      <x:c r="I33" s="22" t="str">
        <x:f>HYPERLINK("https://etp-aktiv.ru/catalog/materialy/kabelno-provodnikovaya-produkciya/2000250938-U117/","Открыть позицию")</x:f>
        <x:v>Открыть позицию</x:v>
      </x:c>
    </x:row>
    <x:row r="34" ht="28" customHeight="1">
      <x:c r="A34" s="16" t="str">
        <x:v>Приморская ГРЭС</x:v>
      </x:c>
      <x:c r="B34" s="16" t="str">
        <x:v>2001096477-U117</x:v>
      </x:c>
      <x:c r="C34" s="16" t="str">
        <x:v>КАБЕЛЬ ВВГНГ-LS 5*6 0,66КВ</x:v>
      </x:c>
      <x:c r="D34" s="16" t="str">
        <x:v>Кабель общепромышленный и провод</x:v>
      </x:c>
      <x:c r="E34" s="16" t="str">
        <x:v>КМ</x:v>
      </x:c>
      <x:c r="F34" s="26" t="n">
        <x:v>0.73</x:v>
      </x:c>
      <x:c r="G34" s="17" t="n">
        <x:v>221932.12759999998</x:v>
      </x:c>
      <x:c r="H34" s="17" t="n">
        <x:f>G34*F34</x:f>
        <x:v>162010.45314799997</x:v>
      </x:c>
      <x:c r="I34" s="22" t="str">
        <x:f>HYPERLINK("https://etp-aktiv.ru/catalog/materialy/kabelno-provodnikovaya-produkciya/2001096477-U117/","Открыть позицию")</x:f>
        <x:v>Открыть позицию</x:v>
      </x:c>
    </x:row>
    <x:row r="35" ht="28" customHeight="1">
      <x:c r="A35" s="16" t="str">
        <x:v>Приморская ГРЭС</x:v>
      </x:c>
      <x:c r="B35" s="16" t="str">
        <x:v>2000016927-U117</x:v>
      </x:c>
      <x:c r="C35" s="16" t="str">
        <x:v>КАБЕЛЬ КВВГ 10*1,5 0,66КВ</x:v>
      </x:c>
      <x:c r="D35" s="16" t="str">
        <x:v>Кабель общепромышленный и провод</x:v>
      </x:c>
      <x:c r="E35" s="16" t="str">
        <x:v>КМ</x:v>
      </x:c>
      <x:c r="F35" s="26" t="n">
        <x:v>0.02</x:v>
      </x:c>
      <x:c r="G35" s="17" t="n">
        <x:v>80631.63</x:v>
      </x:c>
      <x:c r="H35" s="17" t="n">
        <x:f>G35*F35</x:f>
        <x:v>1612.6326000000001</x:v>
      </x:c>
      <x:c r="I35" s="22" t="str">
        <x:f>HYPERLINK("https://etp-aktiv.ru/catalog/materialy/kabelno-provodnikovaya-produkciya/2000016927-U117/","Открыть позицию")</x:f>
        <x:v>Открыть позицию</x:v>
      </x:c>
    </x:row>
    <x:row r="36" ht="28" customHeight="1">
      <x:c r="A36" s="16" t="str">
        <x:v>Приморская ГРЭС</x:v>
      </x:c>
      <x:c r="B36" s="16" t="str">
        <x:v>2000017670-U117</x:v>
      </x:c>
      <x:c r="C36" s="16" t="str">
        <x:v>КАБЕЛЬ КВВГ 19*2,5 0,66КВ</x:v>
      </x:c>
      <x:c r="D36" s="16" t="str">
        <x:v>Кабель общепромышленный и провод</x:v>
      </x:c>
      <x:c r="E36" s="16" t="str">
        <x:v>КМ</x:v>
      </x:c>
      <x:c r="F36" s="26" t="n">
        <x:v>0.009</x:v>
      </x:c>
      <x:c r="G36" s="17" t="n">
        <x:v>414711.55</x:v>
      </x:c>
      <x:c r="H36" s="17" t="n">
        <x:f>G36*F36</x:f>
        <x:v>3732.4039499999994</x:v>
      </x:c>
      <x:c r="I36" s="22" t="str">
        <x:f>HYPERLINK("https://etp-aktiv.ru/catalog/materialy/kabelno-provodnikovaya-produkciya/2000017670-U117/","Открыть позицию")</x:f>
        <x:v>Открыть позицию</x:v>
      </x:c>
    </x:row>
    <x:row r="37" ht="28" customHeight="1">
      <x:c r="A37" s="16" t="str">
        <x:v>Приморская ГРЭС</x:v>
      </x:c>
      <x:c r="B37" s="16" t="str">
        <x:v>2000125723-U117</x:v>
      </x:c>
      <x:c r="C37" s="16" t="str">
        <x:v>КАБЕЛЬ КВВГНГ 5*1,5 0,66КВ</x:v>
      </x:c>
      <x:c r="D37" s="16" t="str">
        <x:v>Кабель общепромышленный и провод</x:v>
      </x:c>
      <x:c r="E37" s="16" t="str">
        <x:v>КМ</x:v>
      </x:c>
      <x:c r="F37" s="26" t="n">
        <x:v>0.9</x:v>
      </x:c>
      <x:c r="G37" s="17" t="n">
        <x:v>111644.9084</x:v>
      </x:c>
      <x:c r="H37" s="17" t="n">
        <x:f>G37*F37</x:f>
        <x:v>100480.41756</x:v>
      </x:c>
      <x:c r="I37" s="22" t="str">
        <x:f>HYPERLINK("https://etp-aktiv.ru/catalog/materialy/kabelno-provodnikovaya-produkciya/2000125723-U117/","Открыть позицию")</x:f>
        <x:v>Открыть позицию</x:v>
      </x:c>
    </x:row>
    <x:row r="38" ht="28" customHeight="1">
      <x:c r="A38" s="16" t="str">
        <x:v>Приморская ГРЭС</x:v>
      </x:c>
      <x:c r="B38" s="16" t="str">
        <x:v>2000374691-U117</x:v>
      </x:c>
      <x:c r="C38" s="16" t="str">
        <x:v>КАБЕЛЬ КВВГНГ(А)-LS 19*1,5 0,66КВ</x:v>
      </x:c>
      <x:c r="D38" s="16" t="str">
        <x:v>Кабель общепромышленный и провод</x:v>
      </x:c>
      <x:c r="E38" s="16" t="str">
        <x:v>КМ</x:v>
      </x:c>
      <x:c r="F38" s="26" t="n">
        <x:v>0.002</x:v>
      </x:c>
      <x:c r="G38" s="17" t="n">
        <x:v>251939.5282</x:v>
      </x:c>
      <x:c r="H38" s="17" t="n">
        <x:f>G38*F38</x:f>
        <x:v>503.8790564</x:v>
      </x:c>
      <x:c r="I38" s="22" t="str">
        <x:f>HYPERLINK("https://etp-aktiv.ru/catalog/materialy/kabelno-provodnikovaya-produkciya/2000374691-U117/","Открыть позицию")</x:f>
        <x:v>Открыть позицию</x:v>
      </x:c>
    </x:row>
    <x:row r="39" ht="28" customHeight="1">
      <x:c r="A39" s="16" t="str">
        <x:v>Приморская ГРЭС</x:v>
      </x:c>
      <x:c r="B39" s="16" t="str">
        <x:v>2000609949-U117</x:v>
      </x:c>
      <x:c r="C39" s="16" t="str">
        <x:v>КАБЕЛЬ КВВГНГ(А)-LS 37*1,5 0,66КВ</x:v>
      </x:c>
      <x:c r="D39" s="16" t="str">
        <x:v>Кабель общепромышленный и провод</x:v>
      </x:c>
      <x:c r="E39" s="16" t="str">
        <x:v>КМ</x:v>
      </x:c>
      <x:c r="F39" s="26" t="n">
        <x:v>0.3</x:v>
      </x:c>
      <x:c r="G39" s="17" t="n">
        <x:v>457500</x:v>
      </x:c>
      <x:c r="H39" s="17" t="n">
        <x:f>G39*F39</x:f>
        <x:v>137250</x:v>
      </x:c>
      <x:c r="I39" s="22" t="str">
        <x:f>HYPERLINK("https://etp-aktiv.ru/catalog/materialy/kabelno-provodnikovaya-produkciya/2000609949-U117/","Открыть позицию")</x:f>
        <x:v>Открыть позицию</x:v>
      </x:c>
    </x:row>
    <x:row r="40" ht="28" customHeight="1">
      <x:c r="A40" s="16" t="str">
        <x:v>Приморская ГРЭС</x:v>
      </x:c>
      <x:c r="B40" s="16" t="str">
        <x:v>2000691539-U117</x:v>
      </x:c>
      <x:c r="C40" s="16" t="str">
        <x:v>КАБЕЛЬ КВВГНГ(А)-LS 7*1,5 0,66КВ</x:v>
      </x:c>
      <x:c r="D40" s="16" t="str">
        <x:v>Кабель общепромышленный и провод</x:v>
      </x:c>
      <x:c r="E40" s="16" t="str">
        <x:v>КМ</x:v>
      </x:c>
      <x:c r="F40" s="26" t="n">
        <x:v>0.005</x:v>
      </x:c>
      <x:c r="G40" s="17" t="n">
        <x:v>89771.1136</x:v>
      </x:c>
      <x:c r="H40" s="17" t="n">
        <x:f>G40*F40</x:f>
        <x:v>448.855568</x:v>
      </x:c>
      <x:c r="I40" s="22" t="str">
        <x:f>HYPERLINK("https://etp-aktiv.ru/catalog/materialy/kabelno-provodnikovaya-produkciya/2000691539-U117/","Открыть позицию")</x:f>
        <x:v>Открыть позицию</x:v>
      </x:c>
    </x:row>
    <x:row r="41" ht="28" customHeight="1">
      <x:c r="A41" s="16" t="str">
        <x:v>Приморская ГРЭС</x:v>
      </x:c>
      <x:c r="B41" s="16" t="str">
        <x:v>2000470196-U117</x:v>
      </x:c>
      <x:c r="C41" s="16" t="str">
        <x:v>КАБЕЛЬ КВВГЭНГ(А)-LS 10*1,5 0,66КВ</x:v>
      </x:c>
      <x:c r="D41" s="16" t="str">
        <x:v>Кабель общепромышленный и провод</x:v>
      </x:c>
      <x:c r="E41" s="16" t="str">
        <x:v>КМ</x:v>
      </x:c>
      <x:c r="F41" s="26" t="n">
        <x:v>0.1</x:v>
      </x:c>
      <x:c r="G41" s="17" t="n">
        <x:v>104500.0028</x:v>
      </x:c>
      <x:c r="H41" s="17" t="n">
        <x:f>G41*F41</x:f>
        <x:v>10450.00028</x:v>
      </x:c>
      <x:c r="I41" s="22" t="str">
        <x:f>HYPERLINK("https://etp-aktiv.ru/catalog/materialy/kabelno-provodnikovaya-produkciya/2000470196-U117/","Открыть позицию")</x:f>
        <x:v>Открыть позицию</x:v>
      </x:c>
    </x:row>
    <x:row r="42" ht="28" customHeight="1">
      <x:c r="A42" s="16" t="str">
        <x:v>Приморская ГРЭС</x:v>
      </x:c>
      <x:c r="B42" s="16" t="str">
        <x:v>2000470198-U117</x:v>
      </x:c>
      <x:c r="C42" s="16" t="str">
        <x:v>КАБЕЛЬ КВВГЭНГ(А)-LS 19*1,5 0,66КВ</x:v>
      </x:c>
      <x:c r="D42" s="16" t="str">
        <x:v>Кабель общепромышленный и провод</x:v>
      </x:c>
      <x:c r="E42" s="16" t="str">
        <x:v>КМ</x:v>
      </x:c>
      <x:c r="F42" s="26" t="n">
        <x:v>0.6</x:v>
      </x:c>
      <x:c r="G42" s="17" t="n">
        <x:v>229680.59159999999</x:v>
      </x:c>
      <x:c r="H42" s="17" t="n">
        <x:f>G42*F42</x:f>
        <x:v>137808.35496</x:v>
      </x:c>
      <x:c r="I42" s="22" t="str">
        <x:f>HYPERLINK("https://etp-aktiv.ru/catalog/materialy/kabelno-provodnikovaya-produkciya/2000470198-U117/","Открыть позицию")</x:f>
        <x:v>Открыть позицию</x:v>
      </x:c>
    </x:row>
    <x:row r="43" ht="28" customHeight="1">
      <x:c r="A43" s="16" t="str">
        <x:v>Приморская ГРЭС</x:v>
      </x:c>
      <x:c r="B43" s="16" t="str">
        <x:v>2000622992-U117</x:v>
      </x:c>
      <x:c r="C43" s="16" t="str">
        <x:v>КАБЕЛЬ КВВГЭНГ(А)-LS 27*1,5 0,66КВ</x:v>
      </x:c>
      <x:c r="D43" s="16" t="str">
        <x:v>Кабель общепромышленный и провод</x:v>
      </x:c>
      <x:c r="E43" s="16" t="str">
        <x:v>КМ</x:v>
      </x:c>
      <x:c r="F43" s="26" t="n">
        <x:v>0.115</x:v>
      </x:c>
      <x:c r="G43" s="17" t="n">
        <x:v>305000</x:v>
      </x:c>
      <x:c r="H43" s="17" t="n">
        <x:f>G43*F43</x:f>
        <x:v>35075</x:v>
      </x:c>
      <x:c r="I43" s="22" t="str">
        <x:f>HYPERLINK("https://etp-aktiv.ru/catalog/materialy/kabelno-provodnikovaya-produkciya/2000622992-U117/","Открыть позицию")</x:f>
        <x:v>Открыть позицию</x:v>
      </x:c>
    </x:row>
    <x:row r="44" ht="28" customHeight="1">
      <x:c r="A44" s="16" t="str">
        <x:v>Приморская ГРЭС</x:v>
      </x:c>
      <x:c r="B44" s="16" t="str">
        <x:v>2001084167-U117</x:v>
      </x:c>
      <x:c r="C44" s="16" t="str">
        <x:v>КАБЕЛЬ КВВГЭНГ(А)-LS 4*1,5 0,66КВ</x:v>
      </x:c>
      <x:c r="D44" s="16" t="str">
        <x:v>Кабель общепромышленный и провод</x:v>
      </x:c>
      <x:c r="E44" s="16" t="str">
        <x:v>КМ</x:v>
      </x:c>
      <x:c r="F44" s="26" t="n">
        <x:v>0.3</x:v>
      </x:c>
      <x:c r="G44" s="17" t="n">
        <x:v>50611.9074</x:v>
      </x:c>
      <x:c r="H44" s="17" t="n">
        <x:f>G44*F44</x:f>
        <x:v>15183.572219999998</x:v>
      </x:c>
      <x:c r="I44" s="22" t="str">
        <x:f>HYPERLINK("https://etp-aktiv.ru/catalog/materialy/kabelno-provodnikovaya-produkciya/2001084167-U117/","Открыть позицию")</x:f>
        <x:v>Открыть позицию</x:v>
      </x:c>
    </x:row>
    <x:row r="45" ht="28" customHeight="1">
      <x:c r="A45" s="16" t="str">
        <x:v>Приморская ГРЭС</x:v>
      </x:c>
      <x:c r="B45" s="16" t="str">
        <x:v>2000462917-U117</x:v>
      </x:c>
      <x:c r="C45" s="16" t="str">
        <x:v>КАБЕЛЬ КВВГЭНГ(А)-LS 5*1,5 0,66КВ</x:v>
      </x:c>
      <x:c r="D45" s="16" t="str">
        <x:v>Кабель общепромышленный и провод</x:v>
      </x:c>
      <x:c r="E45" s="16" t="str">
        <x:v>КМ</x:v>
      </x:c>
      <x:c r="F45" s="26" t="n">
        <x:v>0.5</x:v>
      </x:c>
      <x:c r="G45" s="17" t="n">
        <x:v>70150</x:v>
      </x:c>
      <x:c r="H45" s="17" t="n">
        <x:f>G45*F45</x:f>
        <x:v>35075</x:v>
      </x:c>
      <x:c r="I45" s="22" t="str">
        <x:f>HYPERLINK("https://etp-aktiv.ru/catalog/materialy/kabelno-provodnikovaya-produkciya/2000462917-U117/","Открыть позицию")</x:f>
        <x:v>Открыть позицию</x:v>
      </x:c>
    </x:row>
    <x:row r="46" ht="28" customHeight="1">
      <x:c r="A46" s="16" t="str">
        <x:v>Приморская ГРЭС</x:v>
      </x:c>
      <x:c r="B46" s="16" t="str">
        <x:v>2001084166-U117</x:v>
      </x:c>
      <x:c r="C46" s="16" t="str">
        <x:v>КАБЕЛЬ КВВГЭНГ(А)-LS 7*1,5 0,66КВ</x:v>
      </x:c>
      <x:c r="D46" s="16" t="str">
        <x:v>Кабель общепромышленный и провод</x:v>
      </x:c>
      <x:c r="E46" s="16" t="str">
        <x:v>КМ</x:v>
      </x:c>
      <x:c r="F46" s="26" t="n">
        <x:v>0.758</x:v>
      </x:c>
      <x:c r="G46" s="17" t="n">
        <x:v>83526.5558</x:v>
      </x:c>
      <x:c r="H46" s="17" t="n">
        <x:f>G46*F46</x:f>
        <x:v>63313.1292964</x:v>
      </x:c>
      <x:c r="I46" s="22" t="str">
        <x:f>HYPERLINK("https://etp-aktiv.ru/catalog/materialy/kabelno-provodnikovaya-produkciya/2001084166-U117/","Открыть позицию")</x:f>
        <x:v>Открыть позицию</x:v>
      </x:c>
    </x:row>
    <x:row r="47" ht="28" customHeight="1">
      <x:c r="A47" s="16" t="str">
        <x:v>Приморская ГРЭС</x:v>
      </x:c>
      <x:c r="B47" s="16" t="str">
        <x:v>2000489115-U117</x:v>
      </x:c>
      <x:c r="C47" s="16" t="str">
        <x:v>КАБЕЛЬ КВВГЭНГ(А)-LS 7*2,5 0,66КВ</x:v>
      </x:c>
      <x:c r="D47" s="16" t="str">
        <x:v>Кабель общепромышленный и провод</x:v>
      </x:c>
      <x:c r="E47" s="16" t="str">
        <x:v>КМ</x:v>
      </x:c>
      <x:c r="F47" s="30" t="n">
        <x:v>1.83</x:v>
      </x:c>
      <x:c r="G47" s="17" t="n">
        <x:v>100007.8042</x:v>
      </x:c>
      <x:c r="H47" s="17" t="n">
        <x:f>G47*F47</x:f>
        <x:v>183014.281686</x:v>
      </x:c>
      <x:c r="I47" s="22" t="str">
        <x:f>HYPERLINK("https://etp-aktiv.ru/catalog/materialy/kabelno-provodnikovaya-produkciya/2000489115-U117/","Открыть позицию")</x:f>
        <x:v>Открыть позицию</x:v>
      </x:c>
    </x:row>
    <x:row r="48" ht="28" customHeight="1">
      <x:c r="A48" s="16" t="str">
        <x:v>Приморская ГРЭС</x:v>
      </x:c>
      <x:c r="B48" s="16" t="str">
        <x:v>2000014821-U117</x:v>
      </x:c>
      <x:c r="C48" s="16" t="str">
        <x:v>КАБЕЛЬ КГ 2*1,5 0,66КВ</x:v>
      </x:c>
      <x:c r="D48" s="16" t="str">
        <x:v>Кабель общепромышленный и провод</x:v>
      </x:c>
      <x:c r="E48" s="16" t="str">
        <x:v>КМ</x:v>
      </x:c>
      <x:c r="F48" s="26" t="n">
        <x:v>0.05</x:v>
      </x:c>
      <x:c r="G48" s="17" t="n">
        <x:v>31567.5</x:v>
      </x:c>
      <x:c r="H48" s="17" t="n">
        <x:f>G48*F48</x:f>
        <x:v>1578.375</x:v>
      </x:c>
      <x:c r="I48" s="22" t="str">
        <x:f>HYPERLINK("https://etp-aktiv.ru/catalog/materialy/kabelno-provodnikovaya-produkciya/2000014821-U117/","Открыть позицию")</x:f>
        <x:v>Открыть позицию</x:v>
      </x:c>
    </x:row>
    <x:row r="49" ht="28" customHeight="1">
      <x:c r="A49" s="16" t="str">
        <x:v>Приморская ГРЭС</x:v>
      </x:c>
      <x:c r="B49" s="16" t="str">
        <x:v>2000017968-U117</x:v>
      </x:c>
      <x:c r="C49" s="16" t="str">
        <x:v>КАБЕЛЬ КГ-ХЛ 1*70 0,66КВ</x:v>
      </x:c>
      <x:c r="D49" s="16" t="str">
        <x:v>Кабель общепромышленный и провод</x:v>
      </x:c>
      <x:c r="E49" s="16" t="str">
        <x:v>КМ</x:v>
      </x:c>
      <x:c r="F49" s="26" t="n">
        <x:v>0.695</x:v>
      </x:c>
      <x:c r="G49" s="17" t="n">
        <x:v>461935.8468</x:v>
      </x:c>
      <x:c r="H49" s="17" t="n">
        <x:f>G49*F49</x:f>
        <x:v>321045.413526</x:v>
      </x:c>
      <x:c r="I49" s="22" t="str">
        <x:f>HYPERLINK("https://etp-aktiv.ru/catalog/materialy/kabelno-provodnikovaya-produkciya/2000017968-U117/","Открыть позицию")</x:f>
        <x:v>Открыть позицию</x:v>
      </x:c>
    </x:row>
    <x:row r="50" ht="28" customHeight="1">
      <x:c r="A50" s="16" t="str">
        <x:v>Приморская ГРЭС</x:v>
      </x:c>
      <x:c r="B50" s="16" t="str">
        <x:v>2000131029-U117</x:v>
      </x:c>
      <x:c r="C50" s="16" t="str">
        <x:v>КАБЕЛЬ КГ-ХЛ 4*50 0,66КВ</x:v>
      </x:c>
      <x:c r="D50" s="16" t="str">
        <x:v>Кабель общепромышленный и провод</x:v>
      </x:c>
      <x:c r="E50" s="16" t="str">
        <x:v>КМ</x:v>
      </x:c>
      <x:c r="F50" s="26" t="n">
        <x:v>0.05</x:v>
      </x:c>
      <x:c r="G50" s="17" t="n">
        <x:v>1952730.2798000001</x:v>
      </x:c>
      <x:c r="H50" s="17" t="n">
        <x:f>G50*F50</x:f>
        <x:v>97636.51399</x:v>
      </x:c>
      <x:c r="I50" s="22" t="str">
        <x:f>HYPERLINK("https://etp-aktiv.ru/catalog/materialy/kabelno-provodnikovaya-produkciya/2000131029-U117/","Открыть позицию")</x:f>
        <x:v>Открыть позицию</x:v>
      </x:c>
    </x:row>
    <x:row r="51" ht="28" customHeight="1">
      <x:c r="A51" s="16" t="str">
        <x:v>Приморская ГРЭС</x:v>
      </x:c>
      <x:c r="B51" s="16" t="str">
        <x:v>2000131030-U117</x:v>
      </x:c>
      <x:c r="C51" s="16" t="str">
        <x:v>КАБЕЛЬ КГ-ХЛ 4*95 0,66КВ</x:v>
      </x:c>
      <x:c r="D51" s="16" t="str">
        <x:v>Кабель общепромышленный и провод</x:v>
      </x:c>
      <x:c r="E51" s="16" t="str">
        <x:v>КМ</x:v>
      </x:c>
      <x:c r="F51" s="26" t="n">
        <x:v>0.02</x:v>
      </x:c>
      <x:c r="G51" s="17" t="n">
        <x:v>3300371.8282</x:v>
      </x:c>
      <x:c r="H51" s="17" t="n">
        <x:f>G51*F51</x:f>
        <x:v>66007.436564</x:v>
      </x:c>
      <x:c r="I51" s="22" t="str">
        <x:f>HYPERLINK("https://etp-aktiv.ru/catalog/materialy/kabelno-provodnikovaya-produkciya/2000131030-U117/","Открыть позицию")</x:f>
        <x:v>Открыть позицию</x:v>
      </x:c>
    </x:row>
    <x:row r="52" ht="28" customHeight="1">
      <x:c r="A52" s="16" t="str">
        <x:v>Приморская ГРЭС</x:v>
      </x:c>
      <x:c r="B52" s="16" t="str">
        <x:v>2000489119-U117</x:v>
      </x:c>
      <x:c r="C52" s="16" t="str">
        <x:v>КАБЕЛЬ КГВВНГ(А)-LS 3*1,5 0,66КВ</x:v>
      </x:c>
      <x:c r="D52" s="16" t="str">
        <x:v>Кабель общепромышленный и провод</x:v>
      </x:c>
      <x:c r="E52" s="16" t="str">
        <x:v>КМ</x:v>
      </x:c>
      <x:c r="F52" s="26" t="n">
        <x:v>0.025</x:v>
      </x:c>
      <x:c r="G52" s="17" t="n">
        <x:v>49145.992</x:v>
      </x:c>
      <x:c r="H52" s="17" t="n">
        <x:f>G52*F52</x:f>
        <x:v>1228.6498</x:v>
      </x:c>
      <x:c r="I52" s="22" t="str">
        <x:f>HYPERLINK("https://etp-aktiv.ru/catalog/materialy/kabelno-provodnikovaya-produkciya/2000489119-U117/","Открыть позицию")</x:f>
        <x:v>Открыть позицию</x:v>
      </x:c>
    </x:row>
    <x:row r="53" ht="28" customHeight="1">
      <x:c r="A53" s="16" t="str">
        <x:v>Приморская ГРЭС</x:v>
      </x:c>
      <x:c r="B53" s="16" t="str">
        <x:v>2000581704-U117</x:v>
      </x:c>
      <x:c r="C53" s="16" t="str">
        <x:v>КАБЕЛЬ КГВВНГ(А)-LS 7*0,5 0,66КВ</x:v>
      </x:c>
      <x:c r="D53" s="16" t="str">
        <x:v>Кабель общепромышленный и провод</x:v>
      </x:c>
      <x:c r="E53" s="16" t="str">
        <x:v>М</x:v>
      </x:c>
      <x:c r="F53" s="30" t="n">
        <x:v>400.4</x:v>
      </x:c>
      <x:c r="G53" s="17" t="n">
        <x:v>75.4936</x:v>
      </x:c>
      <x:c r="H53" s="17" t="n">
        <x:f>G53*F53</x:f>
        <x:v>30227.63744</x:v>
      </x:c>
      <x:c r="I53" s="22" t="str">
        <x:f>HYPERLINK("https://etp-aktiv.ru/catalog/materialy/kabelno-provodnikovaya-produkciya/2000581704-U117/","Открыть позицию")</x:f>
        <x:v>Открыть позицию</x:v>
      </x:c>
    </x:row>
    <x:row r="54" ht="28" customHeight="1">
      <x:c r="A54" s="16" t="str">
        <x:v>Приморская ГРЭС</x:v>
      </x:c>
      <x:c r="B54" s="16" t="str">
        <x:v>2000727526-U117</x:v>
      </x:c>
      <x:c r="C54" s="16" t="str">
        <x:v>КАБЕЛЬ КПВЛ 18*1 0,44КВ</x:v>
      </x:c>
      <x:c r="D54" s="16" t="str">
        <x:v>Кабель общепромышленный и провод</x:v>
      </x:c>
      <x:c r="E54" s="16" t="str">
        <x:v>КМ</x:v>
      </x:c>
      <x:c r="F54" s="26" t="n">
        <x:v>0.165</x:v>
      </x:c>
      <x:c r="G54" s="17" t="n">
        <x:v>292800</x:v>
      </x:c>
      <x:c r="H54" s="17" t="n">
        <x:f>G54*F54</x:f>
        <x:v>48312</x:v>
      </x:c>
      <x:c r="I54" s="22" t="str">
        <x:f>HYPERLINK("https://etp-aktiv.ru/catalog/materialy/kabelno-provodnikovaya-produkciya/2000727526-U117/","Открыть позицию")</x:f>
        <x:v>Открыть позицию</x:v>
      </x:c>
    </x:row>
    <x:row r="55" ht="28" customHeight="1">
      <x:c r="A55" s="16" t="str">
        <x:v>Приморская ГРЭС</x:v>
      </x:c>
      <x:c r="B55" s="16" t="str">
        <x:v>2000727527-U117</x:v>
      </x:c>
      <x:c r="C55" s="16" t="str">
        <x:v>КАБЕЛЬ КПВЛ 24*1 0,44КВ</x:v>
      </x:c>
      <x:c r="D55" s="16" t="str">
        <x:v>Кабель общепромышленный и провод</x:v>
      </x:c>
      <x:c r="E55" s="16" t="str">
        <x:v>КМ</x:v>
      </x:c>
      <x:c r="F55" s="26" t="n">
        <x:v>0.076</x:v>
      </x:c>
      <x:c r="G55" s="17" t="n">
        <x:v>396500</x:v>
      </x:c>
      <x:c r="H55" s="17" t="n">
        <x:f>G55*F55</x:f>
        <x:v>30134</x:v>
      </x:c>
      <x:c r="I55" s="22" t="str">
        <x:f>HYPERLINK("https://etp-aktiv.ru/catalog/materialy/kabelno-provodnikovaya-produkciya/2000727527-U117/","Открыть позицию")</x:f>
        <x:v>Открыть позицию</x:v>
      </x:c>
    </x:row>
    <x:row r="56" ht="28" customHeight="1">
      <x:c r="A56" s="16" t="str">
        <x:v>Приморская ГРЭС</x:v>
      </x:c>
      <x:c r="B56" s="16" t="str">
        <x:v>2000014134-U117</x:v>
      </x:c>
      <x:c r="C56" s="16" t="str">
        <x:v>КАБЕЛЬ КСПВ 2*0,5 0,38КВ</x:v>
      </x:c>
      <x:c r="D56" s="16" t="str">
        <x:v>Кабель общепромышленный и провод</x:v>
      </x:c>
      <x:c r="E56" s="16" t="str">
        <x:v>КМ</x:v>
      </x:c>
      <x:c r="F56" s="21" t="n">
        <x:v>1</x:v>
      </x:c>
      <x:c r="G56" s="17" t="n">
        <x:v>35213.457800000004</x:v>
      </x:c>
      <x:c r="H56" s="17" t="n">
        <x:f>G56*F56</x:f>
        <x:v>35213.457800000004</x:v>
      </x:c>
      <x:c r="I56" s="22" t="str">
        <x:f>HYPERLINK("https://etp-aktiv.ru/catalog/materialy/kabelno-provodnikovaya-produkciya/2000014134-U117/","Открыть позицию")</x:f>
        <x:v>Открыть позицию</x:v>
      </x:c>
    </x:row>
    <x:row r="57" ht="28" customHeight="1">
      <x:c r="A57" s="16" t="str">
        <x:v>Приморская ГРЭС</x:v>
      </x:c>
      <x:c r="B57" s="16" t="str">
        <x:v>2000067301-U117</x:v>
      </x:c>
      <x:c r="C57" s="16" t="str">
        <x:v>КАБЕЛЬ КСПВ 4*0,5 0,38КВ</x:v>
      </x:c>
      <x:c r="D57" s="16" t="str">
        <x:v>Кабель общепромышленный и провод</x:v>
      </x:c>
      <x:c r="E57" s="16" t="str">
        <x:v>КМ</x:v>
      </x:c>
      <x:c r="F57" s="26" t="n">
        <x:v>0.4</x:v>
      </x:c>
      <x:c r="G57" s="17" t="n">
        <x:v>9474.8982</x:v>
      </x:c>
      <x:c r="H57" s="17" t="n">
        <x:f>G57*F57</x:f>
        <x:v>3789.95928</x:v>
      </x:c>
      <x:c r="I57" s="22" t="str">
        <x:f>HYPERLINK("https://etp-aktiv.ru/catalog/materialy/kabelno-provodnikovaya-produkciya/2000067301-U117/","Открыть позицию")</x:f>
        <x:v>Открыть позицию</x:v>
      </x:c>
    </x:row>
    <x:row r="58" ht="28" customHeight="1">
      <x:c r="A58" s="16" t="str">
        <x:v>Приморская ГРЭС</x:v>
      </x:c>
      <x:c r="B58" s="16" t="str">
        <x:v>2000842019-U117</x:v>
      </x:c>
      <x:c r="C58" s="16" t="str">
        <x:v>КАБЕЛЬ КУПЭВНГ(A)-LS 4*2*0,75 0,25КВ</x:v>
      </x:c>
      <x:c r="D58" s="16" t="str">
        <x:v>Кабель общепромышленный и провод</x:v>
      </x:c>
      <x:c r="E58" s="16" t="str">
        <x:v>КМ</x:v>
      </x:c>
      <x:c r="F58" s="26" t="n">
        <x:v>0.015</x:v>
      </x:c>
      <x:c r="G58" s="17" t="n">
        <x:v>322702.2</x:v>
      </x:c>
      <x:c r="H58" s="17" t="n">
        <x:f>G58*F58</x:f>
        <x:v>4840.533</x:v>
      </x:c>
      <x:c r="I58" s="22" t="str">
        <x:f>HYPERLINK("https://etp-aktiv.ru/catalog/materialy/kabelno-provodnikovaya-produkciya/2000842019-U117/","Открыть позицию")</x:f>
        <x:v>Открыть позицию</x:v>
      </x:c>
    </x:row>
    <x:row r="59" ht="28" customHeight="1">
      <x:c r="A59" s="16" t="str">
        <x:v>Приморская ГРЭС</x:v>
      </x:c>
      <x:c r="B59" s="16" t="str">
        <x:v>2000322909-U117</x:v>
      </x:c>
      <x:c r="C59" s="16" t="str">
        <x:v>КАБЕЛЬ РК 50-2-11 1*0,67 0,22КВ</x:v>
      </x:c>
      <x:c r="D59" s="16" t="str">
        <x:v>Расходные материалы</x:v>
      </x:c>
      <x:c r="E59" s="16" t="str">
        <x:v>КМ</x:v>
      </x:c>
      <x:c r="F59" s="26" t="n">
        <x:v>0.025</x:v>
      </x:c>
      <x:c r="G59" s="17" t="n">
        <x:v>38530.65</x:v>
      </x:c>
      <x:c r="H59" s="17" t="n">
        <x:f>G59*F59</x:f>
        <x:v>963.2662500000001</x:v>
      </x:c>
      <x:c r="I59" s="22" t="str">
        <x:f>HYPERLINK("https://etp-aktiv.ru/catalog/materialy/komplektuyushchie-i-zapasnye-chasti-k-kompyuternomu-i-ofisnomu-oborudovaniyu/2000322909-U117/","Открыть позицию")</x:f>
        <x:v>Открыть позицию</x:v>
      </x:c>
    </x:row>
    <x:row r="60" ht="28" customHeight="1">
      <x:c r="A60" s="16" t="str">
        <x:v>Приморская ГРЭС</x:v>
      </x:c>
      <x:c r="B60" s="16" t="str">
        <x:v>2000017617-U117</x:v>
      </x:c>
      <x:c r="C60" s="16" t="str">
        <x:v>КАБЕЛЬ СБПУ 24*2*0,9 0,38КВ</x:v>
      </x:c>
      <x:c r="D60" s="16" t="str">
        <x:v>@Кабельно-проводниковая продукция</x:v>
      </x:c>
      <x:c r="E60" s="16" t="str">
        <x:v>КМ</x:v>
      </x:c>
      <x:c r="F60" s="26" t="n">
        <x:v>0.3</x:v>
      </x:c>
      <x:c r="G60" s="17" t="n">
        <x:v>400307.925</x:v>
      </x:c>
      <x:c r="H60" s="17" t="n">
        <x:f>G60*F60</x:f>
        <x:v>120092.37749999999</x:v>
      </x:c>
      <x:c r="I60" s="22" t="str">
        <x:f>HYPERLINK("https://etp-aktiv.ru/catalog/materialy/kabelno-provodnikovaya-produkciya/2000017617-U117/","Открыть позицию")</x:f>
        <x:v>Открыть позицию</x:v>
      </x:c>
    </x:row>
    <x:row r="61" ht="28" customHeight="1">
      <x:c r="A61" s="16" t="str">
        <x:v>Приморская ГРЭС</x:v>
      </x:c>
      <x:c r="B61" s="16" t="str">
        <x:v>2000532560-U117</x:v>
      </x:c>
      <x:c r="C61" s="16" t="str">
        <x:v>КАБЕЛЬ-КАНАЛ 40*25 CKK10-040-025-1-K01</x:v>
      </x:c>
      <x:c r="D61" s="16" t="str">
        <x:v>Монтажные изделия для кабельной продукции</x:v>
      </x:c>
      <x:c r="E61" s="16" t="str">
        <x:v>М</x:v>
      </x:c>
      <x:c r="F61" s="21" t="n">
        <x:v>240</x:v>
      </x:c>
      <x:c r="G61" s="17" t="n">
        <x:v>41.4922</x:v>
      </x:c>
      <x:c r="H61" s="17" t="n">
        <x:f>G61*F61</x:f>
        <x:v>9958.127999999999</x:v>
      </x:c>
      <x:c r="I61" s="22" t="str">
        <x:f>HYPERLINK("https://etp-aktiv.ru/catalog/materialy/ehlektrotekhnicheskie-materialy/2000532560-U117/","Открыть позицию")</x:f>
        <x:v>Открыть позицию</x:v>
      </x:c>
    </x:row>
    <x:row r="62" ht="28" customHeight="1">
      <x:c r="A62" s="16" t="str">
        <x:v>Приморская ГРЭС</x:v>
      </x:c>
      <x:c r="B62" s="16" t="str">
        <x:v>2000117507-U117</x:v>
      </x:c>
      <x:c r="C62" s="16" t="str">
        <x:v>КАБЕЛЬ-КАНАЛ 50*105 LEGRAND L10429</x:v>
      </x:c>
      <x:c r="D62" s="16" t="str">
        <x:v>Монтажные изделия для кабельной продукции</x:v>
      </x:c>
      <x:c r="E62" s="16" t="str">
        <x:v>ШТ</x:v>
      </x:c>
      <x:c r="F62" s="21" t="n">
        <x:v>10</x:v>
      </x:c>
      <x:c r="G62" s="17" t="n">
        <x:v>1450.0066</x:v>
      </x:c>
      <x:c r="H62" s="17" t="n">
        <x:f>G62*F62</x:f>
        <x:v>14500.065999999999</x:v>
      </x:c>
      <x:c r="I62" s="22" t="str">
        <x:f>HYPERLINK("https://etp-aktiv.ru/catalog/materialy/ehlektrotekhnicheskie-materialy/2000117507-U117/","Открыть позицию")</x:f>
        <x:v>Открыть позицию</x:v>
      </x:c>
    </x:row>
    <x:row r="63" ht="28" customHeight="1">
      <x:c r="A63" s="16" t="str">
        <x:v>Приморская ГРЭС</x:v>
      </x:c>
      <x:c r="B63" s="16" t="str">
        <x:v>2000948560-U117</x:v>
      </x:c>
      <x:c r="C63" s="16" t="str">
        <x:v>КМП ЗАЖИМОВ КРОКОДИЛ 600А AT38632 2ШТ</x:v>
      </x:c>
      <x:c r="D63" s="16" t="str">
        <x:v>Монтажные изделия для кабельной продукции</x:v>
      </x:c>
      <x:c r="E63" s="16" t="str">
        <x:v>ШТ</x:v>
      </x:c>
      <x:c r="F63" s="21" t="n">
        <x:v>4</x:v>
      </x:c>
      <x:c r="G63" s="17" t="n">
        <x:v>220.9786</x:v>
      </x:c>
      <x:c r="H63" s="17" t="n">
        <x:f>G63*F63</x:f>
        <x:v>883.9144</x:v>
      </x:c>
      <x:c r="I63" s="22" t="str">
        <x:f>HYPERLINK("https://etp-aktiv.ru/catalog/materialy/ehlektrotekhnicheskie-materialy/2000948560-U117/","Открыть позицию")</x:f>
        <x:v>Открыть позицию</x:v>
      </x:c>
    </x:row>
    <x:row r="64" ht="28" customHeight="1">
      <x:c r="A64" s="16" t="str">
        <x:v>Приморская ГРЭС</x:v>
      </x:c>
      <x:c r="B64" s="16" t="str">
        <x:v>2000174049-U117</x:v>
      </x:c>
      <x:c r="C64" s="16" t="str">
        <x:v>КОНТРОЛЛЕР 2-Х ПРОВОДНОЙ ЛИНИИ С2000-КДЛ</x:v>
      </x:c>
      <x:c r="D64" s="16" t="str">
        <x:v>Запасные части и принадлежности для приборов КИПиА</x:v>
      </x:c>
      <x:c r="E64" s="16" t="str">
        <x:v>ШТ</x:v>
      </x:c>
      <x:c r="F64" s="21" t="n">
        <x:v>1</x:v>
      </x:c>
      <x:c r="G64" s="17" t="n">
        <x:v>3587.715</x:v>
      </x:c>
      <x:c r="H64" s="17" t="n">
        <x:f>G64*F64</x:f>
        <x:v>3587.715</x:v>
      </x:c>
      <x:c r="I64" s="22" t="str">
        <x:f>HYPERLINK("https://etp-aktiv.ru/catalog/materialy/zapasnye-chasti-i-prinadlezhnosti-dlya-priborov-kipia/2000174049-U117/","Открыть позицию")</x:f>
        <x:v>Открыть позицию</x:v>
      </x:c>
    </x:row>
    <x:row r="65" ht="28" customHeight="1">
      <x:c r="A65" s="16" t="str">
        <x:v>Приморская ГРЭС</x:v>
      </x:c>
      <x:c r="B65" s="16" t="str">
        <x:v>2000272813-U117</x:v>
      </x:c>
      <x:c r="C65" s="16" t="str">
        <x:v>МЕТАЛЛОРУКАВ РЗ ЦП НГ 20</x:v>
      </x:c>
      <x:c r="D65" s="16" t="str">
        <x:v>Монтажные изделия для кабельной продукции</x:v>
      </x:c>
      <x:c r="E65" s="16" t="str">
        <x:v>М</x:v>
      </x:c>
      <x:c r="F65" s="21" t="n">
        <x:v>5</x:v>
      </x:c>
      <x:c r="G65" s="17" t="n">
        <x:v>105.82279999999999</x:v>
      </x:c>
      <x:c r="H65" s="17" t="n">
        <x:f>G65*F65</x:f>
        <x:v>529.1139999999999</x:v>
      </x:c>
      <x:c r="I65" s="22" t="str">
        <x:f>HYPERLINK("https://etp-aktiv.ru/catalog/materialy/ehlektrotekhnicheskie-materialy/2000272813-U117/","Открыть позицию")</x:f>
        <x:v>Открыть позицию</x:v>
      </x:c>
    </x:row>
    <x:row r="66" ht="28" customHeight="1">
      <x:c r="A66" s="16" t="str">
        <x:v>Приморская ГРЭС</x:v>
      </x:c>
      <x:c r="B66" s="16" t="str">
        <x:v>2000384377-U117</x:v>
      </x:c>
      <x:c r="C66" s="16" t="str">
        <x:v>МЕТАЛЛОРУКАВ РЗ ЦПНГ 25</x:v>
      </x:c>
      <x:c r="D66" s="16" t="str">
        <x:v>Монтажные изделия для кабельной продукции</x:v>
      </x:c>
      <x:c r="E66" s="16" t="str">
        <x:v>М</x:v>
      </x:c>
      <x:c r="F66" s="21" t="n">
        <x:v>10</x:v>
      </x:c>
      <x:c r="G66" s="17" t="n">
        <x:v>169.77519999999998</x:v>
      </x:c>
      <x:c r="H66" s="17" t="n">
        <x:f>G66*F66</x:f>
        <x:v>1697.752</x:v>
      </x:c>
      <x:c r="I66" s="22" t="str">
        <x:f>HYPERLINK("https://etp-aktiv.ru/catalog/materialy/ehlektrotekhnicheskie-materialy/2000384377-U117/","Открыть позицию")</x:f>
        <x:v>Открыть позицию</x:v>
      </x:c>
    </x:row>
    <x:row r="67" ht="28" customHeight="1">
      <x:c r="A67" s="16" t="str">
        <x:v>Приморская ГРЭС</x:v>
      </x:c>
      <x:c r="B67" s="16" t="str">
        <x:v>2000154213-U117</x:v>
      </x:c>
      <x:c r="C67" s="16" t="str">
        <x:v>НАКОНЕЧНИК ТАМ 150-12-17</x:v>
      </x:c>
      <x:c r="D67" s="16" t="str">
        <x:v>Монтажные изделия для кабельной продукции</x:v>
      </x:c>
      <x:c r="E67" s="16" t="str">
        <x:v>ШТ</x:v>
      </x:c>
      <x:c r="F67" s="21" t="n">
        <x:v>32</x:v>
      </x:c>
      <x:c r="G67" s="17" t="n">
        <x:v>108.6166</x:v>
      </x:c>
      <x:c r="H67" s="17" t="n">
        <x:f>G67*F67</x:f>
        <x:v>3475.7312</x:v>
      </x:c>
      <x:c r="I67" s="22" t="str">
        <x:f>HYPERLINK("https://etp-aktiv.ru/catalog/materialy/ehlektrotekhnicheskie-materialy/2000154213-U117/","Открыть позицию")</x:f>
        <x:v>Открыть позицию</x:v>
      </x:c>
    </x:row>
    <x:row r="68" ht="28" customHeight="1">
      <x:c r="A68" s="16" t="str">
        <x:v>Приморская ГРЭС</x:v>
      </x:c>
      <x:c r="B68" s="16" t="str">
        <x:v>2000131122-U117</x:v>
      </x:c>
      <x:c r="C68" s="16" t="str">
        <x:v>НАКОНЕЧНИК ТМЛ 185-16-21</x:v>
      </x:c>
      <x:c r="D68" s="16" t="str">
        <x:v>Монтажные изделия для кабельной продукции</x:v>
      </x:c>
      <x:c r="E68" s="16" t="str">
        <x:v>ШТ</x:v>
      </x:c>
      <x:c r="F68" s="21" t="n">
        <x:v>10</x:v>
      </x:c>
      <x:c r="G68" s="17" t="n">
        <x:v>290.0062</x:v>
      </x:c>
      <x:c r="H68" s="17" t="n">
        <x:f>G68*F68</x:f>
        <x:v>2900.062</x:v>
      </x:c>
      <x:c r="I68" s="22" t="str">
        <x:f>HYPERLINK("https://etp-aktiv.ru/catalog/materialy/ehlektrotekhnicheskie-materialy/2000131122-U117/","Открыть позицию")</x:f>
        <x:v>Открыть позицию</x:v>
      </x:c>
    </x:row>
    <x:row r="69" ht="28" customHeight="1">
      <x:c r="A69" s="16" t="str">
        <x:v>Приморская ГРЭС</x:v>
      </x:c>
      <x:c r="B69" s="16" t="str">
        <x:v>2000480389-U117</x:v>
      </x:c>
      <x:c r="C69" s="16" t="str">
        <x:v>НОЖ ПЛУЖКОВЙ КАБЕЛЬНЫЙ KLAUKE 642HK</x:v>
      </x:c>
      <x:c r="D69" s="16" t="str">
        <x:v>Инструмент и спецоснастка</x:v>
      </x:c>
      <x:c r="E69" s="16" t="str">
        <x:v>ШТ</x:v>
      </x:c>
      <x:c r="F69" s="21" t="n">
        <x:v>3</x:v>
      </x:c>
      <x:c r="G69" s="17" t="n">
        <x:v>1153.8637999999999</x:v>
      </x:c>
      <x:c r="H69" s="17" t="n">
        <x:f>G69*F69</x:f>
        <x:v>3461.5913999999993</x:v>
      </x:c>
      <x:c r="I69" s="22" t="str">
        <x:f>HYPERLINK("https://etp-aktiv.ru/catalog/materialy/instrument-i-specosnastka/2000480389-U117/","Открыть позицию")</x:f>
        <x:v>Открыть позицию</x:v>
      </x:c>
    </x:row>
    <x:row r="70" ht="28" customHeight="1">
      <x:c r="A70" s="16" t="str">
        <x:v>Приморская ГРЭС</x:v>
      </x:c>
      <x:c r="B70" s="16" t="str">
        <x:v>2000532574-U117</x:v>
      </x:c>
      <x:c r="C70" s="16" t="str">
        <x:v>ОРГАНАЙЗЕР КАБЕЛЬНЫЙ 19" 1U NMC-OK600-2</x:v>
      </x:c>
      <x:c r="D70" s="16" t="str">
        <x:v>Монтажные изделия для кабельной продукции</x:v>
      </x:c>
      <x:c r="E70" s="16" t="str">
        <x:v>ШТ</x:v>
      </x:c>
      <x:c r="F70" s="21" t="n">
        <x:v>5</x:v>
      </x:c>
      <x:c r="G70" s="17" t="n">
        <x:v>253.0402</x:v>
      </x:c>
      <x:c r="H70" s="17" t="n">
        <x:f>G70*F70</x:f>
        <x:v>1265.201</x:v>
      </x:c>
      <x:c r="I70" s="22" t="str">
        <x:f>HYPERLINK("https://etp-aktiv.ru/catalog/materialy/ehlektrotekhnicheskie-materialy/2000532574-U117/","Открыть позицию")</x:f>
        <x:v>Открыть позицию</x:v>
      </x:c>
    </x:row>
    <x:row r="71" ht="28" customHeight="1">
      <x:c r="A71" s="16" t="str">
        <x:v>Приморская ГРЭС</x:v>
      </x:c>
      <x:c r="B71" s="16" t="str">
        <x:v>2000531423-U117</x:v>
      </x:c>
      <x:c r="C71" s="16" t="str">
        <x:v>ПРОВОД КМТВЭВ-XК 14*1,5</x:v>
      </x:c>
      <x:c r="D71" s="16" t="str">
        <x:v>Запасные части и принадлежности для приборов КИПиА</x:v>
      </x:c>
      <x:c r="E71" s="16" t="str">
        <x:v>КМ</x:v>
      </x:c>
      <x:c r="F71" s="26" t="n">
        <x:v>0.012</x:v>
      </x:c>
      <x:c r="G71" s="17" t="n">
        <x:v>1520364</x:v>
      </x:c>
      <x:c r="H71" s="17" t="n">
        <x:f>G71*F71</x:f>
        <x:v>18244.368</x:v>
      </x:c>
      <x:c r="I71" s="22" t="str">
        <x:f>HYPERLINK("https://etp-aktiv.ru/catalog/materialy/zapasnye-chasti-i-prinadlezhnosti-dlya-priborov-kipia/2000531423-U117/","Открыть позицию")</x:f>
        <x:v>Открыть позицию</x:v>
      </x:c>
    </x:row>
    <x:row r="72" ht="28" customHeight="1">
      <x:c r="A72" s="16" t="str">
        <x:v>Приморская ГРЭС</x:v>
      </x:c>
      <x:c r="B72" s="16" t="str">
        <x:v>2000558492-U117</x:v>
      </x:c>
      <x:c r="C72" s="16" t="str">
        <x:v>ПРОВОД ПТФФ-200-ХК 2*1,5</x:v>
      </x:c>
      <x:c r="D72" s="16" t="str">
        <x:v>Запасные части и принадлежности для приборов КИПиА</x:v>
      </x:c>
      <x:c r="E72" s="16" t="str">
        <x:v>М</x:v>
      </x:c>
      <x:c r="F72" s="30" t="n">
        <x:v>204.6</x:v>
      </x:c>
      <x:c r="G72" s="17" t="n">
        <x:v>181.26760000000002</x:v>
      </x:c>
      <x:c r="H72" s="17" t="n">
        <x:f>G72*F72</x:f>
        <x:v>37087.35096</x:v>
      </x:c>
      <x:c r="I72" s="22" t="str">
        <x:f>HYPERLINK("https://etp-aktiv.ru/catalog/materialy/zapasnye-chasti-i-prinadlezhnosti-dlya-priborov-kipia/2000558492-U117/","Открыть позицию")</x:f>
        <x:v>Открыть позицию</x:v>
      </x:c>
    </x:row>
    <x:row r="73" ht="28" customHeight="1">
      <x:c r="A73" s="16" t="str">
        <x:v>Приморская ГРЭС</x:v>
      </x:c>
      <x:c r="B73" s="16" t="str">
        <x:v>2000531632-U117</x:v>
      </x:c>
      <x:c r="C73" s="16" t="str">
        <x:v>ПРОВОД ПУГВ 1*1,5 Б</x:v>
      </x:c>
      <x:c r="D73" s="16" t="str">
        <x:v>Кабель общепромышленный и провод</x:v>
      </x:c>
      <x:c r="E73" s="16" t="str">
        <x:v>М</x:v>
      </x:c>
      <x:c r="F73" s="21" t="n">
        <x:v>30</x:v>
      </x:c>
      <x:c r="G73" s="17" t="n">
        <x:v>25.388199999999998</x:v>
      </x:c>
      <x:c r="H73" s="17" t="n">
        <x:f>G73*F73</x:f>
        <x:v>761.646</x:v>
      </x:c>
      <x:c r="I73" s="22" t="str">
        <x:f>HYPERLINK("https://etp-aktiv.ru/catalog/materialy/kabelno-provodnikovaya-produkciya/2000531632-U117/","Открыть позицию")</x:f>
        <x:v>Открыть позицию</x:v>
      </x:c>
    </x:row>
    <x:row r="74" ht="28" customHeight="1">
      <x:c r="A74" s="16" t="str">
        <x:v>Приморская ГРЭС</x:v>
      </x:c>
      <x:c r="B74" s="16" t="str">
        <x:v>2000479046-U117</x:v>
      </x:c>
      <x:c r="C74" s="16" t="str">
        <x:v>ПРОВОД ПУГВ 10 ГОСТ6323-79</x:v>
      </x:c>
      <x:c r="D74" s="16" t="str">
        <x:v>Кабель общепромышленный и провод</x:v>
      </x:c>
      <x:c r="E74" s="16" t="str">
        <x:v>КМ</x:v>
      </x:c>
      <x:c r="F74" s="26" t="n">
        <x:v>0.351</x:v>
      </x:c>
      <x:c r="G74" s="17" t="n">
        <x:v>92487.6022</x:v>
      </x:c>
      <x:c r="H74" s="17" t="n">
        <x:f>G74*F74</x:f>
        <x:v>32463.148372199998</x:v>
      </x:c>
      <x:c r="I74" s="22" t="str">
        <x:f>HYPERLINK("https://etp-aktiv.ru/catalog/materialy/kabelno-provodnikovaya-produkciya/2000479046-U117/","Открыть позицию")</x:f>
        <x:v>Открыть позицию</x:v>
      </x:c>
    </x:row>
    <x:row r="75" ht="28" customHeight="1">
      <x:c r="A75" s="16" t="str">
        <x:v>Приморская ГРЭС</x:v>
      </x:c>
      <x:c r="B75" s="16" t="str">
        <x:v>2000229221-U117</x:v>
      </x:c>
      <x:c r="C75" s="16" t="str">
        <x:v>ПРОВОД ПУГВ 2,5</x:v>
      </x:c>
      <x:c r="D75" s="16" t="str">
        <x:v>Кабель общепромышленный и провод</x:v>
      </x:c>
      <x:c r="E75" s="16" t="str">
        <x:v>КМ</x:v>
      </x:c>
      <x:c r="F75" s="26" t="n">
        <x:v>0.1</x:v>
      </x:c>
      <x:c r="G75" s="17" t="n">
        <x:v>260322.07499999998</x:v>
      </x:c>
      <x:c r="H75" s="17" t="n">
        <x:f>G75*F75</x:f>
        <x:v>26032.2075</x:v>
      </x:c>
      <x:c r="I75" s="22" t="str">
        <x:f>HYPERLINK("https://etp-aktiv.ru/catalog/materialy/kabelno-provodnikovaya-produkciya/2000229221-U117/","Открыть позицию")</x:f>
        <x:v>Открыть позицию</x:v>
      </x:c>
    </x:row>
    <x:row r="76" ht="28" customHeight="1">
      <x:c r="A76" s="16" t="str">
        <x:v>Приморская ГРЭС</x:v>
      </x:c>
      <x:c r="B76" s="16" t="str">
        <x:v>2000242697-U117</x:v>
      </x:c>
      <x:c r="C76" s="16" t="str">
        <x:v>ПРОВОД ПУГВ 6</x:v>
      </x:c>
      <x:c r="D76" s="16" t="str">
        <x:v>Кабель общепромышленный и провод</x:v>
      </x:c>
      <x:c r="E76" s="16" t="str">
        <x:v>КМ</x:v>
      </x:c>
      <x:c r="F76" s="26" t="n">
        <x:v>0.2</x:v>
      </x:c>
      <x:c r="G76" s="17" t="n">
        <x:v>32674.649999999998</x:v>
      </x:c>
      <x:c r="H76" s="17" t="n">
        <x:f>G76*F76</x:f>
        <x:v>6534.93</x:v>
      </x:c>
      <x:c r="I76" s="22" t="str">
        <x:f>HYPERLINK("https://etp-aktiv.ru/catalog/materialy/kabelno-provodnikovaya-produkciya/2000242697-U117/","Открыть позицию")</x:f>
        <x:v>Открыть позицию</x:v>
      </x:c>
    </x:row>
    <x:row r="77" ht="28" customHeight="1">
      <x:c r="A77" s="16" t="str">
        <x:v>Приморская ГРЭС</x:v>
      </x:c>
      <x:c r="B77" s="16" t="str">
        <x:v>2000531644-U117</x:v>
      </x:c>
      <x:c r="C77" s="16" t="str">
        <x:v>ПРОВОД ПУГВНГ(А)-LS 1*0,75</x:v>
      </x:c>
      <x:c r="D77" s="16" t="str">
        <x:v>Кабель общепромышленный и провод</x:v>
      </x:c>
      <x:c r="E77" s="16" t="str">
        <x:v>М</x:v>
      </x:c>
      <x:c r="F77" s="21" t="n">
        <x:v>500</x:v>
      </x:c>
      <x:c r="G77" s="17" t="n">
        <x:v>14.64</x:v>
      </x:c>
      <x:c r="H77" s="17" t="n">
        <x:f>G77*F77</x:f>
        <x:v>7320</x:v>
      </x:c>
      <x:c r="I77" s="22" t="str">
        <x:f>HYPERLINK("https://etp-aktiv.ru/catalog/materialy/kabelno-provodnikovaya-produkciya/2000531644-U117/","Открыть позицию")</x:f>
        <x:v>Открыть позицию</x:v>
      </x:c>
    </x:row>
    <x:row r="78" ht="28" customHeight="1">
      <x:c r="A78" s="16" t="str">
        <x:v>Приморская ГРЭС</x:v>
      </x:c>
      <x:c r="B78" s="16" t="str">
        <x:v>2000652970-U117</x:v>
      </x:c>
      <x:c r="C78" s="16" t="str">
        <x:v>ПРОВОД ПУГВНГ(А)-LS 1*2,5</x:v>
      </x:c>
      <x:c r="D78" s="16" t="str">
        <x:v>Кабель общепромышленный и провод</x:v>
      </x:c>
      <x:c r="E78" s="16" t="str">
        <x:v>М</x:v>
      </x:c>
      <x:c r="F78" s="21" t="n">
        <x:v>500</x:v>
      </x:c>
      <x:c r="G78" s="17" t="n">
        <x:v>17.7754</x:v>
      </x:c>
      <x:c r="H78" s="17" t="n">
        <x:f>G78*F78</x:f>
        <x:v>8887.7</x:v>
      </x:c>
      <x:c r="I78" s="22" t="str">
        <x:f>HYPERLINK("https://etp-aktiv.ru/catalog/materialy/kabelno-provodnikovaya-produkciya/2000652970-U117/","Открыть позицию")</x:f>
        <x:v>Открыть позицию</x:v>
      </x:c>
    </x:row>
    <x:row r="79" ht="28" customHeight="1">
      <x:c r="A79" s="16" t="str">
        <x:v>Приморская ГРЭС</x:v>
      </x:c>
      <x:c r="B79" s="16" t="str">
        <x:v>2000007339-U117</x:v>
      </x:c>
      <x:c r="C79" s="16" t="str">
        <x:v>ПРОВОД ПЭТВ-2 0,25</x:v>
      </x:c>
      <x:c r="D79" s="16" t="str">
        <x:v>Кабель общепромышленный и провод</x:v>
      </x:c>
      <x:c r="E79" s="16" t="str">
        <x:v>КГ</x:v>
      </x:c>
      <x:c r="F79" s="26" t="n">
        <x:v>0.34</x:v>
      </x:c>
      <x:c r="G79" s="17" t="n">
        <x:v>1197.2836</x:v>
      </x:c>
      <x:c r="H79" s="17" t="n">
        <x:f>G79*F79</x:f>
        <x:v>407.07642400000003</x:v>
      </x:c>
      <x:c r="I79" s="22" t="str">
        <x:f>HYPERLINK("https://etp-aktiv.ru/catalog/materialy/kabelno-provodnikovaya-produkciya/2000007339-U117/","Открыть позицию")</x:f>
        <x:v>Открыть позицию</x:v>
      </x:c>
    </x:row>
    <x:row r="80" ht="28" customHeight="1">
      <x:c r="A80" s="16" t="str">
        <x:v>Приморская ГРЭС</x:v>
      </x:c>
      <x:c r="B80" s="16" t="str">
        <x:v>2000007167-U117</x:v>
      </x:c>
      <x:c r="C80" s="16" t="str">
        <x:v>ПРОВОД ПЭТВ-2 0,45</x:v>
      </x:c>
      <x:c r="D80" s="16" t="str">
        <x:v>Кабель общепромышленный и провод</x:v>
      </x:c>
      <x:c r="E80" s="16" t="str">
        <x:v>КГ</x:v>
      </x:c>
      <x:c r="F80" s="30" t="n">
        <x:v>8.33</x:v>
      </x:c>
      <x:c r="G80" s="17" t="n">
        <x:v>951.6</x:v>
      </x:c>
      <x:c r="H80" s="17" t="n">
        <x:f>G80*F80</x:f>
        <x:v>7926.828</x:v>
      </x:c>
      <x:c r="I80" s="22" t="str">
        <x:f>HYPERLINK("https://etp-aktiv.ru/catalog/materialy/kabelno-provodnikovaya-produkciya/2000007167-U117/","Открыть позицию")</x:f>
        <x:v>Открыть позицию</x:v>
      </x:c>
    </x:row>
    <x:row r="81" ht="28" customHeight="1">
      <x:c r="A81" s="16" t="str">
        <x:v>Приморская ГРЭС</x:v>
      </x:c>
      <x:c r="B81" s="16" t="str">
        <x:v>2000006436-U117</x:v>
      </x:c>
      <x:c r="C81" s="16" t="str">
        <x:v>ПРОВОД ПЭТВ-2 0,75</x:v>
      </x:c>
      <x:c r="D81" s="16" t="str">
        <x:v>Кабель общепромышленный и провод</x:v>
      </x:c>
      <x:c r="E81" s="16" t="str">
        <x:v>КГ</x:v>
      </x:c>
      <x:c r="F81" s="30" t="n">
        <x:v>1.43</x:v>
      </x:c>
      <x:c r="G81" s="17" t="n">
        <x:v>1083.5064</x:v>
      </x:c>
      <x:c r="H81" s="17" t="n">
        <x:f>G81*F81</x:f>
        <x:v>1549.4141519999998</x:v>
      </x:c>
      <x:c r="I81" s="22" t="str">
        <x:f>HYPERLINK("https://etp-aktiv.ru/catalog/materialy/kabelno-provodnikovaya-produkciya/2000006436-U117/","Открыть позицию")</x:f>
        <x:v>Открыть позицию</x:v>
      </x:c>
    </x:row>
    <x:row r="82" ht="28" customHeight="1">
      <x:c r="A82" s="16" t="str">
        <x:v>Приморская ГРЭС</x:v>
      </x:c>
      <x:c r="B82" s="16" t="str">
        <x:v>2000006758-U117</x:v>
      </x:c>
      <x:c r="C82" s="16" t="str">
        <x:v>ПРОВОД ПЭТВ-2 0,95</x:v>
      </x:c>
      <x:c r="D82" s="16" t="str">
        <x:v>Кабель общепромышленный и провод</x:v>
      </x:c>
      <x:c r="E82" s="16" t="str">
        <x:v>КГ</x:v>
      </x:c>
      <x:c r="F82" s="21" t="n">
        <x:v>0</x:v>
      </x:c>
      <x:c r="G82" s="17" t="n">
        <x:v>1213.1924</x:v>
      </x:c>
      <x:c r="H82" s="17" t="n">
        <x:f>G82*F82</x:f>
        <x:v>0</x:v>
      </x:c>
      <x:c r="I82" s="22" t="str">
        <x:f>HYPERLINK("https://etp-aktiv.ru/catalog/materialy/kabelno-provodnikovaya-produkciya/2000006758-U117/","Открыть позицию")</x:f>
        <x:v>Открыть позицию</x:v>
      </x:c>
    </x:row>
    <x:row r="83" ht="28" customHeight="1">
      <x:c r="A83" s="16" t="str">
        <x:v>Приморская ГРЭС</x:v>
      </x:c>
      <x:c r="B83" s="16" t="str">
        <x:v>2000006428-U117</x:v>
      </x:c>
      <x:c r="C83" s="16" t="str">
        <x:v>ПРОВОД ПЭТВ-2 1,08</x:v>
      </x:c>
      <x:c r="D83" s="16" t="str">
        <x:v>Кабель общепромышленный и провод</x:v>
      </x:c>
      <x:c r="E83" s="16" t="str">
        <x:v>КГ</x:v>
      </x:c>
      <x:c r="F83" s="21" t="n">
        <x:v>0</x:v>
      </x:c>
      <x:c r="G83" s="17" t="n">
        <x:v>1098.427</x:v>
      </x:c>
      <x:c r="H83" s="17" t="n">
        <x:f>G83*F83</x:f>
        <x:v>0</x:v>
      </x:c>
      <x:c r="I83" s="22" t="str">
        <x:f>HYPERLINK("https://etp-aktiv.ru/catalog/materialy/kabelno-provodnikovaya-produkciya/2000006428-U117/","Открыть позицию")</x:f>
        <x:v>Открыть позицию</x:v>
      </x:c>
    </x:row>
    <x:row r="84" ht="28" customHeight="1">
      <x:c r="A84" s="16" t="str">
        <x:v>Приморская ГРЭС</x:v>
      </x:c>
      <x:c r="B84" s="16" t="str">
        <x:v>2000006423-U117</x:v>
      </x:c>
      <x:c r="C84" s="16" t="str">
        <x:v>ПРОВОД ПЭТВ-2 1,45</x:v>
      </x:c>
      <x:c r="D84" s="16" t="str">
        <x:v>Кабель общепромышленный и провод</x:v>
      </x:c>
      <x:c r="E84" s="16" t="str">
        <x:v>КГ</x:v>
      </x:c>
      <x:c r="F84" s="21" t="n">
        <x:v>0</x:v>
      </x:c>
      <x:c r="G84" s="17" t="n">
        <x:v>1097.2802</x:v>
      </x:c>
      <x:c r="H84" s="17" t="n">
        <x:f>G84*F84</x:f>
        <x:v>0</x:v>
      </x:c>
      <x:c r="I84" s="22" t="str">
        <x:f>HYPERLINK("https://etp-aktiv.ru/catalog/materialy/kabelno-provodnikovaya-produkciya/2000006423-U117/","Открыть позицию")</x:f>
        <x:v>Открыть позицию</x:v>
      </x:c>
    </x:row>
    <x:row r="85" ht="28" customHeight="1">
      <x:c r="A85" s="16" t="str">
        <x:v>Приморская ГРЭС</x:v>
      </x:c>
      <x:c r="B85" s="16" t="str">
        <x:v>2000015614-U117</x:v>
      </x:c>
      <x:c r="C85" s="16" t="str">
        <x:v>ПРОВОД РКГМ 4</x:v>
      </x:c>
      <x:c r="D85" s="16" t="str">
        <x:v>Кабель общепромышленный и провод</x:v>
      </x:c>
      <x:c r="E85" s="16" t="str">
        <x:v>КМ</x:v>
      </x:c>
      <x:c r="F85" s="26" t="n">
        <x:v>0.003</x:v>
      </x:c>
      <x:c r="G85" s="17" t="n">
        <x:v>67223.647</x:v>
      </x:c>
      <x:c r="H85" s="17" t="n">
        <x:f>G85*F85</x:f>
        <x:v>201.670941</x:v>
      </x:c>
      <x:c r="I85" s="22" t="str">
        <x:f>HYPERLINK("https://etp-aktiv.ru/catalog/materialy/kabelno-provodnikovaya-produkciya/2000015614-U117/","Открыть позицию")</x:f>
        <x:v>Открыть позицию</x:v>
      </x:c>
    </x:row>
    <x:row r="86" ht="28" customHeight="1">
      <x:c r="A86" s="16" t="str">
        <x:v>Приморская ГРЭС</x:v>
      </x:c>
      <x:c r="B86" s="16" t="str">
        <x:v>2000129880-U117</x:v>
      </x:c>
      <x:c r="C86" s="16" t="str">
        <x:v>ПРОВОД СИП-4 4*16</x:v>
      </x:c>
      <x:c r="D86" s="16" t="str">
        <x:v>Кабель общепромышленный и провод</x:v>
      </x:c>
      <x:c r="E86" s="16" t="str">
        <x:v>КМ</x:v>
      </x:c>
      <x:c r="F86" s="26" t="n">
        <x:v>0.5</x:v>
      </x:c>
      <x:c r="G86" s="17" t="n">
        <x:v>78937.05</x:v>
      </x:c>
      <x:c r="H86" s="17" t="n">
        <x:f>G86*F86</x:f>
        <x:v>39468.525</x:v>
      </x:c>
      <x:c r="I86" s="22" t="str">
        <x:f>HYPERLINK("https://etp-aktiv.ru/catalog/materialy/kabelno-provodnikovaya-produkciya/2000129880-U117/","Открыть позицию")</x:f>
        <x:v>Открыть позицию</x:v>
      </x:c>
    </x:row>
    <x:row r="87" ht="28" customHeight="1">
      <x:c r="A87" s="16" t="str">
        <x:v>Приморская ГРЭС</x:v>
      </x:c>
      <x:c r="B87" s="16" t="str">
        <x:v>2000458540-U117</x:v>
      </x:c>
      <x:c r="C87" s="16" t="str">
        <x:v>СКОБА МЕТАЛЛИЧЕСКАЯ 11*12 СМР 100ШТ</x:v>
      </x:c>
      <x:c r="D87" s="16" t="str">
        <x:v>Монтажные изделия для кабельной продукции</x:v>
      </x:c>
      <x:c r="E87" s="16" t="str">
        <x:v>УПК</x:v>
      </x:c>
      <x:c r="F87" s="21" t="n">
        <x:v>2</x:v>
      </x:c>
      <x:c r="G87" s="17" t="n">
        <x:v>1220</x:v>
      </x:c>
      <x:c r="H87" s="17" t="n">
        <x:f>G87*F87</x:f>
        <x:v>2440</x:v>
      </x:c>
      <x:c r="I87" s="22" t="str">
        <x:f>HYPERLINK("https://etp-aktiv.ru/catalog/materialy/ehlektrotekhnicheskie-materialy/2000458540-U117/","Открыть позицию")</x:f>
        <x:v>Открыть позицию</x:v>
      </x:c>
    </x:row>
    <x:row r="88" ht="28" customHeight="1">
      <x:c r="A88" s="16" t="str">
        <x:v>Приморская ГРЭС</x:v>
      </x:c>
      <x:c r="B88" s="16" t="str">
        <x:v>2000533138-U117</x:v>
      </x:c>
      <x:c r="C88" s="16" t="str">
        <x:v>СОЕДИНИТЕЛЬ 0,4-0,9ММ UY-2 120501-00005</x:v>
      </x:c>
      <x:c r="D88" s="16" t="str">
        <x:v>Монтажные изделия для кабельной продукции</x:v>
      </x:c>
      <x:c r="E88" s="16" t="str">
        <x:v>УПК</x:v>
      </x:c>
      <x:c r="F88" s="21" t="n">
        <x:v>4</x:v>
      </x:c>
      <x:c r="G88" s="17" t="n">
        <x:v>228.6646</x:v>
      </x:c>
      <x:c r="H88" s="17" t="n">
        <x:f>G88*F88</x:f>
        <x:v>914.6584</x:v>
      </x:c>
      <x:c r="I88" s="22" t="str">
        <x:f>HYPERLINK("https://etp-aktiv.ru/catalog/materialy/ehlektrotekhnicheskie-materialy/2000533138-U117/","Открыть позицию")</x:f>
        <x:v>Открыть позицию</x:v>
      </x:c>
    </x:row>
    <x:row r="89" ht="28" customHeight="1">
      <x:c r="A89" s="16" t="str">
        <x:v>Приморская ГРЭС</x:v>
      </x:c>
      <x:c r="B89" s="16" t="str">
        <x:v>2000241733-U117</x:v>
      </x:c>
      <x:c r="C89" s="16" t="str">
        <x:v>СТОЙКА СПТЗ L=2,9М</x:v>
      </x:c>
      <x:c r="D89" s="16" t="str">
        <x:v>Монтажные изделия для кабельной продукции</x:v>
      </x:c>
      <x:c r="E89" s="16" t="str">
        <x:v>ШТ</x:v>
      </x:c>
      <x:c r="F89" s="21" t="n">
        <x:v>150</x:v>
      </x:c>
      <x:c r="G89" s="17" t="n">
        <x:v>1125.206</x:v>
      </x:c>
      <x:c r="H89" s="17" t="n">
        <x:f>G89*F89</x:f>
        <x:v>168780.9</x:v>
      </x:c>
      <x:c r="I89" s="22" t="str">
        <x:f>HYPERLINK("https://etp-aktiv.ru/catalog/materialy/ehlektrotekhnicheskie-materialy/2000241733-U117/","Открыть позицию")</x:f>
        <x:v>Открыть позицию</x:v>
      </x:c>
    </x:row>
    <x:row r="90" ht="28" customHeight="1">
      <x:c r="A90" s="16" t="str">
        <x:v>Приморская ГРЭС</x:v>
      </x:c>
      <x:c r="B90" s="16" t="str">
        <x:v>2000156174-U117</x:v>
      </x:c>
      <x:c r="C90" s="16" t="str">
        <x:v>ХОМУТ КАБЕЛЬНЫЙ 5*300</x:v>
      </x:c>
      <x:c r="D90" s="16" t="str">
        <x:v>Монтажные изделия для кабельной продукции</x:v>
      </x:c>
      <x:c r="E90" s="16" t="str">
        <x:v>УПК</x:v>
      </x:c>
      <x:c r="F90" s="21" t="n">
        <x:v>1</x:v>
      </x:c>
      <x:c r="G90" s="17" t="n">
        <x:v>178.8886</x:v>
      </x:c>
      <x:c r="H90" s="17" t="n">
        <x:f>G90*F90</x:f>
        <x:v>178.8886</x:v>
      </x:c>
      <x:c r="I90" s="22" t="str">
        <x:f>HYPERLINK("https://etp-aktiv.ru/catalog/materialy/ehlektrotekhnicheskie-materialy/2000156174-U117/","Открыть позицию")</x:f>
        <x:v>Открыть позицию</x:v>
      </x:c>
    </x:row>
    <x:row r="91" ht="28" customHeight="1">
      <x:c r="A91" s="16" t="str">
        <x:v>Приморская ГРЭС</x:v>
      </x:c>
      <x:c r="B91" s="16" t="str">
        <x:v>2000726516-U117</x:v>
      </x:c>
      <x:c r="C91" s="16" t="str">
        <x:v>ХОМУТ ЧЕРВЯЧНЫЙ 8-12/9S NORMA</x:v>
      </x:c>
      <x:c r="D91" s="16" t="str">
        <x:v>Монтажные изделия для кабельной продукции</x:v>
      </x:c>
      <x:c r="E91" s="16" t="str">
        <x:v>ШТ</x:v>
      </x:c>
      <x:c r="F91" s="21" t="n">
        <x:v>100</x:v>
      </x:c>
      <x:c r="G91" s="17" t="n">
        <x:v>14.749799999999999</x:v>
      </x:c>
      <x:c r="H91" s="17" t="n">
        <x:f>G91*F91</x:f>
        <x:v>1474.9799999999998</x:v>
      </x:c>
      <x:c r="I91" s="22" t="str">
        <x:f>HYPERLINK("https://etp-aktiv.ru/catalog/materialy/ehlektrotekhnicheskie-materialy/2000726516-U117/","Открыть позицию")</x:f>
        <x:v>Открыть позицию</x:v>
      </x:c>
    </x:row>
    <x:row r="92" ht="28" customHeight="1">
      <x:c r="A92" s="16" t="str">
        <x:v>Приморская ГРЭС</x:v>
      </x:c>
      <x:c r="B92" s="16" t="str">
        <x:v>2000604426-U117</x:v>
      </x:c>
      <x:c r="C92" s="16" t="str">
        <x:v>ЧУЛОК КАБЕЛЬН КЧС65/1 50-65*900ММ 1ПЕТЛЯ</x:v>
      </x:c>
      <x:c r="D92" s="16" t="str">
        <x:v>Монтажные изделия для кабельной продукции</x:v>
      </x:c>
      <x:c r="E92" s="16" t="str">
        <x:v>ШТ</x:v>
      </x:c>
      <x:c r="F92" s="21" t="n">
        <x:v>2</x:v>
      </x:c>
      <x:c r="G92" s="17" t="n">
        <x:v>2195.3168</x:v>
      </x:c>
      <x:c r="H92" s="17" t="n">
        <x:f>G92*F92</x:f>
        <x:v>4390.6336</x:v>
      </x:c>
      <x:c r="I92" s="22" t="str">
        <x:f>HYPERLINK("https://etp-aktiv.ru/catalog/materialy/ehlektrotekhnicheskie-materialy/2000604426-U117/","Открыть позицию")</x:f>
        <x:v>Открыть позицию</x:v>
      </x:c>
    </x:row>
    <x:row r="93" ht="28" customHeight="1">
      <x:c r="A93" s="16" t="str">
        <x:v>Приморская ГРЭС</x:v>
      </x:c>
      <x:c r="B93" s="16" t="str">
        <x:v>2000533296-U117</x:v>
      </x:c>
      <x:c r="C93" s="16" t="str">
        <x:v>ШАЙБА УСИЛЕННАЯ М8 ШМ8УК</x:v>
      </x:c>
      <x:c r="D93" s="16" t="str">
        <x:v>Монтажные изделия для кабельной продукции</x:v>
      </x:c>
      <x:c r="E93" s="16" t="str">
        <x:v>ШТ</x:v>
      </x:c>
      <x:c r="F93" s="21" t="n">
        <x:v>50</x:v>
      </x:c>
      <x:c r="G93" s="17" t="n">
        <x:v>0.305</x:v>
      </x:c>
      <x:c r="H93" s="17" t="n">
        <x:f>G93*F93</x:f>
        <x:v>15.25</x:v>
      </x:c>
      <x:c r="I93" s="22" t="str">
        <x:f>HYPERLINK("https://etp-aktiv.ru/catalog/materialy/ehlektrotekhnicheskie-materialy/2000533296-U117/","Открыть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00b1dc0f213441d6"/>
  </x:tableParts>
</x:worksheet>
</file>

<file path=xl/worksheets/sheet11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Приморье: Электрооборудование, КИПиА и связь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Приморская ГРЭС</x:v>
      </x:c>
      <x:c r="B5" s="16" t="str">
        <x:v>2000536246-U117</x:v>
      </x:c>
      <x:c r="C5" s="16" t="str">
        <x:v>DIN-РЕЙКА 120СМ SQ0804-0005</x:v>
      </x:c>
      <x:c r="D5" s="16" t="str">
        <x:v>Низковольтная аппаратура и запасные части</x:v>
      </x:c>
      <x:c r="E5" s="16" t="str">
        <x:v>ШТ</x:v>
      </x:c>
      <x:c r="F5" s="21" t="n">
        <x:v>1</x:v>
      </x:c>
      <x:c r="G5" s="17" t="n">
        <x:v>90.585</x:v>
      </x:c>
      <x:c r="H5" s="17" t="n">
        <x:f>G5*F5</x:f>
        <x:v>90.585</x:v>
      </x:c>
      <x:c r="I5" s="22" t="str">
        <x:f>HYPERLINK("https://etp-aktiv.ru/catalog/materialy/nizkovoltnaya-apparatura-i-zapasnye-chasti/2000536246-U117/","Открыть позицию")</x:f>
        <x:v>Открыть позицию</x:v>
      </x:c>
    </x:row>
    <x:row r="6" ht="28" customHeight="1">
      <x:c r="A6" s="16" t="str">
        <x:v>Приморская ГРЭС</x:v>
      </x:c>
      <x:c r="B6" s="16" t="str">
        <x:v>2000455484-U117</x:v>
      </x:c>
      <x:c r="C6" s="16" t="str">
        <x:v>А ЛАМПА R2 24V-55/50W P45T</x:v>
      </x:c>
      <x:c r="D6" s="16" t="str">
        <x:v>Осветительная продукция и изделия электроустановочные</x:v>
      </x:c>
      <x:c r="E6" s="16" t="str">
        <x:v>ШТ</x:v>
      </x:c>
      <x:c r="F6" s="21" t="n">
        <x:v>250</x:v>
      </x:c>
      <x:c r="G6" s="17" t="n">
        <x:v>55.009800000000006</x:v>
      </x:c>
      <x:c r="H6" s="17" t="n">
        <x:f>G6*F6</x:f>
        <x:v>13752.45</x:v>
      </x:c>
      <x:c r="I6" s="22" t="str">
        <x:f>HYPERLINK("https://etp-aktiv.ru/catalog/materialy/ehlektrotekhnicheskie-materialy/2000455484-U117/","Открыть позицию")</x:f>
        <x:v>Открыть позицию</x:v>
      </x:c>
    </x:row>
    <x:row r="7" ht="28" customHeight="1">
      <x:c r="A7" s="16" t="str">
        <x:v>Приморская ГРЭС</x:v>
      </x:c>
      <x:c r="B7" s="16" t="str">
        <x:v>2000713078-U117</x:v>
      </x:c>
      <x:c r="C7" s="16" t="str">
        <x:v>АВТОЛАМПА Н4 А-12-55*60 12В 55/60ВТ</x:v>
      </x:c>
      <x:c r="D7" s="16" t="str">
        <x:v>Осветит-я продукция и изделия э/установоч спец-е и под заказ</x:v>
      </x:c>
      <x:c r="E7" s="16" t="str">
        <x:v>ШТ</x:v>
      </x:c>
      <x:c r="F7" s="21" t="n">
        <x:v>9</x:v>
      </x:c>
      <x:c r="G7" s="17" t="n">
        <x:v>68.3566</x:v>
      </x:c>
      <x:c r="H7" s="17" t="n">
        <x:f>G7*F7</x:f>
        <x:v>615.2094</x:v>
      </x:c>
      <x:c r="I7" s="22" t="str">
        <x:f>HYPERLINK("https://etp-aktiv.ru/catalog/materialy/ehlektrotekhnicheskie-materialy/2000713078-U117/","Открыть позицию")</x:f>
        <x:v>Открыть позицию</x:v>
      </x:c>
    </x:row>
    <x:row r="8" ht="28" customHeight="1">
      <x:c r="A8" s="16" t="str">
        <x:v>Приморская ГРЭС</x:v>
      </x:c>
      <x:c r="B8" s="16" t="str">
        <x:v>2000975921-U117</x:v>
      </x:c>
      <x:c r="C8" s="16" t="str">
        <x:v>АВТОМАТ А63-МГ-10А-10IН-110DC-У3 104100</x:v>
      </x:c>
      <x:c r="D8" s="16" t="str">
        <x:v>Низковольтная аппаратура и запасные части</x:v>
      </x:c>
      <x:c r="E8" s="16" t="str">
        <x:v>ШТ</x:v>
      </x:c>
      <x:c r="F8" s="21" t="n">
        <x:v>10</x:v>
      </x:c>
      <x:c r="G8" s="17" t="n">
        <x:v>1699.9968000000001</x:v>
      </x:c>
      <x:c r="H8" s="17" t="n">
        <x:f>G8*F8</x:f>
        <x:v>16999.968</x:v>
      </x:c>
      <x:c r="I8" s="22" t="str">
        <x:f>HYPERLINK("https://etp-aktiv.ru/catalog/materialy/nizkovoltnaya-apparatura-i-zapasnye-chasti/2000975921-U117/","Открыть позицию")</x:f>
        <x:v>Открыть позицию</x:v>
      </x:c>
    </x:row>
    <x:row r="9" ht="28" customHeight="1">
      <x:c r="A9" s="16" t="str">
        <x:v>Приморская ГРЭС</x:v>
      </x:c>
      <x:c r="B9" s="16" t="str">
        <x:v>2000131132-U117</x:v>
      </x:c>
      <x:c r="C9" s="16" t="str">
        <x:v>АВТОМАТ ВА 47-29 32А 3P D</x:v>
      </x:c>
      <x:c r="D9" s="16" t="str">
        <x:v>Низковольтная аппаратура и запасные части</x:v>
      </x:c>
      <x:c r="E9" s="16" t="str">
        <x:v>ШТ</x:v>
      </x:c>
      <x:c r="F9" s="21" t="n">
        <x:v>2</x:v>
      </x:c>
      <x:c r="G9" s="17" t="n">
        <x:v>267.18</x:v>
      </x:c>
      <x:c r="H9" s="17" t="n">
        <x:f>G9*F9</x:f>
        <x:v>534.36</x:v>
      </x:c>
      <x:c r="I9" s="22" t="str">
        <x:f>HYPERLINK("https://etp-aktiv.ru/catalog/materialy/nizkovoltnaya-apparatura-i-zapasnye-chasti/2000131132-U117/","Открыть позицию")</x:f>
        <x:v>Открыть позицию</x:v>
      </x:c>
    </x:row>
    <x:row r="10" ht="28" customHeight="1">
      <x:c r="A10" s="16" t="str">
        <x:v>Приморская ГРЭС</x:v>
      </x:c>
      <x:c r="B10" s="16" t="str">
        <x:v>2000190401-U117</x:v>
      </x:c>
      <x:c r="C10" s="16" t="str">
        <x:v>АВТОМАТ ВА 47-29 6А 1P</x:v>
      </x:c>
      <x:c r="D10" s="16" t="str">
        <x:v>Низковольтная аппаратура и запасные части</x:v>
      </x:c>
      <x:c r="E10" s="16" t="str">
        <x:v>ШТ</x:v>
      </x:c>
      <x:c r="F10" s="21" t="n">
        <x:v>6</x:v>
      </x:c>
      <x:c r="G10" s="17" t="n">
        <x:v>46.665</x:v>
      </x:c>
      <x:c r="H10" s="17" t="n">
        <x:f>G10*F10</x:f>
        <x:v>279.99</x:v>
      </x:c>
      <x:c r="I10" s="22" t="str">
        <x:f>HYPERLINK("https://etp-aktiv.ru/catalog/materialy/nizkovoltnaya-apparatura-i-zapasnye-chasti/2000190401-U117/","Открыть позицию")</x:f>
        <x:v>Открыть позицию</x:v>
      </x:c>
    </x:row>
    <x:row r="11" ht="28" customHeight="1">
      <x:c r="A11" s="16" t="str">
        <x:v>Приморская ГРЭС</x:v>
      </x:c>
      <x:c r="B11" s="16" t="str">
        <x:v>2000946060-U117</x:v>
      </x:c>
      <x:c r="C11" s="16" t="str">
        <x:v>АВТОМАТ ВА 47-63 230В/8А 1P С</x:v>
      </x:c>
      <x:c r="D11" s="16" t="str">
        <x:v>Низковольтная аппаратура и запасные части</x:v>
      </x:c>
      <x:c r="E11" s="16" t="str">
        <x:v>ШТ</x:v>
      </x:c>
      <x:c r="F11" s="21" t="n">
        <x:v>14</x:v>
      </x:c>
      <x:c r="G11" s="17" t="n">
        <x:v>131.5892</x:v>
      </x:c>
      <x:c r="H11" s="17" t="n">
        <x:f>G11*F11</x:f>
        <x:v>1842.2488</x:v>
      </x:c>
      <x:c r="I11" s="22" t="str">
        <x:f>HYPERLINK("https://etp-aktiv.ru/catalog/materialy/nizkovoltnaya-apparatura-i-zapasnye-chasti/2000946060-U117/","Открыть позицию")</x:f>
        <x:v>Открыть позицию</x:v>
      </x:c>
    </x:row>
    <x:row r="12" ht="28" customHeight="1">
      <x:c r="A12" s="16" t="str">
        <x:v>Приморская ГРЭС</x:v>
      </x:c>
      <x:c r="B12" s="16" t="str">
        <x:v>2000019021-U117</x:v>
      </x:c>
      <x:c r="C12" s="16" t="str">
        <x:v>АВТОМАТ ВА 57-35 100А</x:v>
      </x:c>
      <x:c r="D12" s="16" t="str">
        <x:v>Низковольтная аппаратура и запасные части</x:v>
      </x:c>
      <x:c r="E12" s="16" t="str">
        <x:v>ШТ</x:v>
      </x:c>
      <x:c r="F12" s="21" t="n">
        <x:v>0</x:v>
      </x:c>
      <x:c r="G12" s="17" t="n">
        <x:v>2633.5042000000003</x:v>
      </x:c>
      <x:c r="H12" s="17" t="n">
        <x:f>G12*F12</x:f>
        <x:v>0</x:v>
      </x:c>
      <x:c r="I12" s="22" t="str">
        <x:f>HYPERLINK("https://etp-aktiv.ru/catalog/materialy/nizkovoltnaya-apparatura-i-zapasnye-chasti/2000019021-U117/","Открыть позицию")</x:f>
        <x:v>Открыть позицию</x:v>
      </x:c>
    </x:row>
    <x:row r="13" ht="28" customHeight="1">
      <x:c r="A13" s="16" t="str">
        <x:v>Приморская ГРЭС</x:v>
      </x:c>
      <x:c r="B13" s="16" t="str">
        <x:v>2000019127-U117</x:v>
      </x:c>
      <x:c r="C13" s="16" t="str">
        <x:v>АВТОМАТ ВА 57-35 125А</x:v>
      </x:c>
      <x:c r="D13" s="16" t="str">
        <x:v>Низковольтная аппаратура и запасные части</x:v>
      </x:c>
      <x:c r="E13" s="16" t="str">
        <x:v>ШТ</x:v>
      </x:c>
      <x:c r="F13" s="21" t="n">
        <x:v>70</x:v>
      </x:c>
      <x:c r="G13" s="17" t="n">
        <x:v>1635.654</x:v>
      </x:c>
      <x:c r="H13" s="17" t="n">
        <x:f>G13*F13</x:f>
        <x:v>114495.78</x:v>
      </x:c>
      <x:c r="I13" s="22" t="str">
        <x:f>HYPERLINK("https://etp-aktiv.ru/catalog/materialy/nizkovoltnaya-apparatura-i-zapasnye-chasti/2000019127-U117/","Открыть позицию")</x:f>
        <x:v>Открыть позицию</x:v>
      </x:c>
    </x:row>
    <x:row r="14" ht="28" customHeight="1">
      <x:c r="A14" s="16" t="str">
        <x:v>Приморская ГРЭС</x:v>
      </x:c>
      <x:c r="B14" s="16" t="str">
        <x:v>2000019035-U117</x:v>
      </x:c>
      <x:c r="C14" s="16" t="str">
        <x:v>АВТОМАТ ВА 57-35 250А</x:v>
      </x:c>
      <x:c r="D14" s="16" t="str">
        <x:v>Низковольтная аппаратура и запасные части</x:v>
      </x:c>
      <x:c r="E14" s="16" t="str">
        <x:v>ШТ</x:v>
      </x:c>
      <x:c r="F14" s="21" t="n">
        <x:v>2</x:v>
      </x:c>
      <x:c r="G14" s="17" t="n">
        <x:v>2899.9033999999997</x:v>
      </x:c>
      <x:c r="H14" s="17" t="n">
        <x:f>G14*F14</x:f>
        <x:v>5799.806799999999</x:v>
      </x:c>
      <x:c r="I14" s="22" t="str">
        <x:f>HYPERLINK("https://etp-aktiv.ru/catalog/materialy/nizkovoltnaya-apparatura-i-zapasnye-chasti/2000019035-U117/","Открыть позицию")</x:f>
        <x:v>Открыть позицию</x:v>
      </x:c>
    </x:row>
    <x:row r="15" ht="28" customHeight="1">
      <x:c r="A15" s="16" t="str">
        <x:v>Приморская ГРЭС</x:v>
      </x:c>
      <x:c r="B15" s="16" t="str">
        <x:v>2000019034-U117</x:v>
      </x:c>
      <x:c r="C15" s="16" t="str">
        <x:v>АВТОМАТ ВА-5735 200А</x:v>
      </x:c>
      <x:c r="D15" s="16" t="str">
        <x:v>Низковольтная аппаратура и запасные части</x:v>
      </x:c>
      <x:c r="E15" s="16" t="str">
        <x:v>ШТ</x:v>
      </x:c>
      <x:c r="F15" s="21" t="n">
        <x:v>2</x:v>
      </x:c>
      <x:c r="G15" s="17" t="n">
        <x:v>2897.5</x:v>
      </x:c>
      <x:c r="H15" s="17" t="n">
        <x:f>G15*F15</x:f>
        <x:v>5795</x:v>
      </x:c>
      <x:c r="I15" s="22" t="str">
        <x:f>HYPERLINK("https://etp-aktiv.ru/catalog/materialy/nizkovoltnaya-apparatura-i-zapasnye-chasti/2000019034-U117/","Открыть позицию")</x:f>
        <x:v>Открыть позицию</x:v>
      </x:c>
    </x:row>
    <x:row r="16" ht="28" customHeight="1">
      <x:c r="A16" s="16" t="str">
        <x:v>Приморская ГРЭС</x:v>
      </x:c>
      <x:c r="B16" s="16" t="str">
        <x:v>2000692759-U117</x:v>
      </x:c>
      <x:c r="C16" s="16" t="str">
        <x:v>АВТОМАТ ВА47-29 MVA20-1-040-B 40A 1P B</x:v>
      </x:c>
      <x:c r="D16" s="16" t="str">
        <x:v>Низковольтная аппаратура и запасные части</x:v>
      </x:c>
      <x:c r="E16" s="16" t="str">
        <x:v>ШТ</x:v>
      </x:c>
      <x:c r="F16" s="21" t="n">
        <x:v>4</x:v>
      </x:c>
      <x:c r="G16" s="17" t="n">
        <x:v>161.833</x:v>
      </x:c>
      <x:c r="H16" s="17" t="n">
        <x:f>G16*F16</x:f>
        <x:v>647.332</x:v>
      </x:c>
      <x:c r="I16" s="22" t="str">
        <x:f>HYPERLINK("https://etp-aktiv.ru/catalog/materialy/nizkovoltnaya-apparatura-i-zapasnye-chasti/2000692759-U117/","Открыть позицию")</x:f>
        <x:v>Открыть позицию</x:v>
      </x:c>
    </x:row>
    <x:row r="17" ht="28" customHeight="1">
      <x:c r="A17" s="16" t="str">
        <x:v>Приморская ГРЭС</x:v>
      </x:c>
      <x:c r="B17" s="16" t="str">
        <x:v>2000386487-U117</x:v>
      </x:c>
      <x:c r="C17" s="16" t="str">
        <x:v>АККУМУЛЯТОР 270AAHC-UC2 АА 1,2B 2700MAH</x:v>
      </x:c>
      <x:c r="D17" s="16" t="str">
        <x:v>Элементы питания</x:v>
      </x:c>
      <x:c r="E17" s="16" t="str">
        <x:v>ШТ</x:v>
      </x:c>
      <x:c r="F17" s="21" t="n">
        <x:v>3</x:v>
      </x:c>
      <x:c r="G17" s="17" t="n">
        <x:v>275.11</x:v>
      </x:c>
      <x:c r="H17" s="17" t="n">
        <x:f>G17*F17</x:f>
        <x:v>825.33</x:v>
      </x:c>
      <x:c r="I17" s="22" t="str">
        <x:f>HYPERLINK("https://etp-aktiv.ru/catalog/materialy/akkumulyatory/2000386487-U117/","Открыть позицию")</x:f>
        <x:v>Открыть позицию</x:v>
      </x:c>
    </x:row>
    <x:row r="18" ht="28" customHeight="1">
      <x:c r="A18" s="16" t="str">
        <x:v>Приморская ГРЭС</x:v>
      </x:c>
      <x:c r="B18" s="16" t="str">
        <x:v>2000944544-U117</x:v>
      </x:c>
      <x:c r="C18" s="16" t="str">
        <x:v>АККУМУЛЯТОР DELTA DT 12008 12В 0,8А/Ч</x:v>
      </x:c>
      <x:c r="D18" s="16" t="str">
        <x:v>Элементы питания</x:v>
      </x:c>
      <x:c r="E18" s="16" t="str">
        <x:v>ШТ</x:v>
      </x:c>
      <x:c r="F18" s="21" t="n">
        <x:v>1</x:v>
      </x:c>
      <x:c r="G18" s="17" t="n">
        <x:v>403.1368</x:v>
      </x:c>
      <x:c r="H18" s="17" t="n">
        <x:f>G18*F18</x:f>
        <x:v>403.1368</x:v>
      </x:c>
      <x:c r="I18" s="22" t="str">
        <x:f>HYPERLINK("https://etp-aktiv.ru/catalog/materialy/akkumulyatory/2000944544-U117/","Открыть позицию")</x:f>
        <x:v>Открыть позицию</x:v>
      </x:c>
    </x:row>
    <x:row r="19" ht="28" customHeight="1">
      <x:c r="A19" s="16" t="str">
        <x:v>Приморская ГРЭС</x:v>
      </x:c>
      <x:c r="B19" s="16" t="str">
        <x:v>2000609233-U117</x:v>
      </x:c>
      <x:c r="C19" s="16" t="str">
        <x:v>АККУМУЛЯТОР MAKITA 193986-6 14,4В 1,3А/Ч</x:v>
      </x:c>
      <x:c r="D19" s="16" t="str">
        <x:v>Элементы питания</x:v>
      </x:c>
      <x:c r="E19" s="16" t="str">
        <x:v>ШТ</x:v>
      </x:c>
      <x:c r="F19" s="21" t="n">
        <x:v>8</x:v>
      </x:c>
      <x:c r="G19" s="17" t="n">
        <x:v>3431.25</x:v>
      </x:c>
      <x:c r="H19" s="17" t="n">
        <x:f>G19*F19</x:f>
        <x:v>27450</x:v>
      </x:c>
      <x:c r="I19" s="22" t="str">
        <x:f>HYPERLINK("https://etp-aktiv.ru/catalog/materialy/akkumulyatory/2000609233-U117/","Открыть позицию")</x:f>
        <x:v>Открыть позицию</x:v>
      </x:c>
    </x:row>
    <x:row r="20" ht="28" customHeight="1">
      <x:c r="A20" s="16" t="str">
        <x:v>Приморская ГРЭС</x:v>
      </x:c>
      <x:c r="B20" s="16" t="str">
        <x:v>2000571603-U117</x:v>
      </x:c>
      <x:c r="C20" s="16" t="str">
        <x:v>АККУМУЛЯТОР MAKITA BL1430 14,4В 3А/Ч</x:v>
      </x:c>
      <x:c r="D20" s="16" t="str">
        <x:v>Элементы питания</x:v>
      </x:c>
      <x:c r="E20" s="16" t="str">
        <x:v>ШТ</x:v>
      </x:c>
      <x:c r="F20" s="21" t="n">
        <x:v>4</x:v>
      </x:c>
      <x:c r="G20" s="17" t="n">
        <x:v>6176.25</x:v>
      </x:c>
      <x:c r="H20" s="17" t="n">
        <x:f>G20*F20</x:f>
        <x:v>24705</x:v>
      </x:c>
      <x:c r="I20" s="22" t="str">
        <x:f>HYPERLINK("https://etp-aktiv.ru/catalog/materialy/akkumulyatory/2000571603-U117/","Открыть позицию")</x:f>
        <x:v>Открыть позицию</x:v>
      </x:c>
    </x:row>
    <x:row r="21" ht="28" customHeight="1">
      <x:c r="A21" s="16" t="str">
        <x:v>Приморская ГРЭС</x:v>
      </x:c>
      <x:c r="B21" s="16" t="str">
        <x:v>2000714000-U117</x:v>
      </x:c>
      <x:c r="C21" s="16" t="str">
        <x:v>АККУМУЛЯТОР ЗАПАСНОЙ 0515 5107</x:v>
      </x:c>
      <x:c r="D21" s="16" t="str">
        <x:v>Запасные части и принадлежности для приборов КИПиА</x:v>
      </x:c>
      <x:c r="E21" s="16" t="str">
        <x:v>ШТ</x:v>
      </x:c>
      <x:c r="F21" s="21" t="n">
        <x:v>1</x:v>
      </x:c>
      <x:c r="G21" s="17" t="n">
        <x:v>4157.0768</x:v>
      </x:c>
      <x:c r="H21" s="17" t="n">
        <x:f>G21*F21</x:f>
        <x:v>4157.0768</x:v>
      </x:c>
      <x:c r="I21" s="22" t="str">
        <x:f>HYPERLINK("https://etp-aktiv.ru/catalog/materialy/zapasnye-chasti-i-prinadlezhnosti-dlya-priborov-kipia/2000714000-U117/","Открыть позицию")</x:f>
        <x:v>Открыть позицию</x:v>
      </x:c>
    </x:row>
    <x:row r="22" ht="28" customHeight="1">
      <x:c r="A22" s="16" t="str">
        <x:v>Приморская ГРЭС</x:v>
      </x:c>
      <x:c r="B22" s="16" t="str">
        <x:v>2000731417-U117</x:v>
      </x:c>
      <x:c r="C22" s="16" t="str">
        <x:v>АККУМУЛЯТОР СAMELION NIMH 6F22 250MAH 9V</x:v>
      </x:c>
      <x:c r="D22" s="16" t="str">
        <x:v>Элементы питания</x:v>
      </x:c>
      <x:c r="E22" s="16" t="str">
        <x:v>ШТ</x:v>
      </x:c>
      <x:c r="F22" s="21" t="n">
        <x:v>10</x:v>
      </x:c>
      <x:c r="G22" s="17" t="n">
        <x:v>394.9994</x:v>
      </x:c>
      <x:c r="H22" s="17" t="n">
        <x:f>G22*F22</x:f>
        <x:v>3949.9939999999997</x:v>
      </x:c>
      <x:c r="I22" s="22" t="str">
        <x:f>HYPERLINK("https://etp-aktiv.ru/catalog/materialy/akkumulyatory/2000731417-U117/","Открыть позицию")</x:f>
        <x:v>Открыть позицию</x:v>
      </x:c>
    </x:row>
    <x:row r="23" ht="28" customHeight="1">
      <x:c r="A23" s="16" t="str">
        <x:v>Приморская ГРЭС</x:v>
      </x:c>
      <x:c r="B23" s="16" t="str">
        <x:v>2000742207-U117</x:v>
      </x:c>
      <x:c r="C23" s="16" t="str">
        <x:v>АРЕОМЕТР АН 920-950 ТУ4321-018-07609129</x:v>
      </x:c>
      <x:c r="D23" s="16" t="str">
        <x:v>Запасные части и принадлежности для приборов КИПиА</x:v>
      </x:c>
      <x:c r="E23" s="16" t="str">
        <x:v>ШТ</x:v>
      </x:c>
      <x:c r="F23" s="21" t="n">
        <x:v>2</x:v>
      </x:c>
      <x:c r="G23" s="17" t="n">
        <x:v>1439.5268</x:v>
      </x:c>
      <x:c r="H23" s="17" t="n">
        <x:f>G23*F23</x:f>
        <x:v>2879.0536</x:v>
      </x:c>
      <x:c r="I23" s="22" t="str">
        <x:f>HYPERLINK("https://etp-aktiv.ru/catalog/materialy/zapasnye-chasti-i-prinadlezhnosti-dlya-priborov-kipia/2000742207-U117/","Открыть позицию")</x:f>
        <x:v>Открыть позицию</x:v>
      </x:c>
    </x:row>
    <x:row r="24" ht="28" customHeight="1">
      <x:c r="A24" s="16" t="str">
        <x:v>Приморская ГРЭС</x:v>
      </x:c>
      <x:c r="B24" s="16" t="str">
        <x:v>2000742263-U117</x:v>
      </x:c>
      <x:c r="C24" s="16" t="str">
        <x:v>АРЕОМЕТР АН 950-980 ТУ4321-018-07609129</x:v>
      </x:c>
      <x:c r="D24" s="16" t="str">
        <x:v>Запасные части и принадлежности для приборов КИПиА</x:v>
      </x:c>
      <x:c r="E24" s="16" t="str">
        <x:v>ШТ</x:v>
      </x:c>
      <x:c r="F24" s="21" t="n">
        <x:v>2</x:v>
      </x:c>
      <x:c r="G24" s="17" t="n">
        <x:v>1439.5268</x:v>
      </x:c>
      <x:c r="H24" s="17" t="n">
        <x:f>G24*F24</x:f>
        <x:v>2879.0536</x:v>
      </x:c>
      <x:c r="I24" s="22" t="str">
        <x:f>HYPERLINK("https://etp-aktiv.ru/catalog/materialy/zapasnye-chasti-i-prinadlezhnosti-dlya-priborov-kipia/2000742263-U117/","Открыть позицию")</x:f>
        <x:v>Открыть позицию</x:v>
      </x:c>
    </x:row>
    <x:row r="25" ht="28" customHeight="1">
      <x:c r="A25" s="16" t="str">
        <x:v>Приморская ГРЭС</x:v>
      </x:c>
      <x:c r="B25" s="16" t="str">
        <x:v>2000019499-U117</x:v>
      </x:c>
      <x:c r="C25" s="16" t="str">
        <x:v>АРЕОМЕТР АЭ-1</x:v>
      </x:c>
      <x:c r="D25" s="16" t="str">
        <x:v>Запасные части и принадлежности для приборов КИПиА</x:v>
      </x:c>
      <x:c r="E25" s="16" t="str">
        <x:v>ШТ</x:v>
      </x:c>
      <x:c r="F25" s="21" t="n">
        <x:v>2</x:v>
      </x:c>
      <x:c r="G25" s="17" t="n">
        <x:v>1795.23</x:v>
      </x:c>
      <x:c r="H25" s="17" t="n">
        <x:f>G25*F25</x:f>
        <x:v>3590.46</x:v>
      </x:c>
      <x:c r="I25" s="22" t="str">
        <x:f>HYPERLINK("https://etp-aktiv.ru/catalog/materialy/zapasnye-chasti-i-prinadlezhnosti-dlya-priborov-kipia/2000019499-U117/","Открыть позицию")</x:f>
        <x:v>Открыть позицию</x:v>
      </x:c>
    </x:row>
    <x:row r="26" ht="28" customHeight="1">
      <x:c r="A26" s="16" t="str">
        <x:v>Приморская ГРЭС</x:v>
      </x:c>
      <x:c r="B26" s="16" t="str">
        <x:v>2000243233-U117</x:v>
      </x:c>
      <x:c r="C26" s="16" t="str">
        <x:v>БЛОК ЗАЖИМОВ БЗН24-4П25-15</x:v>
      </x:c>
      <x:c r="D26" s="16" t="str">
        <x:v>Низковольтная аппаратура и запасные части</x:v>
      </x:c>
      <x:c r="E26" s="16" t="str">
        <x:v>ШТ</x:v>
      </x:c>
      <x:c r="F26" s="21" t="n">
        <x:v>10</x:v>
      </x:c>
      <x:c r="G26" s="17" t="n">
        <x:v>616.3317999999999</x:v>
      </x:c>
      <x:c r="H26" s="17" t="n">
        <x:f>G26*F26</x:f>
        <x:v>6163.317999999999</x:v>
      </x:c>
      <x:c r="I26" s="22" t="str">
        <x:f>HYPERLINK("https://etp-aktiv.ru/catalog/materialy/nizkovoltnaya-apparatura-i-zapasnye-chasti/2000243233-U117/","Открыть позицию")</x:f>
        <x:v>Открыть позицию</x:v>
      </x:c>
    </x:row>
    <x:row r="27" ht="28" customHeight="1">
      <x:c r="A27" s="16" t="str">
        <x:v>Приморская ГРЭС</x:v>
      </x:c>
      <x:c r="B27" s="16" t="str">
        <x:v>2000724597-U117</x:v>
      </x:c>
      <x:c r="C27" s="16" t="str">
        <x:v>БЛОК КОНТРОЛЯ РЕГУЛИРОВАНИЯ РАСХОДА Б12А</x:v>
      </x:c>
      <x:c r="D27" s="16" t="str">
        <x:v>Запасные части и принадлежности для приборов КИПиА</x:v>
      </x:c>
      <x:c r="E27" s="16" t="str">
        <x:v>ШТ</x:v>
      </x:c>
      <x:c r="F27" s="21" t="n">
        <x:v>1</x:v>
      </x:c>
      <x:c r="G27" s="17" t="n">
        <x:v>161090.32499999998</x:v>
      </x:c>
      <x:c r="H27" s="17" t="n">
        <x:f>G27*F27</x:f>
        <x:v>161090.32499999998</x:v>
      </x:c>
      <x:c r="I27" s="22" t="str">
        <x:f>HYPERLINK("https://etp-aktiv.ru/catalog/materialy/zapasnye-chasti-i-prinadlezhnosti-dlya-priborov-kipia/2000724597-U117/","Открыть позицию")</x:f>
        <x:v>Открыть позицию</x:v>
      </x:c>
    </x:row>
    <x:row r="28" ht="28" customHeight="1">
      <x:c r="A28" s="16" t="str">
        <x:v>Приморская ГРЭС</x:v>
      </x:c>
      <x:c r="B28" s="16" t="str">
        <x:v>2000566986-U117</x:v>
      </x:c>
      <x:c r="C28" s="16" t="str">
        <x:v>БЛОК ПИТАНИЯ HG-WP2240 50ВТ 600MA IP67</x:v>
      </x:c>
      <x:c r="D28" s="16" t="str">
        <x:v>Осветительная продукция и изделия электроустановочные</x:v>
      </x:c>
      <x:c r="E28" s="16" t="str">
        <x:v>ШТ</x:v>
      </x:c>
      <x:c r="F28" s="21" t="n">
        <x:v>100</x:v>
      </x:c>
      <x:c r="G28" s="17" t="n">
        <x:v>851.2915999999999</x:v>
      </x:c>
      <x:c r="H28" s="17" t="n">
        <x:f>G28*F28</x:f>
        <x:v>85129.15999999999</x:v>
      </x:c>
      <x:c r="I28" s="22" t="str">
        <x:f>HYPERLINK("https://etp-aktiv.ru/catalog/materialy/ehlektrotekhnicheskie-materialy/2000566986-U117/","Открыть позицию")</x:f>
        <x:v>Открыть позицию</x:v>
      </x:c>
    </x:row>
    <x:row r="29" ht="28" customHeight="1">
      <x:c r="A29" s="16" t="str">
        <x:v>Приморская ГРЭС</x:v>
      </x:c>
      <x:c r="B29" s="16" t="str">
        <x:v>2000230556-U117</x:v>
      </x:c>
      <x:c r="C29" s="16" t="str">
        <x:v>БОБЫШКА СТ20 БП1-М20*1,5-100ММ</x:v>
      </x:c>
      <x:c r="D29" s="16" t="str">
        <x:v>Запасные части и принадлежности для приборов КИПиА</x:v>
      </x:c>
      <x:c r="E29" s="16" t="str">
        <x:v>ШТ</x:v>
      </x:c>
      <x:c r="F29" s="21" t="n">
        <x:v>4</x:v>
      </x:c>
      <x:c r="G29" s="17" t="n">
        <x:v>619.76</x:v>
      </x:c>
      <x:c r="H29" s="17" t="n">
        <x:f>G29*F29</x:f>
        <x:v>2479.04</x:v>
      </x:c>
      <x:c r="I29" s="22" t="str">
        <x:f>HYPERLINK("https://etp-aktiv.ru/catalog/materialy/zapasnye-chasti-i-prinadlezhnosti-dlya-priborov-kipia/2000230556-U117/","Открыть позицию")</x:f>
        <x:v>Открыть позицию</x:v>
      </x:c>
    </x:row>
    <x:row r="30" ht="28" customHeight="1">
      <x:c r="A30" s="16" t="str">
        <x:v>Приморская ГРЭС</x:v>
      </x:c>
      <x:c r="B30" s="16" t="str">
        <x:v>2000459698-U117</x:v>
      </x:c>
      <x:c r="C30" s="16" t="str">
        <x:v>БУМАГА Д/ПРИНТЕРА 6906937</x:v>
      </x:c>
      <x:c r="D30" s="16" t="str">
        <x:v>Запасные части и принадлежности для приборов КИПиА</x:v>
      </x:c>
      <x:c r="E30" s="16" t="str">
        <x:v>ШТ</x:v>
      </x:c>
      <x:c r="F30" s="21" t="n">
        <x:v>60</x:v>
      </x:c>
      <x:c r="G30" s="17" t="n">
        <x:v>18.9466</x:v>
      </x:c>
      <x:c r="H30" s="17" t="n">
        <x:f>G30*F30</x:f>
        <x:v>1136.796</x:v>
      </x:c>
      <x:c r="I30" s="22" t="str">
        <x:f>HYPERLINK("https://etp-aktiv.ru/catalog/materialy/zapasnye-chasti-i-prinadlezhnosti-dlya-priborov-kipia/2000459698-U117/","Открыть позицию")</x:f>
        <x:v>Открыть позицию</x:v>
      </x:c>
    </x:row>
    <x:row r="31" ht="28" customHeight="1">
      <x:c r="A31" s="16" t="str">
        <x:v>Приморская ГРЭС</x:v>
      </x:c>
      <x:c r="B31" s="16" t="str">
        <x:v>2000472890-U117</x:v>
      </x:c>
      <x:c r="C31" s="16" t="str">
        <x:v>ВЕНТИЛЬ Э/ПНЕВМАТИЧЕСКИЙ ВВ-1 75В</x:v>
      </x:c>
      <x:c r="D31" s="16" t="str">
        <x:v>Низковольтная аппаратура и запасные части спец-е и под заказ</x:v>
      </x:c>
      <x:c r="E31" s="16" t="str">
        <x:v>ШТ</x:v>
      </x:c>
      <x:c r="F31" s="21" t="n">
        <x:v>24</x:v>
      </x:c>
      <x:c r="G31" s="17" t="n">
        <x:v>1681.3308000000002</x:v>
      </x:c>
      <x:c r="H31" s="17" t="n">
        <x:f>G31*F31</x:f>
        <x:v>40351.93920000001</x:v>
      </x:c>
      <x:c r="I31" s="22" t="str">
        <x:f>HYPERLINK("https://etp-aktiv.ru/catalog/materialy/nizkovoltnaya-apparatura-i-zapasnye-chasti/2000472890-U117/","Открыть позицию")</x:f>
        <x:v>Открыть позицию</x:v>
      </x:c>
    </x:row>
    <x:row r="32" ht="28" customHeight="1">
      <x:c r="A32" s="16" t="str">
        <x:v>Приморская ГРЭС</x:v>
      </x:c>
      <x:c r="B32" s="16" t="str">
        <x:v>2000334720-U117</x:v>
      </x:c>
      <x:c r="C32" s="16" t="str">
        <x:v>ВИБРОИЗОЛЯТОР 2501-11-36СП</x:v>
      </x:c>
      <x:c r="D32" s="16" t="str">
        <x:v>Запасные части к карьерной технике Четра</x:v>
      </x:c>
      <x:c r="E32" s="16" t="str">
        <x:v>ШТ</x:v>
      </x:c>
      <x:c r="F32" s="21" t="n">
        <x:v>4</x:v>
      </x:c>
      <x:c r="G32" s="17" t="n">
        <x:v>3355</x:v>
      </x:c>
      <x:c r="H32" s="17" t="n">
        <x:f>G32*F32</x:f>
        <x:v>13420</x:v>
      </x:c>
      <x:c r="I32" s="22" t="str">
        <x:f>HYPERLINK("https://etp-aktiv.ru/catalog/materialy/zapasnye-chasti-k-dorozhno-stroitelnoj-tekhnike/2000334720-U117/","Открыть позицию")</x:f>
        <x:v>Открыть позицию</x:v>
      </x:c>
    </x:row>
    <x:row r="33" ht="28" customHeight="1">
      <x:c r="A33" s="16" t="str">
        <x:v>Приморская ГРЭС</x:v>
      </x:c>
      <x:c r="B33" s="16" t="str">
        <x:v>2000447868-U117</x:v>
      </x:c>
      <x:c r="C33" s="16" t="str">
        <x:v>ВИЛКА 2Р+РЕ 220В 16А IP16</x:v>
      </x:c>
      <x:c r="D33" s="16" t="str">
        <x:v>Осветительная продукция и изделия электроустановочные</x:v>
      </x:c>
      <x:c r="E33" s="16" t="str">
        <x:v>ШТ</x:v>
      </x:c>
      <x:c r="F33" s="21" t="n">
        <x:v>100</x:v>
      </x:c>
      <x:c r="G33" s="17" t="n">
        <x:v>195.017</x:v>
      </x:c>
      <x:c r="H33" s="17" t="n">
        <x:f>G33*F33</x:f>
        <x:v>19501.7</x:v>
      </x:c>
      <x:c r="I33" s="22" t="str">
        <x:f>HYPERLINK("https://etp-aktiv.ru/catalog/materialy/ehlektrotekhnicheskie-materialy/2000447868-U117/","Открыть позицию")</x:f>
        <x:v>Открыть позицию</x:v>
      </x:c>
    </x:row>
    <x:row r="34" ht="28" customHeight="1">
      <x:c r="A34" s="16" t="str">
        <x:v>Приморская ГРЭС</x:v>
      </x:c>
      <x:c r="B34" s="16" t="str">
        <x:v>2000441085-U117</x:v>
      </x:c>
      <x:c r="C34" s="16" t="str">
        <x:v>ВИЛКА ШР20П4ЭГ8 850В 35А IP20</x:v>
      </x:c>
      <x:c r="D34" s="16" t="str">
        <x:v>Осветительная продукция и изделия электроустановочные</x:v>
      </x:c>
      <x:c r="E34" s="16" t="str">
        <x:v>ШТ</x:v>
      </x:c>
      <x:c r="F34" s="21" t="n">
        <x:v>10</x:v>
      </x:c>
      <x:c r="G34" s="17" t="n">
        <x:v>2726.7</x:v>
      </x:c>
      <x:c r="H34" s="17" t="n">
        <x:f>G34*F34</x:f>
        <x:v>27267</x:v>
      </x:c>
      <x:c r="I34" s="22" t="str">
        <x:f>HYPERLINK("https://etp-aktiv.ru/catalog/materialy/ehlektrotekhnicheskie-materialy/2000441085-U117/","Открыть позицию")</x:f>
        <x:v>Открыть позицию</x:v>
      </x:c>
    </x:row>
    <x:row r="35" ht="28" customHeight="1">
      <x:c r="A35" s="16" t="str">
        <x:v>Приморская ГРЭС</x:v>
      </x:c>
      <x:c r="B35" s="16" t="str">
        <x:v>2000731743-U117</x:v>
      </x:c>
      <x:c r="C35" s="16" t="str">
        <x:v>ВОЛЬТМЕТР ЦВ2101-009-В-20 500МВ-2В</x:v>
      </x:c>
      <x:c r="D35" s="16" t="str">
        <x:v>Запасные части и принадлежности для приборов КИПиА</x:v>
      </x:c>
      <x:c r="E35" s="16" t="str">
        <x:v>ШТ</x:v>
      </x:c>
      <x:c r="F35" s="21" t="n">
        <x:v>2</x:v>
      </x:c>
      <x:c r="G35" s="17" t="n">
        <x:v>15417.75</x:v>
      </x:c>
      <x:c r="H35" s="17" t="n">
        <x:f>G35*F35</x:f>
        <x:v>30835.5</x:v>
      </x:c>
      <x:c r="I35" s="22" t="str">
        <x:f>HYPERLINK("https://etp-aktiv.ru/catalog/materialy/zapasnye-chasti-i-prinadlezhnosti-dlya-priborov-kipia/2000731743-U117/","Открыть позицию")</x:f>
        <x:v>Открыть позицию</x:v>
      </x:c>
    </x:row>
    <x:row r="36" ht="28" customHeight="1">
      <x:c r="A36" s="16" t="str">
        <x:v>Приморская ГРЭС</x:v>
      </x:c>
      <x:c r="B36" s="16" t="str">
        <x:v>2000500974-U117</x:v>
      </x:c>
      <x:c r="C36" s="16" t="str">
        <x:v>ВЫКЛЮЧАТЕЛЬ 1-КЛ ОЛИМП О0025 220В 10А</x:v>
      </x:c>
      <x:c r="D36" s="16" t="str">
        <x:v>Осветительная продукция и изделия электроустановочные</x:v>
      </x:c>
      <x:c r="E36" s="16" t="str">
        <x:v>ШТ</x:v>
      </x:c>
      <x:c r="F36" s="21" t="n">
        <x:v>16</x:v>
      </x:c>
      <x:c r="G36" s="17" t="n">
        <x:v>43.236799999999995</x:v>
      </x:c>
      <x:c r="H36" s="17" t="n">
        <x:f>G36*F36</x:f>
        <x:v>691.7887999999999</x:v>
      </x:c>
      <x:c r="I36" s="22" t="str">
        <x:f>HYPERLINK("https://etp-aktiv.ru/catalog/materialy/nizkovoltnaya-apparatura-i-zapasnye-chasti/2000500974-U117/","Открыть позицию")</x:f>
        <x:v>Открыть позицию</x:v>
      </x:c>
    </x:row>
    <x:row r="37" ht="28" customHeight="1">
      <x:c r="A37" s="16" t="str">
        <x:v>Приморская ГРЭС</x:v>
      </x:c>
      <x:c r="B37" s="16" t="str">
        <x:v>2000901995-U117</x:v>
      </x:c>
      <x:c r="C37" s="16" t="str">
        <x:v>ВЫКЛЮЧАТЕЛЬ LEXMAN 82277541 250В 10A</x:v>
      </x:c>
      <x:c r="D37" s="16" t="str">
        <x:v>Осветительная продукция и изделия электроустановочные</x:v>
      </x:c>
      <x:c r="E37" s="16" t="str">
        <x:v>ШТ</x:v>
      </x:c>
      <x:c r="F37" s="21" t="n">
        <x:v>33</x:v>
      </x:c>
      <x:c r="G37" s="17" t="n">
        <x:v>72.0532</x:v>
      </x:c>
      <x:c r="H37" s="17" t="n">
        <x:f>G37*F37</x:f>
        <x:v>2377.7556</x:v>
      </x:c>
      <x:c r="I37" s="22" t="str">
        <x:f>HYPERLINK("https://etp-aktiv.ru/catalog/materialy/ehlektrotekhnicheskie-materialy/2000901995-U117/","Открыть позицию")</x:f>
        <x:v>Открыть позицию</x:v>
      </x:c>
    </x:row>
    <x:row r="38" ht="28" customHeight="1">
      <x:c r="A38" s="16" t="str">
        <x:v>Приморская ГРЭС</x:v>
      </x:c>
      <x:c r="B38" s="16" t="str">
        <x:v>2000451103-U117</x:v>
      </x:c>
      <x:c r="C38" s="16" t="str">
        <x:v>ВЫКЛЮЧАТЕЛЬ LEZARD 701-0202-101 250В 10А</x:v>
      </x:c>
      <x:c r="D38" s="16" t="str">
        <x:v>Осветительная продукция и изделия электроустановочные</x:v>
      </x:c>
      <x:c r="E38" s="16" t="str">
        <x:v>ШТ</x:v>
      </x:c>
      <x:c r="F38" s="21" t="n">
        <x:v>11</x:v>
      </x:c>
      <x:c r="G38" s="17" t="n">
        <x:v>70.4062</x:v>
      </x:c>
      <x:c r="H38" s="17" t="n">
        <x:f>G38*F38</x:f>
        <x:v>774.4682</x:v>
      </x:c>
      <x:c r="I38" s="22" t="str">
        <x:f>HYPERLINK("https://etp-aktiv.ru/catalog/materialy/ehlektrotekhnicheskie-materialy/2000451103-U117/","Открыть позицию")</x:f>
        <x:v>Открыть позицию</x:v>
      </x:c>
    </x:row>
    <x:row r="39" ht="28" customHeight="1">
      <x:c r="A39" s="16" t="str">
        <x:v>Приморская ГРЭС</x:v>
      </x:c>
      <x:c r="B39" s="16" t="str">
        <x:v>2000535419-U117</x:v>
      </x:c>
      <x:c r="C39" s="16" t="str">
        <x:v>ВЫКЛЮЧАТЕЛЬ ВА47-29 25А 2P D</x:v>
      </x:c>
      <x:c r="D39" s="16" t="str">
        <x:v>Низковольтная аппаратура и запасные части</x:v>
      </x:c>
      <x:c r="E39" s="16" t="str">
        <x:v>ШТ</x:v>
      </x:c>
      <x:c r="F39" s="21" t="n">
        <x:v>9</x:v>
      </x:c>
      <x:c r="G39" s="17" t="n">
        <x:v>301.157</x:v>
      </x:c>
      <x:c r="H39" s="17" t="n">
        <x:f>G39*F39</x:f>
        <x:v>2710.413</x:v>
      </x:c>
      <x:c r="I39" s="22" t="str">
        <x:f>HYPERLINK("https://etp-aktiv.ru/catalog/materialy/nizkovoltnaya-apparatura-i-zapasnye-chasti/2000535419-U117/","Открыть позицию")</x:f>
        <x:v>Открыть позицию</x:v>
      </x:c>
    </x:row>
    <x:row r="40" ht="28" customHeight="1">
      <x:c r="A40" s="16" t="str">
        <x:v>Приморская ГРЭС</x:v>
      </x:c>
      <x:c r="B40" s="16" t="str">
        <x:v>2000535424-U117</x:v>
      </x:c>
      <x:c r="C40" s="16" t="str">
        <x:v>ВЫКЛЮЧАТЕЛЬ ВА47-29 40А 2P B</x:v>
      </x:c>
      <x:c r="D40" s="16" t="str">
        <x:v>Низковольтная аппаратура и запасные части</x:v>
      </x:c>
      <x:c r="E40" s="16" t="str">
        <x:v>ШТ</x:v>
      </x:c>
      <x:c r="F40" s="21" t="n">
        <x:v>1</x:v>
      </x:c>
      <x:c r="G40" s="17" t="n">
        <x:v>389.9974</x:v>
      </x:c>
      <x:c r="H40" s="17" t="n">
        <x:f>G40*F40</x:f>
        <x:v>389.9974</x:v>
      </x:c>
      <x:c r="I40" s="22" t="str">
        <x:f>HYPERLINK("https://etp-aktiv.ru/catalog/materialy/nizkovoltnaya-apparatura-i-zapasnye-chasti/2000535424-U117/","Открыть позицию")</x:f>
        <x:v>Открыть позицию</x:v>
      </x:c>
    </x:row>
    <x:row r="41" ht="28" customHeight="1">
      <x:c r="A41" s="16" t="str">
        <x:v>Приморская ГРЭС</x:v>
      </x:c>
      <x:c r="B41" s="16" t="str">
        <x:v>2000617658-U117</x:v>
      </x:c>
      <x:c r="C41" s="16" t="str">
        <x:v>ВЫКЛЮЧАТЕЛЬ ВА47-29 УХЛ3 SQ0206-0077 32А</x:v>
      </x:c>
      <x:c r="D41" s="16" t="str">
        <x:v>Низковольтная аппаратура и запасные части</x:v>
      </x:c>
      <x:c r="E41" s="16" t="str">
        <x:v>ШТ</x:v>
      </x:c>
      <x:c r="F41" s="21" t="n">
        <x:v>3</x:v>
      </x:c>
      <x:c r="G41" s="17" t="n">
        <x:v>266.57</x:v>
      </x:c>
      <x:c r="H41" s="17" t="n">
        <x:f>G41*F41</x:f>
        <x:v>799.71</x:v>
      </x:c>
      <x:c r="I41" s="22" t="str">
        <x:f>HYPERLINK("https://etp-aktiv.ru/catalog/materialy/nizkovoltnaya-apparatura-i-zapasnye-chasti/2000617658-U117/","Открыть позицию")</x:f>
        <x:v>Открыть позицию</x:v>
      </x:c>
    </x:row>
    <x:row r="42" ht="28" customHeight="1">
      <x:c r="A42" s="16" t="str">
        <x:v>Приморская ГРЭС</x:v>
      </x:c>
      <x:c r="B42" s="16" t="str">
        <x:v>2000535438-U117</x:v>
      </x:c>
      <x:c r="C42" s="16" t="str">
        <x:v>ВЫКЛЮЧАТЕЛЬ ВА47-29-2C10-УХЛ3 10А 2P C</x:v>
      </x:c>
      <x:c r="D42" s="16" t="str">
        <x:v>Низковольтная аппаратура и запасные части</x:v>
      </x:c>
      <x:c r="E42" s="16" t="str">
        <x:v>ШТ</x:v>
      </x:c>
      <x:c r="F42" s="21" t="n">
        <x:v>3</x:v>
      </x:c>
      <x:c r="G42" s="17" t="n">
        <x:v>336.71999999999997</x:v>
      </x:c>
      <x:c r="H42" s="17" t="n">
        <x:f>G42*F42</x:f>
        <x:v>1010.1599999999999</x:v>
      </x:c>
      <x:c r="I42" s="22" t="str">
        <x:f>HYPERLINK("https://etp-aktiv.ru/catalog/materialy/nizkovoltnaya-apparatura-i-zapasnye-chasti/2000535438-U117/","Открыть позицию")</x:f>
        <x:v>Открыть позицию</x:v>
      </x:c>
    </x:row>
    <x:row r="43" ht="28" customHeight="1">
      <x:c r="A43" s="16" t="str">
        <x:v>Приморская ГРЭС</x:v>
      </x:c>
      <x:c r="B43" s="16" t="str">
        <x:v>2000570880-U117</x:v>
      </x:c>
      <x:c r="C43" s="16" t="str">
        <x:v>ВЫКЛЮЧАТЕЛЬ ВК-200-БР-11-67У2-22</x:v>
      </x:c>
      <x:c r="D43" s="16" t="str">
        <x:v>Низковольтная аппаратура и запасные части</x:v>
      </x:c>
      <x:c r="E43" s="16" t="str">
        <x:v>ШТ</x:v>
      </x:c>
      <x:c r="F43" s="21" t="n">
        <x:v>2</x:v>
      </x:c>
      <x:c r="G43" s="17" t="n">
        <x:v>770.43</x:v>
      </x:c>
      <x:c r="H43" s="17" t="n">
        <x:f>G43*F43</x:f>
        <x:v>1540.86</x:v>
      </x:c>
      <x:c r="I43" s="22" t="str">
        <x:f>HYPERLINK("https://etp-aktiv.ru/catalog/materialy/nizkovoltnaya-apparatura-i-zapasnye-chasti/2000570880-U117/","Открыть позицию")</x:f>
        <x:v>Открыть позицию</x:v>
      </x:c>
    </x:row>
    <x:row r="44" ht="28" customHeight="1">
      <x:c r="A44" s="16" t="str">
        <x:v>Приморская ГРЭС</x:v>
      </x:c>
      <x:c r="B44" s="16" t="str">
        <x:v>2000566980-U117</x:v>
      </x:c>
      <x:c r="C44" s="16" t="str">
        <x:v>ВЫКЛЮЧАТЕЛЬ КЛИО К2221 220В 10А IP44</x:v>
      </x:c>
      <x:c r="D44" s="16" t="str">
        <x:v>Осветительная продукция и изделия электроустановочные</x:v>
      </x:c>
      <x:c r="E44" s="16" t="str">
        <x:v>ШТ</x:v>
      </x:c>
      <x:c r="F44" s="21" t="n">
        <x:v>15</x:v>
      </x:c>
      <x:c r="G44" s="17" t="n">
        <x:v>92.6468</x:v>
      </x:c>
      <x:c r="H44" s="17" t="n">
        <x:f>G44*F44</x:f>
        <x:v>1389.702</x:v>
      </x:c>
      <x:c r="I44" s="22" t="str">
        <x:f>HYPERLINK("https://etp-aktiv.ru/catalog/materialy/nizkovoltnaya-apparatura-i-zapasnye-chasti/2000566980-U117/","Открыть позицию")</x:f>
        <x:v>Открыть позицию</x:v>
      </x:c>
    </x:row>
    <x:row r="45" ht="28" customHeight="1">
      <x:c r="A45" s="16" t="str">
        <x:v>Приморская ГРЭС</x:v>
      </x:c>
      <x:c r="B45" s="16" t="str">
        <x:v>2000654905-U117</x:v>
      </x:c>
      <x:c r="C45" s="16" t="str">
        <x:v>ВЫКЛЮЧАТЕЛЬ КОНЦЕВОЙ ВКО-32 УХЛ-1 220В</x:v>
      </x:c>
      <x:c r="D45" s="16" t="str">
        <x:v>Низковольтная аппаратура и запасные части</x:v>
      </x:c>
      <x:c r="E45" s="16" t="str">
        <x:v>ШТ</x:v>
      </x:c>
      <x:c r="F45" s="21" t="n">
        <x:v>5</x:v>
      </x:c>
      <x:c r="G45" s="17" t="n">
        <x:v>7115.955</x:v>
      </x:c>
      <x:c r="H45" s="17" t="n">
        <x:f>G45*F45</x:f>
        <x:v>35579.775</x:v>
      </x:c>
      <x:c r="I45" s="22" t="str">
        <x:f>HYPERLINK("https://etp-aktiv.ru/catalog/materialy/nizkovoltnaya-apparatura-i-zapasnye-chasti/2000654905-U117/","Открыть позицию")</x:f>
        <x:v>Открыть позицию</x:v>
      </x:c>
    </x:row>
    <x:row r="46" ht="28" customHeight="1">
      <x:c r="A46" s="16" t="str">
        <x:v>Приморская ГРЭС</x:v>
      </x:c>
      <x:c r="B46" s="16" t="str">
        <x:v>2000544944-U117</x:v>
      </x:c>
      <x:c r="C46" s="16" t="str">
        <x:v>ВЫКЛЮЧАТЕЛЬ ЛАДОГА SQ1801-0003 220-230В</x:v>
      </x:c>
      <x:c r="D46" s="16" t="str">
        <x:v>Осветительная продукция и изделия электроустановочные</x:v>
      </x:c>
      <x:c r="E46" s="16" t="str">
        <x:v>ШТ</x:v>
      </x:c>
      <x:c r="F46" s="21" t="n">
        <x:v>32</x:v>
      </x:c>
      <x:c r="G46" s="17" t="n">
        <x:v>51.471799999999995</x:v>
      </x:c>
      <x:c r="H46" s="17" t="n">
        <x:f>G46*F46</x:f>
        <x:v>1647.0975999999998</x:v>
      </x:c>
      <x:c r="I46" s="22" t="str">
        <x:f>HYPERLINK("https://etp-aktiv.ru/catalog/materialy/ehlektrotekhnicheskie-materialy/2000544944-U117/","Открыть позицию")</x:f>
        <x:v>Открыть позицию</x:v>
      </x:c>
    </x:row>
    <x:row r="47" ht="28" customHeight="1">
      <x:c r="A47" s="16" t="str">
        <x:v>Приморская ГРЭС</x:v>
      </x:c>
      <x:c r="B47" s="16" t="str">
        <x:v>2000472886-U117</x:v>
      </x:c>
      <x:c r="C47" s="16" t="str">
        <x:v>ГИДРОТОЛКАТЕЛЬ ТЭ-50-СУ У2</x:v>
      </x:c>
      <x:c r="D47" s="16" t="str">
        <x:v>Прочие электротехнические материалы</x:v>
      </x:c>
      <x:c r="E47" s="16" t="str">
        <x:v>ШТ</x:v>
      </x:c>
      <x:c r="F47" s="21" t="n">
        <x:v>1</x:v>
      </x:c>
      <x:c r="G47" s="17" t="n">
        <x:v>18197.788399999998</x:v>
      </x:c>
      <x:c r="H47" s="17" t="n">
        <x:f>G47*F47</x:f>
        <x:v>18197.788399999998</x:v>
      </x:c>
      <x:c r="I47" s="22" t="str">
        <x:f>HYPERLINK("https://etp-aktiv.ru/catalog/materialy/ehlektrotekhnicheskie-materialy/2000472886-U117/","Открыть позицию")</x:f>
        <x:v>Открыть позицию</x:v>
      </x:c>
    </x:row>
    <x:row r="48" ht="28" customHeight="1">
      <x:c r="A48" s="16" t="str">
        <x:v>Приморская ГРЭС</x:v>
      </x:c>
      <x:c r="B48" s="16" t="str">
        <x:v>2000540934-U117</x:v>
      </x:c>
      <x:c r="C48" s="16" t="str">
        <x:v>ГИЛЬЗА ГЗ-015-01 М20*1,5Н10-10/16-200-16</x:v>
      </x:c>
      <x:c r="D48" s="16" t="str">
        <x:v>Запасные части и принадлежности для приборов КИПиА</x:v>
      </x:c>
      <x:c r="E48" s="16" t="str">
        <x:v>ШТ</x:v>
      </x:c>
      <x:c r="F48" s="21" t="n">
        <x:v>4</x:v>
      </x:c>
      <x:c r="G48" s="17" t="n">
        <x:v>1444.785</x:v>
      </x:c>
      <x:c r="H48" s="17" t="n">
        <x:f>G48*F48</x:f>
        <x:v>5779.14</x:v>
      </x:c>
      <x:c r="I48" s="22" t="str">
        <x:f>HYPERLINK("https://etp-aktiv.ru/catalog/materialy/zapasnye-chasti-i-prinadlezhnosti-dlya-priborov-kipia/2000540934-U117/","Открыть позицию")</x:f>
        <x:v>Открыть позицию</x:v>
      </x:c>
    </x:row>
    <x:row r="49" ht="28" customHeight="1">
      <x:c r="A49" s="16" t="str">
        <x:v>Приморская ГРЭС</x:v>
      </x:c>
      <x:c r="B49" s="16" t="str">
        <x:v>2000567561-U117</x:v>
      </x:c>
      <x:c r="C49" s="16" t="str">
        <x:v>ГИЛЬЗА ГЗ-015-01 М20*1,5Н10-10/16-250-16</x:v>
      </x:c>
      <x:c r="D49" s="16" t="str">
        <x:v>Запасные части и принадлежности для приборов КИПиА</x:v>
      </x:c>
      <x:c r="E49" s="16" t="str">
        <x:v>ШТ</x:v>
      </x:c>
      <x:c r="F49" s="21" t="n">
        <x:v>10</x:v>
      </x:c>
      <x:c r="G49" s="17" t="n">
        <x:v>1065.975</x:v>
      </x:c>
      <x:c r="H49" s="17" t="n">
        <x:f>G49*F49</x:f>
        <x:v>10659.75</x:v>
      </x:c>
      <x:c r="I49" s="22" t="str">
        <x:f>HYPERLINK("https://etp-aktiv.ru/catalog/materialy/zapasnye-chasti-i-prinadlezhnosti-dlya-priborov-kipia/2000567561-U117/","Открыть позицию")</x:f>
        <x:v>Открыть позицию</x:v>
      </x:c>
    </x:row>
    <x:row r="50" ht="28" customHeight="1">
      <x:c r="A50" s="16" t="str">
        <x:v>Приморская ГРЭС</x:v>
      </x:c>
      <x:c r="B50" s="16" t="str">
        <x:v>2000273634-U117</x:v>
      </x:c>
      <x:c r="C50" s="16" t="str">
        <x:v>ДАТЧИК ЗАШТЫБОВКИ ДЗЕ-I71-43P-HT-10</x:v>
      </x:c>
      <x:c r="D50" s="16" t="str">
        <x:v>Запасные части и принадлежности для приборов КИПиА</x:v>
      </x:c>
      <x:c r="E50" s="16" t="str">
        <x:v>ШТ</x:v>
      </x:c>
      <x:c r="F50" s="21" t="n">
        <x:v>3</x:v>
      </x:c>
      <x:c r="G50" s="17" t="n">
        <x:v>13478.56</x:v>
      </x:c>
      <x:c r="H50" s="17" t="n">
        <x:f>G50*F50</x:f>
        <x:v>40435.68</x:v>
      </x:c>
      <x:c r="I50" s="22" t="str">
        <x:f>HYPERLINK("https://etp-aktiv.ru/catalog/materialy/zapasnye-chasti-i-prinadlezhnosti-dlya-priborov-kipia/2000273634-U117/","Открыть позицию")</x:f>
        <x:v>Открыть позицию</x:v>
      </x:c>
    </x:row>
    <x:row r="51" ht="28" customHeight="1">
      <x:c r="A51" s="16" t="str">
        <x:v>Приморская ГРЭС</x:v>
      </x:c>
      <x:c r="B51" s="16" t="str">
        <x:v>2000761304-U117</x:v>
      </x:c>
      <x:c r="C51" s="16" t="str">
        <x:v>ДАТЧИК КОНТРОЛЯ СХОДА ЛЕНТЫ ДКСЛ-Н3-33</x:v>
      </x:c>
      <x:c r="D51" s="16" t="str">
        <x:v>Запасные части и принадлежности для приборов КИПиА</x:v>
      </x:c>
      <x:c r="E51" s="16" t="str">
        <x:v>ШТ</x:v>
      </x:c>
      <x:c r="F51" s="21" t="n">
        <x:v>16</x:v>
      </x:c>
      <x:c r="G51" s="17" t="n">
        <x:v>3325.5492</x:v>
      </x:c>
      <x:c r="H51" s="17" t="n">
        <x:f>G51*F51</x:f>
        <x:v>53208.7872</x:v>
      </x:c>
      <x:c r="I51" s="22" t="str">
        <x:f>HYPERLINK("https://etp-aktiv.ru/catalog/materialy/zapasnye-chasti-i-prinadlezhnosti-dlya-priborov-kipia/2000761304-U117/","Открыть позицию")</x:f>
        <x:v>Открыть позицию</x:v>
      </x:c>
    </x:row>
    <x:row r="52" ht="28" customHeight="1">
      <x:c r="A52" s="16" t="str">
        <x:v>Приморская ГРЭС</x:v>
      </x:c>
      <x:c r="B52" s="16" t="str">
        <x:v>2000072195-U117</x:v>
      </x:c>
      <x:c r="C52" s="16" t="str">
        <x:v>ДАТЧИК-РЕЛЕ УРОВНЯ ЖИДКОСТИ ДРУ-1ПМ</x:v>
      </x:c>
      <x:c r="D52" s="16" t="str">
        <x:v>Низковольтная аппаратура и запасные части спец-е и под заказ</x:v>
      </x:c>
      <x:c r="E52" s="16" t="str">
        <x:v>ШТ</x:v>
      </x:c>
      <x:c r="F52" s="21" t="n">
        <x:v>2</x:v>
      </x:c>
      <x:c r="G52" s="17" t="n">
        <x:v>6106.832</x:v>
      </x:c>
      <x:c r="H52" s="17" t="n">
        <x:f>G52*F52</x:f>
        <x:v>12213.664</x:v>
      </x:c>
      <x:c r="I52" s="22" t="str">
        <x:f>HYPERLINK("https://etp-aktiv.ru/catalog/materialy/nizkovoltnaya-apparatura-i-zapasnye-chasti/2000072195-U117/","Открыть позицию")</x:f>
        <x:v>Открыть позицию</x:v>
      </x:c>
    </x:row>
    <x:row r="53" ht="28" customHeight="1">
      <x:c r="A53" s="16" t="str">
        <x:v>Приморская ГРЭС</x:v>
      </x:c>
      <x:c r="B53" s="16" t="str">
        <x:v>2000572518-U117</x:v>
      </x:c>
      <x:c r="C53" s="16" t="str">
        <x:v>ЗАТВОР ДИСКОВЫЙ ПОВОРОТНЫЙ ЗПД-80-УХЛ1</x:v>
      </x:c>
      <x:c r="D53" s="16" t="str">
        <x:v>Запасные части к трансформаторам</x:v>
      </x:c>
      <x:c r="E53" s="16" t="str">
        <x:v>ШТ</x:v>
      </x:c>
      <x:c r="F53" s="21" t="n">
        <x:v>3</x:v>
      </x:c>
      <x:c r="G53" s="17" t="n">
        <x:v>4612.6736</x:v>
      </x:c>
      <x:c r="H53" s="17" t="n">
        <x:f>G53*F53</x:f>
        <x:v>13838.0208</x:v>
      </x:c>
      <x:c r="I53" s="22" t="str">
        <x:f>HYPERLINK("https://etp-aktiv.ru/catalog/materialy/ehlektrotekhnicheskie-materialy/2000572518-U117/","Открыть позицию")</x:f>
        <x:v>Открыть позицию</x:v>
      </x:c>
    </x:row>
    <x:row r="54" ht="28" customHeight="1">
      <x:c r="A54" s="16" t="str">
        <x:v>Приморская ГРЭС</x:v>
      </x:c>
      <x:c r="B54" s="16" t="str">
        <x:v>2000644658-U117</x:v>
      </x:c>
      <x:c r="C54" s="16" t="str">
        <x:v>ИЗОЛЕНТА HAUPA HUPTAPE-15 263850 19*0,15</x:v>
      </x:c>
      <x:c r="D54" s="16" t="str">
        <x:v>Электроизоляционные материалы</x:v>
      </x:c>
      <x:c r="E54" s="16" t="str">
        <x:v>ШТ</x:v>
      </x:c>
      <x:c r="F54" s="21" t="n">
        <x:v>34</x:v>
      </x:c>
      <x:c r="G54" s="17" t="n">
        <x:v>29.89</x:v>
      </x:c>
      <x:c r="H54" s="17" t="n">
        <x:f>G54*F54</x:f>
        <x:v>1016.26</x:v>
      </x:c>
      <x:c r="I54" s="22" t="str">
        <x:f>HYPERLINK("https://etp-aktiv.ru/catalog/materialy/ehlektroizolyacionnye-materialy/2000644658-U117/","Открыть позицию")</x:f>
        <x:v>Открыть позицию</x:v>
      </x:c>
    </x:row>
    <x:row r="55" ht="28" customHeight="1">
      <x:c r="A55" s="16" t="str">
        <x:v>Приморская ГРЭС</x:v>
      </x:c>
      <x:c r="B55" s="16" t="str">
        <x:v>2000325144-U117</x:v>
      </x:c>
      <x:c r="C55" s="16" t="str">
        <x:v>ИЗОЛЕНТА ПВХ TDM 0,13*15ММ*20М ЖЕЛТО-ЗЕЛ</x:v>
      </x:c>
      <x:c r="D55" s="16" t="str">
        <x:v>Электроизоляционные материалы</x:v>
      </x:c>
      <x:c r="E55" s="16" t="str">
        <x:v>ШТ</x:v>
      </x:c>
      <x:c r="F55" s="21" t="n">
        <x:v>1</x:v>
      </x:c>
      <x:c r="G55" s="17" t="n">
        <x:v>27.45</x:v>
      </x:c>
      <x:c r="H55" s="17" t="n">
        <x:f>G55*F55</x:f>
        <x:v>27.45</x:v>
      </x:c>
      <x:c r="I55" s="22" t="str">
        <x:f>HYPERLINK("https://etp-aktiv.ru/catalog/materialy/ehlektroizolyacionnye-materialy/2000325144-U117/","Открыть позицию")</x:f>
        <x:v>Открыть позицию</x:v>
      </x:c>
    </x:row>
    <x:row r="56" ht="28" customHeight="1">
      <x:c r="A56" s="16" t="str">
        <x:v>Приморская ГРЭС</x:v>
      </x:c>
      <x:c r="B56" s="16" t="str">
        <x:v>2000325146-U117</x:v>
      </x:c>
      <x:c r="C56" s="16" t="str">
        <x:v>ИЗОЛЕНТА ПВХ TDM 0,13*15ММ*20М ЗЕЛЕНАЯ</x:v>
      </x:c>
      <x:c r="D56" s="16" t="str">
        <x:v>Электроизоляционные материалы</x:v>
      </x:c>
      <x:c r="E56" s="16" t="str">
        <x:v>ШТ</x:v>
      </x:c>
      <x:c r="F56" s="21" t="n">
        <x:v>1</x:v>
      </x:c>
      <x:c r="G56" s="17" t="n">
        <x:v>21.96</x:v>
      </x:c>
      <x:c r="H56" s="17" t="n">
        <x:f>G56*F56</x:f>
        <x:v>21.96</x:v>
      </x:c>
      <x:c r="I56" s="22" t="str">
        <x:f>HYPERLINK("https://etp-aktiv.ru/catalog/materialy/ehlektroizolyacionnye-materialy/2000325146-U117/","Открыть позицию")</x:f>
        <x:v>Открыть позицию</x:v>
      </x:c>
    </x:row>
    <x:row r="57" ht="28" customHeight="1">
      <x:c r="A57" s="16" t="str">
        <x:v>Приморская ГРЭС</x:v>
      </x:c>
      <x:c r="B57" s="16" t="str">
        <x:v>2000325147-U117</x:v>
      </x:c>
      <x:c r="C57" s="16" t="str">
        <x:v>ИЗОЛЕНТА ПВХ TDM 0,13*15ММ*20М КРАСНАЯ</x:v>
      </x:c>
      <x:c r="D57" s="16" t="str">
        <x:v>Электроизоляционные материалы</x:v>
      </x:c>
      <x:c r="E57" s="16" t="str">
        <x:v>ШТ</x:v>
      </x:c>
      <x:c r="F57" s="21" t="n">
        <x:v>2</x:v>
      </x:c>
      <x:c r="G57" s="17" t="n">
        <x:v>24.241400000000002</x:v>
      </x:c>
      <x:c r="H57" s="17" t="n">
        <x:f>G57*F57</x:f>
        <x:v>48.482800000000005</x:v>
      </x:c>
      <x:c r="I57" s="22" t="str">
        <x:f>HYPERLINK("https://etp-aktiv.ru/catalog/materialy/ehlektroizolyacionnye-materialy/2000325147-U117/","Открыть позицию")</x:f>
        <x:v>Открыть позицию</x:v>
      </x:c>
    </x:row>
    <x:row r="58" ht="28" customHeight="1">
      <x:c r="A58" s="16" t="str">
        <x:v>Приморская ГРЭС</x:v>
      </x:c>
      <x:c r="B58" s="16" t="str">
        <x:v>2000291652-U117</x:v>
      </x:c>
      <x:c r="C58" s="16" t="str">
        <x:v>ИЗОЛЕНТА ПХВ 15*20 КРАСНАЯ</x:v>
      </x:c>
      <x:c r="D58" s="16" t="str">
        <x:v>Электроизоляционные материалы</x:v>
      </x:c>
      <x:c r="E58" s="16" t="str">
        <x:v>ШТ</x:v>
      </x:c>
      <x:c r="F58" s="21" t="n">
        <x:v>40</x:v>
      </x:c>
      <x:c r="G58" s="17" t="n">
        <x:v>19.1784</x:v>
      </x:c>
      <x:c r="H58" s="17" t="n">
        <x:f>G58*F58</x:f>
        <x:v>767.136</x:v>
      </x:c>
      <x:c r="I58" s="22" t="str">
        <x:f>HYPERLINK("https://etp-aktiv.ru/catalog/materialy/ehlektroizolyacionnye-materialy/2000291652-U117/","Открыть позицию")</x:f>
        <x:v>Открыть позицию</x:v>
      </x:c>
    </x:row>
    <x:row r="59" ht="28" customHeight="1">
      <x:c r="A59" s="16" t="str">
        <x:v>Приморская ГРЭС</x:v>
      </x:c>
      <x:c r="B59" s="16" t="str">
        <x:v>2000024526-U117</x:v>
      </x:c>
      <x:c r="C59" s="16" t="str">
        <x:v>ИЗОЛЕНТА Х/Б ПМ-12 110 ГР</x:v>
      </x:c>
      <x:c r="D59" s="16" t="str">
        <x:v>Электроизоляционные материалы</x:v>
      </x:c>
      <x:c r="E59" s="16" t="str">
        <x:v>ШТ</x:v>
      </x:c>
      <x:c r="F59" s="30" t="n">
        <x:v>4.5</x:v>
      </x:c>
      <x:c r="G59" s="17" t="n">
        <x:v>36.587799999999994</x:v>
      </x:c>
      <x:c r="H59" s="17" t="n">
        <x:f>G59*F59</x:f>
        <x:v>164.64509999999999</x:v>
      </x:c>
      <x:c r="I59" s="22" t="str">
        <x:f>HYPERLINK("https://etp-aktiv.ru/catalog/materialy/ehlektroizolyacionnye-materialy/2000024526-U117/","Открыть позицию")</x:f>
        <x:v>Открыть позицию</x:v>
      </x:c>
    </x:row>
    <x:row r="60" ht="28" customHeight="1">
      <x:c r="A60" s="16" t="str">
        <x:v>Приморская ГРЭС</x:v>
      </x:c>
      <x:c r="B60" s="16" t="str">
        <x:v>2001039813-U117</x:v>
      </x:c>
      <x:c r="C60" s="16" t="str">
        <x:v>ИНДИКАТОР ЦИФРОВ INTOOL ИЦ 0-12,7 0,001</x:v>
      </x:c>
      <x:c r="D60" s="16" t="str">
        <x:v>Запасные части и принадлежности для приборов КИПиА</x:v>
      </x:c>
      <x:c r="E60" s="16" t="str">
        <x:v>ШТ</x:v>
      </x:c>
      <x:c r="F60" s="21" t="n">
        <x:v>2</x:v>
      </x:c>
      <x:c r="G60" s="17" t="n">
        <x:v>3477</x:v>
      </x:c>
      <x:c r="H60" s="17" t="n">
        <x:f>G60*F60</x:f>
        <x:v>6954</x:v>
      </x:c>
      <x:c r="I60" s="22" t="str">
        <x:f>HYPERLINK("https://etp-aktiv.ru/catalog/materialy/zapasnye-chasti-i-prinadlezhnosti-dlya-priborov-kipia/2001039813-U117/","Открыть позицию")</x:f>
        <x:v>Открыть позицию</x:v>
      </x:c>
    </x:row>
    <x:row r="61" ht="28" customHeight="1">
      <x:c r="A61" s="16" t="str">
        <x:v>Приморская ГРЭС</x:v>
      </x:c>
      <x:c r="B61" s="16" t="str">
        <x:v>2000147408-U117</x:v>
      </x:c>
      <x:c r="C61" s="16" t="str">
        <x:v>КАРТОН ТЕХНИЧЕС А-1 0,5ММ ТУ13-04-607-81</x:v>
      </x:c>
      <x:c r="D61" s="16" t="str">
        <x:v>Электроизоляционные материалы</x:v>
      </x:c>
      <x:c r="E61" s="16" t="str">
        <x:v>КГ</x:v>
      </x:c>
      <x:c r="F61" s="30" t="n">
        <x:v>17.3</x:v>
      </x:c>
      <x:c r="G61" s="17" t="n">
        <x:v>190.0028</x:v>
      </x:c>
      <x:c r="H61" s="17" t="n">
        <x:f>G61*F61</x:f>
        <x:v>3287.0484400000005</x:v>
      </x:c>
      <x:c r="I61" s="22" t="str">
        <x:f>HYPERLINK("https://etp-aktiv.ru/catalog/materialy/ehlektroizolyacionnye-materialy/2000147408-U117/","Открыть позицию")</x:f>
        <x:v>Открыть позицию</x:v>
      </x:c>
    </x:row>
    <x:row r="62" ht="28" customHeight="1">
      <x:c r="A62" s="16" t="str">
        <x:v>Приморская ГРЭС</x:v>
      </x:c>
      <x:c r="B62" s="16" t="str">
        <x:v>2000012739-U117</x:v>
      </x:c>
      <x:c r="C62" s="16" t="str">
        <x:v>КБВ ВМПЭ-10-630 5БП 551.094.01</x:v>
      </x:c>
      <x:c r="D62" s="16" t="str">
        <x:v>Прочие электротехнические материалы специализир и под заказ</x:v>
      </x:c>
      <x:c r="E62" s="16" t="str">
        <x:v>ШТ</x:v>
      </x:c>
      <x:c r="F62" s="21" t="n">
        <x:v>14</x:v>
      </x:c>
      <x:c r="G62" s="17" t="n">
        <x:v>2928</x:v>
      </x:c>
      <x:c r="H62" s="17" t="n">
        <x:f>G62*F62</x:f>
        <x:v>40992</x:v>
      </x:c>
      <x:c r="I62" s="22" t="str">
        <x:f>HYPERLINK("https://etp-aktiv.ru/catalog/materialy/ehlektrotekhnicheskie-materialy/2000012739-U117/","Открыть позицию")</x:f>
        <x:v>Открыть позицию</x:v>
      </x:c>
    </x:row>
    <x:row r="63" ht="28" customHeight="1">
      <x:c r="A63" s="16" t="str">
        <x:v>Приморская ГРЭС</x:v>
      </x:c>
      <x:c r="B63" s="16" t="str">
        <x:v>2000199221-U117</x:v>
      </x:c>
      <x:c r="C63" s="16" t="str">
        <x:v>КЕРОСИН ОСВЕТИТЕЛЬНЫЙ КО-25 0,5Л</x:v>
      </x:c>
      <x:c r="D63" s="16" t="str">
        <x:v>Другие смазочные материалы и тех.жидкости</x:v>
      </x:c>
      <x:c r="E63" s="16" t="str">
        <x:v>ШТ</x:v>
      </x:c>
      <x:c r="F63" s="21" t="n">
        <x:v>248</x:v>
      </x:c>
      <x:c r="G63" s="17" t="n">
        <x:v>188.673</x:v>
      </x:c>
      <x:c r="H63" s="17" t="n">
        <x:f>G63*F63</x:f>
        <x:v>46790.904</x:v>
      </x:c>
      <x:c r="I63" s="22" t="str">
        <x:f>HYPERLINK("https://etp-aktiv.ru/catalog/materialy/gsm/2000199221-U117/","Открыть позицию")</x:f>
        <x:v>Открыть позицию</x:v>
      </x:c>
    </x:row>
    <x:row r="64" ht="28" customHeight="1">
      <x:c r="A64" s="16" t="str">
        <x:v>Приморская ГРЭС</x:v>
      </x:c>
      <x:c r="B64" s="16" t="str">
        <x:v>2000447627-U117</x:v>
      </x:c>
      <x:c r="C64" s="16" t="str">
        <x:v>КЛЕММНИК WAGO 3 221-413</x:v>
      </x:c>
      <x:c r="D64" s="16" t="str">
        <x:v>Низковольтная аппаратура и запасные части</x:v>
      </x:c>
      <x:c r="E64" s="16" t="str">
        <x:v>ШТ</x:v>
      </x:c>
      <x:c r="F64" s="21" t="n">
        <x:v>20</x:v>
      </x:c>
      <x:c r="G64" s="17" t="n">
        <x:v>15.3232</x:v>
      </x:c>
      <x:c r="H64" s="17" t="n">
        <x:f>G64*F64</x:f>
        <x:v>306.464</x:v>
      </x:c>
      <x:c r="I64" s="22" t="str">
        <x:f>HYPERLINK("https://etp-aktiv.ru/catalog/materialy/nizkovoltnaya-apparatura-i-zapasnye-chasti/2000447627-U117/","Открыть позицию")</x:f>
        <x:v>Открыть позицию</x:v>
      </x:c>
    </x:row>
    <x:row r="65" ht="28" customHeight="1">
      <x:c r="A65" s="16" t="str">
        <x:v>Приморская ГРЭС</x:v>
      </x:c>
      <x:c r="B65" s="16" t="str">
        <x:v>2000725327-U117</x:v>
      </x:c>
      <x:c r="C65" s="16" t="str">
        <x:v>КОНДЕНСАТОР JAMICON EC 50В 680МКФ 20%</x:v>
      </x:c>
      <x:c r="D65" s="16" t="str">
        <x:v>Изделия радиоэлектронной техники</x:v>
      </x:c>
      <x:c r="E65" s="16" t="str">
        <x:v>ШТ</x:v>
      </x:c>
      <x:c r="F65" s="21" t="n">
        <x:v>80</x:v>
      </x:c>
      <x:c r="G65" s="17" t="n">
        <x:v>178.42499999999998</x:v>
      </x:c>
      <x:c r="H65" s="17" t="n">
        <x:f>G65*F65</x:f>
        <x:v>14273.999999999998</x:v>
      </x:c>
      <x:c r="I65" s="22" t="str">
        <x:f>HYPERLINK("https://etp-aktiv.ru/catalog/materialy/prochie-materialy/2000725327-U117/","Открыть позицию")</x:f>
        <x:v>Открыть позицию</x:v>
      </x:c>
    </x:row>
    <x:row r="66" ht="28" customHeight="1">
      <x:c r="A66" s="16" t="str">
        <x:v>Приморская ГРЭС</x:v>
      </x:c>
      <x:c r="B66" s="16" t="str">
        <x:v>2000725328-U117</x:v>
      </x:c>
      <x:c r="C66" s="16" t="str">
        <x:v>КОНДЕНСАТОР JAMICON EC 50В 860МКФ 20%</x:v>
      </x:c>
      <x:c r="D66" s="16" t="str">
        <x:v>Изделия радиоэлектронной техники</x:v>
      </x:c>
      <x:c r="E66" s="16" t="str">
        <x:v>ШТ</x:v>
      </x:c>
      <x:c r="F66" s="21" t="n">
        <x:v>20</x:v>
      </x:c>
      <x:c r="G66" s="17" t="n">
        <x:v>452.925</x:v>
      </x:c>
      <x:c r="H66" s="17" t="n">
        <x:f>G66*F66</x:f>
        <x:v>9058.5</x:v>
      </x:c>
      <x:c r="I66" s="22" t="str">
        <x:f>HYPERLINK("https://etp-aktiv.ru/catalog/materialy/prochie-materialy/2000725328-U117/","Открыть позицию")</x:f>
        <x:v>Открыть позицию</x:v>
      </x:c>
    </x:row>
    <x:row r="67" ht="28" customHeight="1">
      <x:c r="A67" s="16" t="str">
        <x:v>Приморская ГРЭС</x:v>
      </x:c>
      <x:c r="B67" s="16" t="str">
        <x:v>2000536523-U117</x:v>
      </x:c>
      <x:c r="C67" s="16" t="str">
        <x:v>КОНДЕНСАТОР ЭЭПВП-0,8-2,4 УЗ</x:v>
      </x:c>
      <x:c r="D67" s="16" t="str">
        <x:v>Низковольтная аппаратура и запасные части</x:v>
      </x:c>
      <x:c r="E67" s="16" t="str">
        <x:v>ШТ</x:v>
      </x:c>
      <x:c r="F67" s="21" t="n">
        <x:v>2</x:v>
      </x:c>
      <x:c r="G67" s="17" t="n">
        <x:v>50187.75</x:v>
      </x:c>
      <x:c r="H67" s="17" t="n">
        <x:f>G67*F67</x:f>
        <x:v>100375.5</x:v>
      </x:c>
      <x:c r="I67" s="22" t="str">
        <x:f>HYPERLINK("https://etp-aktiv.ru/catalog/materialy/nizkovoltnaya-apparatura-i-zapasnye-chasti/2000536523-U117/","Открыть позицию")</x:f>
        <x:v>Открыть позицию</x:v>
      </x:c>
    </x:row>
    <x:row r="68" ht="28" customHeight="1">
      <x:c r="A68" s="16" t="str">
        <x:v>Приморская ГРЭС</x:v>
      </x:c>
      <x:c r="B68" s="16" t="str">
        <x:v>2000071109-U117</x:v>
      </x:c>
      <x:c r="C68" s="16" t="str">
        <x:v>КОНТАКТ КТ-6033 С ПОДВИЖ</x:v>
      </x:c>
      <x:c r="D68" s="16" t="str">
        <x:v>Прочие электротехнические материалы</x:v>
      </x:c>
      <x:c r="E68" s="16" t="str">
        <x:v>ШТ</x:v>
      </x:c>
      <x:c r="F68" s="21" t="n">
        <x:v>10</x:v>
      </x:c>
      <x:c r="G68" s="17" t="n">
        <x:v>305.61</x:v>
      </x:c>
      <x:c r="H68" s="17" t="n">
        <x:f>G68*F68</x:f>
        <x:v>3056.1000000000004</x:v>
      </x:c>
      <x:c r="I68" s="22" t="str">
        <x:f>HYPERLINK("https://etp-aktiv.ru/catalog/materialy/ehlektrotekhnicheskie-materialy/2000071109-U117/","Открыть позицию")</x:f>
        <x:v>Открыть позицию</x:v>
      </x:c>
    </x:row>
    <x:row r="69" ht="28" customHeight="1">
      <x:c r="A69" s="16" t="str">
        <x:v>Приморская ГРЭС</x:v>
      </x:c>
      <x:c r="B69" s="16" t="str">
        <x:v>2000783847-U117</x:v>
      </x:c>
      <x:c r="C69" s="16" t="str">
        <x:v>КОНТАКТ НЕПОДВИЖНЫЙ РГАП.685171.277</x:v>
      </x:c>
      <x:c r="D69" s="16" t="str">
        <x:v>Низковольтная аппаратура и запасные части</x:v>
      </x:c>
      <x:c r="E69" s="16" t="str">
        <x:v>ШТ</x:v>
      </x:c>
      <x:c r="F69" s="21" t="n">
        <x:v>10</x:v>
      </x:c>
      <x:c r="G69" s="17" t="n">
        <x:v>221.4666</x:v>
      </x:c>
      <x:c r="H69" s="17" t="n">
        <x:f>G69*F69</x:f>
        <x:v>2214.666</x:v>
      </x:c>
      <x:c r="I69" s="22" t="str">
        <x:f>HYPERLINK("https://etp-aktiv.ru/catalog/materialy/nizkovoltnaya-apparatura-i-zapasnye-chasti/2000783847-U117/","Открыть позицию")</x:f>
        <x:v>Открыть позицию</x:v>
      </x:c>
    </x:row>
    <x:row r="70" ht="28" customHeight="1">
      <x:c r="A70" s="16" t="str">
        <x:v>Приморская ГРЭС</x:v>
      </x:c>
      <x:c r="B70" s="16" t="str">
        <x:v>2000014095-U117</x:v>
      </x:c>
      <x:c r="C70" s="16" t="str">
        <x:v>КОНТАКТОР КВ1,14-1,6/160 3У3</x:v>
      </x:c>
      <x:c r="D70" s="16" t="str">
        <x:v>Низковольтная аппаратура и запасные части</x:v>
      </x:c>
      <x:c r="E70" s="16" t="str">
        <x:v>ШТ</x:v>
      </x:c>
      <x:c r="F70" s="21" t="n">
        <x:v>2</x:v>
      </x:c>
      <x:c r="G70" s="17" t="n">
        <x:v>8340.225</x:v>
      </x:c>
      <x:c r="H70" s="17" t="n">
        <x:f>G70*F70</x:f>
        <x:v>16680.45</x:v>
      </x:c>
      <x:c r="I70" s="22" t="str">
        <x:f>HYPERLINK("https://etp-aktiv.ru/catalog/materialy/nizkovoltnaya-apparatura-i-zapasnye-chasti/2000014095-U117/","Открыть позицию")</x:f>
        <x:v>Открыть позицию</x:v>
      </x:c>
    </x:row>
    <x:row r="71" ht="28" customHeight="1">
      <x:c r="A71" s="16" t="str">
        <x:v>Приморская ГРЭС</x:v>
      </x:c>
      <x:c r="B71" s="16" t="str">
        <x:v>2000778398-U117</x:v>
      </x:c>
      <x:c r="C71" s="16" t="str">
        <x:v>КОНТАКТОР КПВ-604-250А-220DC-З-ПК-У3</x:v>
      </x:c>
      <x:c r="D71" s="16" t="str">
        <x:v>Низковольтная аппаратура и запасные части</x:v>
      </x:c>
      <x:c r="E71" s="16" t="str">
        <x:v>ШТ</x:v>
      </x:c>
      <x:c r="F71" s="21" t="n">
        <x:v>3</x:v>
      </x:c>
      <x:c r="G71" s="17" t="n">
        <x:v>7070.949199999999</x:v>
      </x:c>
      <x:c r="H71" s="17" t="n">
        <x:f>G71*F71</x:f>
        <x:v>21212.847599999997</x:v>
      </x:c>
      <x:c r="I71" s="22" t="str">
        <x:f>HYPERLINK("https://etp-aktiv.ru/catalog/materialy/nizkovoltnaya-apparatura-i-zapasnye-chasti/2000778398-U117/","Открыть позицию")</x:f>
        <x:v>Открыть позицию</x:v>
      </x:c>
    </x:row>
    <x:row r="72" ht="28" customHeight="1">
      <x:c r="A72" s="16" t="str">
        <x:v>Приморская ГРЭС</x:v>
      </x:c>
      <x:c r="B72" s="16" t="str">
        <x:v>2000027533-U117</x:v>
      </x:c>
      <x:c r="C72" s="16" t="str">
        <x:v>КОНТАКТОР КТ-6023 220В 160А</x:v>
      </x:c>
      <x:c r="D72" s="16" t="str">
        <x:v>Низковольтная аппаратура и запасные части</x:v>
      </x:c>
      <x:c r="E72" s="16" t="str">
        <x:v>ШТ</x:v>
      </x:c>
      <x:c r="F72" s="21" t="n">
        <x:v>7</x:v>
      </x:c>
      <x:c r="G72" s="17" t="n">
        <x:v>3744.6924</x:v>
      </x:c>
      <x:c r="H72" s="17" t="n">
        <x:f>G72*F72</x:f>
        <x:v>26212.8468</x:v>
      </x:c>
      <x:c r="I72" s="22" t="str">
        <x:f>HYPERLINK("https://etp-aktiv.ru/catalog/materialy/nizkovoltnaya-apparatura-i-zapasnye-chasti/2000027533-U117/","Открыть позицию")</x:f>
        <x:v>Открыть позицию</x:v>
      </x:c>
    </x:row>
    <x:row r="73" ht="28" customHeight="1">
      <x:c r="A73" s="16" t="str">
        <x:v>Приморская ГРЭС</x:v>
      </x:c>
      <x:c r="B73" s="16" t="str">
        <x:v>2000027624-U117</x:v>
      </x:c>
      <x:c r="C73" s="16" t="str">
        <x:v>КОНТАКТОР КТ-6053 220В 630А</x:v>
      </x:c>
      <x:c r="D73" s="16" t="str">
        <x:v>Низковольтная аппаратура и запасные части</x:v>
      </x:c>
      <x:c r="E73" s="16" t="str">
        <x:v>ШТ</x:v>
      </x:c>
      <x:c r="F73" s="21" t="n">
        <x:v>1</x:v>
      </x:c>
      <x:c r="G73" s="17" t="n">
        <x:v>17120.8944</x:v>
      </x:c>
      <x:c r="H73" s="17" t="n">
        <x:f>G73*F73</x:f>
        <x:v>17120.8944</x:v>
      </x:c>
      <x:c r="I73" s="22" t="str">
        <x:f>HYPERLINK("https://etp-aktiv.ru/catalog/materialy/nizkovoltnaya-apparatura-i-zapasnye-chasti/2000027624-U117/","Открыть позицию")</x:f>
        <x:v>Открыть позицию</x:v>
      </x:c>
    </x:row>
    <x:row r="74" ht="28" customHeight="1">
      <x:c r="A74" s="16" t="str">
        <x:v>Приморская ГРЭС</x:v>
      </x:c>
      <x:c r="B74" s="16" t="str">
        <x:v>2000071063-U117</x:v>
      </x:c>
      <x:c r="C74" s="16" t="str">
        <x:v>КОНТАКТОР МК2-20У3Б 110В 63А</x:v>
      </x:c>
      <x:c r="D74" s="16" t="str">
        <x:v>Низковольтная аппаратура и запасные части</x:v>
      </x:c>
      <x:c r="E74" s="16" t="str">
        <x:v>ШТ</x:v>
      </x:c>
      <x:c r="F74" s="21" t="n">
        <x:v>4</x:v>
      </x:c>
      <x:c r="G74" s="17" t="n">
        <x:v>4592.2386</x:v>
      </x:c>
      <x:c r="H74" s="17" t="n">
        <x:f>G74*F74</x:f>
        <x:v>18368.9544</x:v>
      </x:c>
      <x:c r="I74" s="22" t="str">
        <x:f>HYPERLINK("https://etp-aktiv.ru/catalog/materialy/nizkovoltnaya-apparatura-i-zapasnye-chasti/2000071063-U117/","Открыть позицию")</x:f>
        <x:v>Открыть позицию</x:v>
      </x:c>
    </x:row>
    <x:row r="75" ht="28" customHeight="1">
      <x:c r="A75" s="16" t="str">
        <x:v>Приморская ГРЭС</x:v>
      </x:c>
      <x:c r="B75" s="16" t="str">
        <x:v>2000027602-U117</x:v>
      </x:c>
      <x:c r="C75" s="16" t="str">
        <x:v>КОНТАКТОР ТКПД-114 75В</x:v>
      </x:c>
      <x:c r="D75" s="16" t="str">
        <x:v>Низковольтная аппаратура и запасные части</x:v>
      </x:c>
      <x:c r="E75" s="16" t="str">
        <x:v>ШТ</x:v>
      </x:c>
      <x:c r="F75" s="21" t="n">
        <x:v>3</x:v>
      </x:c>
      <x:c r="G75" s="17" t="n">
        <x:v>14581.0252</x:v>
      </x:c>
      <x:c r="H75" s="17" t="n">
        <x:f>G75*F75</x:f>
        <x:v>43743.0756</x:v>
      </x:c>
      <x:c r="I75" s="22" t="str">
        <x:f>HYPERLINK("https://etp-aktiv.ru/catalog/materialy/nizkovoltnaya-apparatura-i-zapasnye-chasti/2000027602-U117/","Открыть позицию")</x:f>
        <x:v>Открыть позицию</x:v>
      </x:c>
    </x:row>
    <x:row r="76" ht="28" customHeight="1">
      <x:c r="A76" s="16" t="str">
        <x:v>Приморская ГРЭС</x:v>
      </x:c>
      <x:c r="B76" s="16" t="str">
        <x:v>2000078541-U117</x:v>
      </x:c>
      <x:c r="C76" s="16" t="str">
        <x:v>КОНТАКТОР ТКПМ-121</x:v>
      </x:c>
      <x:c r="D76" s="16" t="str">
        <x:v>Низковольтная аппаратура и запасные части</x:v>
      </x:c>
      <x:c r="E76" s="16" t="str">
        <x:v>ШТ</x:v>
      </x:c>
      <x:c r="F76" s="21" t="n">
        <x:v>2</x:v>
      </x:c>
      <x:c r="G76" s="17" t="n">
        <x:v>5156.5617999999995</x:v>
      </x:c>
      <x:c r="H76" s="17" t="n">
        <x:f>G76*F76</x:f>
        <x:v>10313.123599999999</x:v>
      </x:c>
      <x:c r="I76" s="22" t="str">
        <x:f>HYPERLINK("https://etp-aktiv.ru/catalog/materialy/nizkovoltnaya-apparatura-i-zapasnye-chasti/2000078541-U117/","Открыть позицию")</x:f>
        <x:v>Открыть позицию</x:v>
      </x:c>
    </x:row>
    <x:row r="77" ht="28" customHeight="1">
      <x:c r="A77" s="16" t="str">
        <x:v>Приморская ГРЭС</x:v>
      </x:c>
      <x:c r="B77" s="16" t="str">
        <x:v>2000214117-U117</x:v>
      </x:c>
      <x:c r="C77" s="16" t="str">
        <x:v>КОРОБКА ИСПЫТАТЕЛЬНАЯ ЛИМГ.301591.009</x:v>
      </x:c>
      <x:c r="D77" s="16" t="str">
        <x:v>Прочие электротехнические материалы специализир и под заказ</x:v>
      </x:c>
      <x:c r="E77" s="16" t="str">
        <x:v>ШТ</x:v>
      </x:c>
      <x:c r="F77" s="21" t="n">
        <x:v>50</x:v>
      </x:c>
      <x:c r="G77" s="17" t="n">
        <x:v>526.125</x:v>
      </x:c>
      <x:c r="H77" s="17" t="n">
        <x:f>G77*F77</x:f>
        <x:v>26306.25</x:v>
      </x:c>
      <x:c r="I77" s="22" t="str">
        <x:f>HYPERLINK("https://etp-aktiv.ru/catalog/materialy/ehlektrotekhnicheskie-materialy/2000214117-U117/","Открыть позицию")</x:f>
        <x:v>Открыть позицию</x:v>
      </x:c>
    </x:row>
    <x:row r="78" ht="28" customHeight="1">
      <x:c r="A78" s="16" t="str">
        <x:v>Приморская ГРЭС</x:v>
      </x:c>
      <x:c r="B78" s="16" t="str">
        <x:v>2000326165-U117</x:v>
      </x:c>
      <x:c r="C78" s="16" t="str">
        <x:v>КОРОБКА КЗНС-08ГР IP65 16А/220В</x:v>
      </x:c>
      <x:c r="D78" s="16" t="str">
        <x:v>Осветительная продукция и изделия электроустановочные</x:v>
      </x:c>
      <x:c r="E78" s="16" t="str">
        <x:v>ШТ</x:v>
      </x:c>
      <x:c r="F78" s="21" t="n">
        <x:v>2</x:v>
      </x:c>
      <x:c r="G78" s="17" t="n">
        <x:v>4712.25</x:v>
      </x:c>
      <x:c r="H78" s="17" t="n">
        <x:f>G78*F78</x:f>
        <x:v>9424.5</x:v>
      </x:c>
      <x:c r="I78" s="22" t="str">
        <x:f>HYPERLINK("https://etp-aktiv.ru/catalog/materialy/ehlektrotekhnicheskie-materialy/2000326165-U117/","Открыть позицию")</x:f>
        <x:v>Открыть позицию</x:v>
      </x:c>
    </x:row>
    <x:row r="79" ht="28" customHeight="1">
      <x:c r="A79" s="16" t="str">
        <x:v>Приморская ГРЭС</x:v>
      </x:c>
      <x:c r="B79" s="16" t="str">
        <x:v>2000072314-U117</x:v>
      </x:c>
      <x:c r="C79" s="16" t="str">
        <x:v>КОРОБКА ОТВЕТВИТ У 409-3У1 IP65 380В</x:v>
      </x:c>
      <x:c r="D79" s="16" t="str">
        <x:v>Осветительная продукция и изделия электроустановочные</x:v>
      </x:c>
      <x:c r="E79" s="16" t="str">
        <x:v>ШТ</x:v>
      </x:c>
      <x:c r="F79" s="21" t="n">
        <x:v>6</x:v>
      </x:c>
      <x:c r="G79" s="17" t="n">
        <x:v>270.2788</x:v>
      </x:c>
      <x:c r="H79" s="17" t="n">
        <x:f>G79*F79</x:f>
        <x:v>1621.6727999999998</x:v>
      </x:c>
      <x:c r="I79" s="22" t="str">
        <x:f>HYPERLINK("https://etp-aktiv.ru/catalog/materialy/ehlektrotekhnicheskie-materialy/2000072314-U117/","Открыть позицию")</x:f>
        <x:v>Открыть позицию</x:v>
      </x:c>
    </x:row>
    <x:row r="80" ht="28" customHeight="1">
      <x:c r="A80" s="16" t="str">
        <x:v>Приморская ГРЭС</x:v>
      </x:c>
      <x:c r="B80" s="16" t="str">
        <x:v>2000128952-U117</x:v>
      </x:c>
      <x:c r="C80" s="16" t="str">
        <x:v>КОРОБКА ПРОТЯЖНАЯ У996 У2</x:v>
      </x:c>
      <x:c r="D80" s="16" t="str">
        <x:v>Осветительная продукция и изделия электроустановочные</x:v>
      </x:c>
      <x:c r="E80" s="16" t="str">
        <x:v>ШТ</x:v>
      </x:c>
      <x:c r="F80" s="21" t="n">
        <x:v>8</x:v>
      </x:c>
      <x:c r="G80" s="17" t="n">
        <x:v>200.0068</x:v>
      </x:c>
      <x:c r="H80" s="17" t="n">
        <x:f>G80*F80</x:f>
        <x:v>1600.0544</x:v>
      </x:c>
      <x:c r="I80" s="22" t="str">
        <x:f>HYPERLINK("https://etp-aktiv.ru/catalog/materialy/ehlektrotekhnicheskie-materialy/2000128952-U117/","Открыть позицию")</x:f>
        <x:v>Открыть позицию</x:v>
      </x:c>
    </x:row>
    <x:row r="81" ht="28" customHeight="1">
      <x:c r="A81" s="16" t="str">
        <x:v>Приморская ГРЭС</x:v>
      </x:c>
      <x:c r="B81" s="16" t="str">
        <x:v>2000605037-U117</x:v>
      </x:c>
      <x:c r="C81" s="16" t="str">
        <x:v>КОРОБКА РАСПРЕД ПРОВЕНТО MBS 15.20.08</x:v>
      </x:c>
      <x:c r="D81" s="16" t="str">
        <x:v>Осветительная продукция и изделия электроустановочные</x:v>
      </x:c>
      <x:c r="E81" s="16" t="str">
        <x:v>ШТ</x:v>
      </x:c>
      <x:c r="F81" s="21" t="n">
        <x:v>6</x:v>
      </x:c>
      <x:c r="G81" s="17" t="n">
        <x:v>1450.0066</x:v>
      </x:c>
      <x:c r="H81" s="17" t="n">
        <x:f>G81*F81</x:f>
        <x:v>8700.0396</x:v>
      </x:c>
      <x:c r="I81" s="22" t="str">
        <x:f>HYPERLINK("https://etp-aktiv.ru/catalog/materialy/ehlektrotekhnicheskie-materialy/2000605037-U117/","Открыть позицию")</x:f>
        <x:v>Открыть позицию</x:v>
      </x:c>
    </x:row>
    <x:row r="82" ht="28" customHeight="1">
      <x:c r="A82" s="16" t="str">
        <x:v>Приморская ГРЭС</x:v>
      </x:c>
      <x:c r="B82" s="16" t="str">
        <x:v>2000944578-U117</x:v>
      </x:c>
      <x:c r="C82" s="16" t="str">
        <x:v>КОРОБКА СОЕДИНИТ КС-4 IP40 0,5А/36В</x:v>
      </x:c>
      <x:c r="D82" s="16" t="str">
        <x:v>Осветительная продукция и изделия электроустановочные</x:v>
      </x:c>
      <x:c r="E82" s="16" t="str">
        <x:v>ШТ</x:v>
      </x:c>
      <x:c r="F82" s="21" t="n">
        <x:v>54</x:v>
      </x:c>
      <x:c r="G82" s="17" t="n">
        <x:v>30.597599999999996</x:v>
      </x:c>
      <x:c r="H82" s="17" t="n">
        <x:f>G82*F82</x:f>
        <x:v>1652.2703999999999</x:v>
      </x:c>
      <x:c r="I82" s="22" t="str">
        <x:f>HYPERLINK("https://etp-aktiv.ru/catalog/materialy/ehlektrotekhnicheskie-materialy/2000944578-U117/","Открыть позицию")</x:f>
        <x:v>Открыть позицию</x:v>
      </x:c>
    </x:row>
    <x:row r="83" ht="28" customHeight="1">
      <x:c r="A83" s="16" t="str">
        <x:v>Приморская ГРЭС</x:v>
      </x:c>
      <x:c r="B83" s="16" t="str">
        <x:v>2000286818-U117</x:v>
      </x:c>
      <x:c r="C83" s="16" t="str">
        <x:v>КРЕПЛЕНИЕ DV-920</x:v>
      </x:c>
      <x:c r="D83" s="16" t="str">
        <x:v>Низковольтная аппаратура и запасные части</x:v>
      </x:c>
      <x:c r="E83" s="16" t="str">
        <x:v>ШТ</x:v>
      </x:c>
      <x:c r="F83" s="21" t="n">
        <x:v>10</x:v>
      </x:c>
      <x:c r="G83" s="17" t="n">
        <x:v>64.965</x:v>
      </x:c>
      <x:c r="H83" s="17" t="n">
        <x:f>G83*F83</x:f>
        <x:v>649.6500000000001</x:v>
      </x:c>
      <x:c r="I83" s="22" t="str">
        <x:f>HYPERLINK("https://etp-aktiv.ru/catalog/materialy/nizkovoltnaya-apparatura-i-zapasnye-chasti/2000286818-U117/","Открыть позицию")</x:f>
        <x:v>Открыть позицию</x:v>
      </x:c>
    </x:row>
    <x:row r="84" ht="28" customHeight="1">
      <x:c r="A84" s="16" t="str">
        <x:v>Приморская ГРЭС</x:v>
      </x:c>
      <x:c r="B84" s="16" t="str">
        <x:v>2000719721-U117</x:v>
      </x:c>
      <x:c r="C84" s="16" t="str">
        <x:v>ЛАМПА GAUSS LED ELEMENTARY A67 70235</x:v>
      </x:c>
      <x:c r="D84" s="16" t="str">
        <x:v>Осветительная продукция и изделия электроустановочные</x:v>
      </x:c>
      <x:c r="E84" s="16" t="str">
        <x:v>ШТ</x:v>
      </x:c>
      <x:c r="F84" s="21" t="n">
        <x:v>50</x:v>
      </x:c>
      <x:c r="G84" s="17" t="n">
        <x:v>78.4582</x:v>
      </x:c>
      <x:c r="H84" s="17" t="n">
        <x:f>G84*F84</x:f>
        <x:v>3922.9100000000003</x:v>
      </x:c>
      <x:c r="I84" s="22" t="str">
        <x:f>HYPERLINK("https://etp-aktiv.ru/catalog/materialy/ehlektrotekhnicheskie-materialy/2000719721-U117/","Открыть позицию")</x:f>
        <x:v>Открыть позицию</x:v>
      </x:c>
    </x:row>
    <x:row r="85" ht="28" customHeight="1">
      <x:c r="A85" s="16" t="str">
        <x:v>Приморская ГРЭС</x:v>
      </x:c>
      <x:c r="B85" s="16" t="str">
        <x:v>2000545187-U117</x:v>
      </x:c>
      <x:c r="C85" s="16" t="str">
        <x:v>ЛАМПА LED BX2-21GN 36ВТ E27</x:v>
      </x:c>
      <x:c r="D85" s="16" t="str">
        <x:v>Осветительная продукция и изделия электроустановочные</x:v>
      </x:c>
      <x:c r="E85" s="16" t="str">
        <x:v>ШТ</x:v>
      </x:c>
      <x:c r="F85" s="21" t="n">
        <x:v>10</x:v>
      </x:c>
      <x:c r="G85" s="17" t="n">
        <x:v>347.7</x:v>
      </x:c>
      <x:c r="H85" s="17" t="n">
        <x:f>G85*F85</x:f>
        <x:v>3477</x:v>
      </x:c>
      <x:c r="I85" s="22" t="str">
        <x:f>HYPERLINK("https://etp-aktiv.ru/catalog/materialy/ehlektrotekhnicheskie-materialy/2000545187-U117/","Открыть позицию")</x:f>
        <x:v>Открыть позицию</x:v>
      </x:c>
    </x:row>
    <x:row r="86" ht="28" customHeight="1">
      <x:c r="A86" s="16" t="str">
        <x:v>Приморская ГРЭС</x:v>
      </x:c>
      <x:c r="B86" s="16" t="str">
        <x:v>2000734170-U117</x:v>
      </x:c>
      <x:c r="C86" s="16" t="str">
        <x:v>ЛАМПА LED POWER 30W6500E27 Б0027004 30ВТ</x:v>
      </x:c>
      <x:c r="D86" s="16" t="str">
        <x:v>Осветительная продукция и изделия электроустановочные</x:v>
      </x:c>
      <x:c r="E86" s="16" t="str">
        <x:v>ШТ</x:v>
      </x:c>
      <x:c r="F86" s="21" t="n">
        <x:v>135</x:v>
      </x:c>
      <x:c r="G86" s="17" t="n">
        <x:v>183</x:v>
      </x:c>
      <x:c r="H86" s="17" t="n">
        <x:f>G86*F86</x:f>
        <x:v>24705</x:v>
      </x:c>
      <x:c r="I86" s="22" t="str">
        <x:f>HYPERLINK("https://etp-aktiv.ru/catalog/materialy/ehlektrotekhnicheskie-materialy/2000734170-U117/","Открыть позицию")</x:f>
        <x:v>Открыть позицию</x:v>
      </x:c>
    </x:row>
    <x:row r="87" ht="28" customHeight="1">
      <x:c r="A87" s="16" t="str">
        <x:v>Приморская ГРЭС</x:v>
      </x:c>
      <x:c r="B87" s="16" t="str">
        <x:v>2000567029-U117</x:v>
      </x:c>
      <x:c r="C87" s="16" t="str">
        <x:v>ЛАМПА LED-HP NEOX 230 3200 E40 40ВТ E27</x:v>
      </x:c>
      <x:c r="D87" s="16" t="str">
        <x:v>Осветительная продукция и изделия электроустановочные</x:v>
      </x:c>
      <x:c r="E87" s="16" t="str">
        <x:v>ШТ</x:v>
      </x:c>
      <x:c r="F87" s="21" t="n">
        <x:v>20</x:v>
      </x:c>
      <x:c r="G87" s="17" t="n">
        <x:v>294.081</x:v>
      </x:c>
      <x:c r="H87" s="17" t="n">
        <x:f>G87*F87</x:f>
        <x:v>5881.620000000001</x:v>
      </x:c>
      <x:c r="I87" s="22" t="str">
        <x:f>HYPERLINK("https://etp-aktiv.ru/catalog/materialy/ehlektrotekhnicheskie-materialy/2000567029-U117/","Открыть позицию")</x:f>
        <x:v>Открыть позицию</x:v>
      </x:c>
    </x:row>
    <x:row r="88" ht="28" customHeight="1">
      <x:c r="A88" s="16" t="str">
        <x:v>Приморская ГРЭС</x:v>
      </x:c>
      <x:c r="B88" s="16" t="str">
        <x:v>2000733472-U117</x:v>
      </x:c>
      <x:c r="C88" s="16" t="str">
        <x:v>ЛАМПА OSRAM LUMILUX T8 L36W/865 36ВТ G13</x:v>
      </x:c>
      <x:c r="D88" s="16" t="str">
        <x:v>Осветительная продукция и изделия электроустановочные</x:v>
      </x:c>
      <x:c r="E88" s="16" t="str">
        <x:v>ШТ</x:v>
      </x:c>
      <x:c r="F88" s="21" t="n">
        <x:v>2</x:v>
      </x:c>
      <x:c r="G88" s="17" t="n">
        <x:v>59.047999999999995</x:v>
      </x:c>
      <x:c r="H88" s="17" t="n">
        <x:f>G88*F88</x:f>
        <x:v>118.09599999999999</x:v>
      </x:c>
      <x:c r="I88" s="22" t="str">
        <x:f>HYPERLINK("https://etp-aktiv.ru/catalog/materialy/ehlektrotekhnicheskie-materialy/2000733472-U117/","Открыть позицию")</x:f>
        <x:v>Открыть позицию</x:v>
      </x:c>
    </x:row>
    <x:row r="89" ht="28" customHeight="1">
      <x:c r="A89" s="16" t="str">
        <x:v>Приморская ГРЭС</x:v>
      </x:c>
      <x:c r="B89" s="16" t="str">
        <x:v>2000545249-U117</x:v>
      </x:c>
      <x:c r="C89" s="16" t="str">
        <x:v>ЛАМПА PLED-ECO-А60 11ВТ E27</x:v>
      </x:c>
      <x:c r="D89" s="16" t="str">
        <x:v>Осветительная продукция и изделия электроустановочные</x:v>
      </x:c>
      <x:c r="E89" s="16" t="str">
        <x:v>ШТ</x:v>
      </x:c>
      <x:c r="F89" s="21" t="n">
        <x:v>102</x:v>
      </x:c>
      <x:c r="G89" s="17" t="n">
        <x:v>41.248200000000004</x:v>
      </x:c>
      <x:c r="H89" s="17" t="n">
        <x:f>G89*F89</x:f>
        <x:v>4207.316400000001</x:v>
      </x:c>
      <x:c r="I89" s="22" t="str">
        <x:f>HYPERLINK("https://etp-aktiv.ru/catalog/materialy/ehlektrotekhnicheskie-materialy/2000545249-U117/","Открыть позицию")</x:f>
        <x:v>Открыть позицию</x:v>
      </x:c>
    </x:row>
    <x:row r="90" ht="28" customHeight="1">
      <x:c r="A90" s="16" t="str">
        <x:v>Приморская ГРЭС</x:v>
      </x:c>
      <x:c r="B90" s="16" t="str">
        <x:v>2000140601-U117</x:v>
      </x:c>
      <x:c r="C90" s="16" t="str">
        <x:v>ЛАМПА Б 100ВТ Е27</x:v>
      </x:c>
      <x:c r="D90" s="16" t="str">
        <x:v>Осветительная продукция и изделия электроустановочные</x:v>
      </x:c>
      <x:c r="E90" s="16" t="str">
        <x:v>ШТ</x:v>
      </x:c>
      <x:c r="F90" s="21" t="n">
        <x:v>68</x:v>
      </x:c>
      <x:c r="G90" s="17" t="n">
        <x:v>10.98</x:v>
      </x:c>
      <x:c r="H90" s="17" t="n">
        <x:f>G90*F90</x:f>
        <x:v>746.64</x:v>
      </x:c>
      <x:c r="I90" s="22" t="str">
        <x:f>HYPERLINK("https://etp-aktiv.ru/catalog/materialy/ehlektrotekhnicheskie-materialy/2000140601-U117/","Открыть позицию")</x:f>
        <x:v>Открыть позицию</x:v>
      </x:c>
    </x:row>
    <x:row r="91" ht="28" customHeight="1">
      <x:c r="A91" s="16" t="str">
        <x:v>Приморская ГРЭС</x:v>
      </x:c>
      <x:c r="B91" s="16" t="str">
        <x:v>2000140604-U117</x:v>
      </x:c>
      <x:c r="C91" s="16" t="str">
        <x:v>ЛАМПА Б 235-245-60 60ВТ Е27</x:v>
      </x:c>
      <x:c r="D91" s="16" t="str">
        <x:v>Осветительная продукция и изделия электроустановочные</x:v>
      </x:c>
      <x:c r="E91" s="16" t="str">
        <x:v>ШТ</x:v>
      </x:c>
      <x:c r="F91" s="21" t="n">
        <x:v>215</x:v>
      </x:c>
      <x:c r="G91" s="17" t="n">
        <x:v>10.3822</x:v>
      </x:c>
      <x:c r="H91" s="17" t="n">
        <x:f>G91*F91</x:f>
        <x:v>2232.173</x:v>
      </x:c>
      <x:c r="I91" s="22" t="str">
        <x:f>HYPERLINK("https://etp-aktiv.ru/catalog/materialy/ehlektrotekhnicheskie-materialy/2000140604-U117/","Открыть позицию")</x:f>
        <x:v>Открыть позицию</x:v>
      </x:c>
    </x:row>
    <x:row r="92" ht="28" customHeight="1">
      <x:c r="A92" s="16" t="str">
        <x:v>Приморская ГРЭС</x:v>
      </x:c>
      <x:c r="B92" s="16" t="str">
        <x:v>2000140598-U117</x:v>
      </x:c>
      <x:c r="C92" s="16" t="str">
        <x:v>ЛАМПА Б 75ВТ Е27</x:v>
      </x:c>
      <x:c r="D92" s="16" t="str">
        <x:v>Осветительная продукция и изделия электроустановочные</x:v>
      </x:c>
      <x:c r="E92" s="16" t="str">
        <x:v>ШТ</x:v>
      </x:c>
      <x:c r="F92" s="21" t="n">
        <x:v>18</x:v>
      </x:c>
      <x:c r="G92" s="17" t="n">
        <x:v>12.4684</x:v>
      </x:c>
      <x:c r="H92" s="17" t="n">
        <x:f>G92*F92</x:f>
        <x:v>224.43120000000002</x:v>
      </x:c>
      <x:c r="I92" s="22" t="str">
        <x:f>HYPERLINK("https://etp-aktiv.ru/catalog/materialy/ehlektrotekhnicheskie-materialy/2000140598-U117/","Открыть позицию")</x:f>
        <x:v>Открыть позицию</x:v>
      </x:c>
    </x:row>
    <x:row r="93" ht="28" customHeight="1">
      <x:c r="A93" s="16" t="str">
        <x:v>Приморская ГРЭС</x:v>
      </x:c>
      <x:c r="B93" s="16" t="str">
        <x:v>2000002618-U117</x:v>
      </x:c>
      <x:c r="C93" s="16" t="str">
        <x:v>ЛАМПА ГАЛОГЕННАЯ АКГ 24*75*70</x:v>
      </x:c>
      <x:c r="D93" s="16" t="str">
        <x:v>Осветительная продукция и изделия электроустановочные</x:v>
      </x:c>
      <x:c r="E93" s="16" t="str">
        <x:v>ШТ</x:v>
      </x:c>
      <x:c r="F93" s="21" t="n">
        <x:v>300</x:v>
      </x:c>
      <x:c r="G93" s="17" t="n">
        <x:v>62.6836</x:v>
      </x:c>
      <x:c r="H93" s="17" t="n">
        <x:f>G93*F93</x:f>
        <x:v>18805.079999999998</x:v>
      </x:c>
      <x:c r="I93" s="22" t="str">
        <x:f>HYPERLINK("https://etp-aktiv.ru/catalog/materialy/ehlektrotekhnicheskie-materialy/2000002618-U117/","Открыть позицию")</x:f>
        <x:v>Открыть позицию</x:v>
      </x:c>
    </x:row>
    <x:row r="94" ht="28" customHeight="1">
      <x:c r="A94" s="16" t="str">
        <x:v>Приморская ГРЭС</x:v>
      </x:c>
      <x:c r="B94" s="16" t="str">
        <x:v>2000006999-U117</x:v>
      </x:c>
      <x:c r="C94" s="16" t="str">
        <x:v>ЛАМПА ГАЛОГЕННАЯ КГМ 75*600</x:v>
      </x:c>
      <x:c r="D94" s="16" t="str">
        <x:v>Осветительная продукция и изделия электроустановочные</x:v>
      </x:c>
      <x:c r="E94" s="16" t="str">
        <x:v>ШТ</x:v>
      </x:c>
      <x:c r="F94" s="21" t="n">
        <x:v>26</x:v>
      </x:c>
      <x:c r="G94" s="17" t="n">
        <x:v>1777.1496</x:v>
      </x:c>
      <x:c r="H94" s="17" t="n">
        <x:f>G94*F94</x:f>
        <x:v>46205.8896</x:v>
      </x:c>
      <x:c r="I94" s="22" t="str">
        <x:f>HYPERLINK("https://etp-aktiv.ru/catalog/materialy/ehlektrotekhnicheskie-materialy/2000006999-U117/","Открыть позицию")</x:f>
        <x:v>Открыть позицию</x:v>
      </x:c>
    </x:row>
    <x:row r="95" ht="28" customHeight="1">
      <x:c r="A95" s="16" t="str">
        <x:v>Приморская ГРЭС</x:v>
      </x:c>
      <x:c r="B95" s="16" t="str">
        <x:v>2000029290-U117</x:v>
      </x:c>
      <x:c r="C95" s="16" t="str">
        <x:v>ЛАМПА ДНАТ 250 250ВТ Е40</x:v>
      </x:c>
      <x:c r="D95" s="16" t="str">
        <x:v>Осветительная продукция и изделия электроустановочные</x:v>
      </x:c>
      <x:c r="E95" s="16" t="str">
        <x:v>ШТ</x:v>
      </x:c>
      <x:c r="F95" s="21" t="n">
        <x:v>8</x:v>
      </x:c>
      <x:c r="G95" s="17" t="n">
        <x:v>249.2948</x:v>
      </x:c>
      <x:c r="H95" s="17" t="n">
        <x:f>G95*F95</x:f>
        <x:v>1994.3584</x:v>
      </x:c>
      <x:c r="I95" s="22" t="str">
        <x:f>HYPERLINK("https://etp-aktiv.ru/catalog/materialy/ehlektrotekhnicheskie-materialy/2000029290-U117/","Открыть позицию")</x:f>
        <x:v>Открыть позицию</x:v>
      </x:c>
    </x:row>
    <x:row r="96" ht="28" customHeight="1">
      <x:c r="A96" s="16" t="str">
        <x:v>Приморская ГРЭС</x:v>
      </x:c>
      <x:c r="B96" s="16" t="str">
        <x:v>2000242770-U117</x:v>
      </x:c>
      <x:c r="C96" s="16" t="str">
        <x:v>ЛАМПА ДРВ ELMAKST EL-HPMB 250ВТ Е40</x:v>
      </x:c>
      <x:c r="D96" s="16" t="str">
        <x:v>Осветительная продукция и изделия электроустановочные</x:v>
      </x:c>
      <x:c r="E96" s="16" t="str">
        <x:v>ШТ</x:v>
      </x:c>
      <x:c r="F96" s="21" t="n">
        <x:v>20</x:v>
      </x:c>
      <x:c r="G96" s="17" t="n">
        <x:v>295.2278</x:v>
      </x:c>
      <x:c r="H96" s="17" t="n">
        <x:f>G96*F96</x:f>
        <x:v>5904.5560000000005</x:v>
      </x:c>
      <x:c r="I96" s="22" t="str">
        <x:f>HYPERLINK("https://etp-aktiv.ru/catalog/materialy/ehlektrotekhnicheskie-materialy/2000242770-U117/","Открыть позицию")</x:f>
        <x:v>Открыть позицию</x:v>
      </x:c>
    </x:row>
    <x:row r="97" ht="28" customHeight="1">
      <x:c r="A97" s="16" t="str">
        <x:v>Приморская ГРЭС</x:v>
      </x:c>
      <x:c r="B97" s="16" t="str">
        <x:v>2000242769-U117</x:v>
      </x:c>
      <x:c r="C97" s="16" t="str">
        <x:v>ЛАМПА ДРВ ELMAKST EL-HPMB 500ВТ Е40</x:v>
      </x:c>
      <x:c r="D97" s="16" t="str">
        <x:v>Осветительная продукция и изделия электроустановочные</x:v>
      </x:c>
      <x:c r="E97" s="16" t="str">
        <x:v>ШТ</x:v>
      </x:c>
      <x:c r="F97" s="21" t="n">
        <x:v>20</x:v>
      </x:c>
      <x:c r="G97" s="17" t="n">
        <x:v>449.997</x:v>
      </x:c>
      <x:c r="H97" s="17" t="n">
        <x:f>G97*F97</x:f>
        <x:v>8999.94</x:v>
      </x:c>
      <x:c r="I97" s="22" t="str">
        <x:f>HYPERLINK("https://etp-aktiv.ru/catalog/materialy/ehlektrotekhnicheskie-materialy/2000242769-U117/","Открыть позицию")</x:f>
        <x:v>Открыть позицию</x:v>
      </x:c>
    </x:row>
    <x:row r="98" ht="28" customHeight="1">
      <x:c r="A98" s="16" t="str">
        <x:v>Приморская ГРЭС</x:v>
      </x:c>
      <x:c r="B98" s="16" t="str">
        <x:v>2000545186-U117</x:v>
      </x:c>
      <x:c r="C98" s="16" t="str">
        <x:v>ЛАМПА ДРВ-160 160ВТ E27</x:v>
      </x:c>
      <x:c r="D98" s="16" t="str">
        <x:v>Осветительная продукция и изделия электроустановочные</x:v>
      </x:c>
      <x:c r="E98" s="16" t="str">
        <x:v>ШТ</x:v>
      </x:c>
      <x:c r="F98" s="21" t="n">
        <x:v>72</x:v>
      </x:c>
      <x:c r="G98" s="17" t="n">
        <x:v>190.0028</x:v>
      </x:c>
      <x:c r="H98" s="17" t="n">
        <x:f>G98*F98</x:f>
        <x:v>13680.2016</x:v>
      </x:c>
      <x:c r="I98" s="22" t="str">
        <x:f>HYPERLINK("https://etp-aktiv.ru/catalog/materialy/ehlektrotekhnicheskie-materialy/2000545186-U117/","Открыть позицию")</x:f>
        <x:v>Открыть позицию</x:v>
      </x:c>
    </x:row>
    <x:row r="99" ht="28" customHeight="1">
      <x:c r="A99" s="16" t="str">
        <x:v>Приморская ГРЭС</x:v>
      </x:c>
      <x:c r="B99" s="16" t="str">
        <x:v>2000189979-U117</x:v>
      </x:c>
      <x:c r="C99" s="16" t="str">
        <x:v>ЛАМПА ДРЛ 125ВТ Е27</x:v>
      </x:c>
      <x:c r="D99" s="16" t="str">
        <x:v>Осветительная продукция и изделия электроустановочные</x:v>
      </x:c>
      <x:c r="E99" s="16" t="str">
        <x:v>ШТ</x:v>
      </x:c>
      <x:c r="F99" s="21" t="n">
        <x:v>32</x:v>
      </x:c>
      <x:c r="G99" s="17" t="n">
        <x:v>100.02779999999998</x:v>
      </x:c>
      <x:c r="H99" s="17" t="n">
        <x:f>G99*F99</x:f>
        <x:v>3200.8895999999995</x:v>
      </x:c>
      <x:c r="I99" s="22" t="str">
        <x:f>HYPERLINK("https://etp-aktiv.ru/catalog/materialy/ehlektrotekhnicheskie-materialy/2000189979-U117/","Открыть позицию")</x:f>
        <x:v>Открыть позицию</x:v>
      </x:c>
    </x:row>
    <x:row r="100" ht="28" customHeight="1">
      <x:c r="A100" s="16" t="str">
        <x:v>Приморская ГРЭС</x:v>
      </x:c>
      <x:c r="B100" s="16" t="str">
        <x:v>2000140580-U117</x:v>
      </x:c>
      <x:c r="C100" s="16" t="str">
        <x:v>ЛАМПА ДРЛ 400ВТ Е40</x:v>
      </x:c>
      <x:c r="D100" s="16" t="str">
        <x:v>Осветительная продукция и изделия электроустановочные</x:v>
      </x:c>
      <x:c r="E100" s="16" t="str">
        <x:v>ШТ</x:v>
      </x:c>
      <x:c r="F100" s="21" t="n">
        <x:v>40</x:v>
      </x:c>
      <x:c r="G100" s="17" t="n">
        <x:v>230.0066</x:v>
      </x:c>
      <x:c r="H100" s="17" t="n">
        <x:f>G100*F100</x:f>
        <x:v>9200.264</x:v>
      </x:c>
      <x:c r="I100" s="22" t="str">
        <x:f>HYPERLINK("https://etp-aktiv.ru/catalog/materialy/ehlektrotekhnicheskie-materialy/2000140580-U117/","Открыть позицию")</x:f>
        <x:v>Открыть позицию</x:v>
      </x:c>
    </x:row>
    <x:row r="101" ht="28" customHeight="1">
      <x:c r="A101" s="16" t="str">
        <x:v>Приморская ГРЭС</x:v>
      </x:c>
      <x:c r="B101" s="16" t="str">
        <x:v>2000694408-U117</x:v>
      </x:c>
      <x:c r="C101" s="16" t="str">
        <x:v>ЛАМПА ИНДУКЦИОН LVD VENUS 15ВТ E27 5000K</x:v>
      </x:c>
      <x:c r="D101" s="16" t="str">
        <x:v>Осветительная продукция и изделия электроустановочные</x:v>
      </x:c>
      <x:c r="E101" s="16" t="str">
        <x:v>ШТ</x:v>
      </x:c>
      <x:c r="F101" s="21" t="n">
        <x:v>2</x:v>
      </x:c>
      <x:c r="G101" s="17" t="n">
        <x:v>2175.2966</x:v>
      </x:c>
      <x:c r="H101" s="17" t="n">
        <x:f>G101*F101</x:f>
        <x:v>4350.5932</x:v>
      </x:c>
      <x:c r="I101" s="22" t="str">
        <x:f>HYPERLINK("https://etp-aktiv.ru/catalog/materialy/ehlektrotekhnicheskie-materialy/2000694408-U117/","Открыть позицию")</x:f>
        <x:v>Открыть позицию</x:v>
      </x:c>
    </x:row>
    <x:row r="102" ht="28" customHeight="1">
      <x:c r="A102" s="16" t="str">
        <x:v>Приморская ГРЭС</x:v>
      </x:c>
      <x:c r="B102" s="16" t="str">
        <x:v>2000694409-U117</x:v>
      </x:c>
      <x:c r="C102" s="16" t="str">
        <x:v>ЛАМПА ИНДУКЦИОН LVD VENUS 23ВТ E27 5000K</x:v>
      </x:c>
      <x:c r="D102" s="16" t="str">
        <x:v>Осветительная продукция и изделия электроустановочные</x:v>
      </x:c>
      <x:c r="E102" s="16" t="str">
        <x:v>ШТ</x:v>
      </x:c>
      <x:c r="F102" s="21" t="n">
        <x:v>80</x:v>
      </x:c>
      <x:c r="G102" s="17" t="n">
        <x:v>2992.0499999999997</x:v>
      </x:c>
      <x:c r="H102" s="17" t="n">
        <x:f>G102*F102</x:f>
        <x:v>239363.99999999997</x:v>
      </x:c>
      <x:c r="I102" s="22" t="str">
        <x:f>HYPERLINK("https://etp-aktiv.ru/catalog/materialy/ehlektrotekhnicheskie-materialy/2000694409-U117/","Открыть позицию")</x:f>
        <x:v>Открыть позицию</x:v>
      </x:c>
    </x:row>
    <x:row r="103" ht="28" customHeight="1">
      <x:c r="A103" s="16" t="str">
        <x:v>Приморская ГРЭС</x:v>
      </x:c>
      <x:c r="B103" s="16" t="str">
        <x:v>2000698609-U117</x:v>
      </x:c>
      <x:c r="C103" s="16" t="str">
        <x:v>ЛАМПА КГМ12-10-2 10ВТ G4</x:v>
      </x:c>
      <x:c r="D103" s="16" t="str">
        <x:v>Осветительная продукция и изделия электроустановочные</x:v>
      </x:c>
      <x:c r="E103" s="16" t="str">
        <x:v>ШТ</x:v>
      </x:c>
      <x:c r="F103" s="21" t="n">
        <x:v>2</x:v>
      </x:c>
      <x:c r="G103" s="17" t="n">
        <x:v>539.2522</x:v>
      </x:c>
      <x:c r="H103" s="17" t="n">
        <x:f>G103*F103</x:f>
        <x:v>1078.5044</x:v>
      </x:c>
      <x:c r="I103" s="22" t="str">
        <x:f>HYPERLINK("https://etp-aktiv.ru/catalog/materialy/ehlektrotekhnicheskie-materialy/2000698609-U117/","Открыть позицию")</x:f>
        <x:v>Открыть позицию</x:v>
      </x:c>
    </x:row>
    <x:row r="104" ht="28" customHeight="1">
      <x:c r="A104" s="16" t="str">
        <x:v>Приморская ГРЭС</x:v>
      </x:c>
      <x:c r="B104" s="16" t="str">
        <x:v>2000240945-U117</x:v>
      </x:c>
      <x:c r="C104" s="16" t="str">
        <x:v>ЛАМПА КЛЛ FS 20ВТ Е27</x:v>
      </x:c>
      <x:c r="D104" s="16" t="str">
        <x:v>Осветительная продукция и изделия электроустановочные</x:v>
      </x:c>
      <x:c r="E104" s="16" t="str">
        <x:v>ШТ</x:v>
      </x:c>
      <x:c r="F104" s="21" t="n">
        <x:v>30</x:v>
      </x:c>
      <x:c r="G104" s="17" t="n">
        <x:v>226.92</x:v>
      </x:c>
      <x:c r="H104" s="17" t="n">
        <x:f>G104*F104</x:f>
        <x:v>6807.599999999999</x:v>
      </x:c>
      <x:c r="I104" s="22" t="str">
        <x:f>HYPERLINK("https://etp-aktiv.ru/catalog/materialy/ehlektrotekhnicheskie-materialy/2000240945-U117/","Открыть позицию")</x:f>
        <x:v>Открыть позицию</x:v>
      </x:c>
    </x:row>
    <x:row r="105" ht="28" customHeight="1">
      <x:c r="A105" s="16" t="str">
        <x:v>Приморская ГРЭС</x:v>
      </x:c>
      <x:c r="B105" s="16" t="str">
        <x:v>2000545288-U117</x:v>
      </x:c>
      <x:c r="C105" s="16" t="str">
        <x:v>ЛАМПА КОММУТАТОРНАЯ КМ 60-55 3,5ВТ T6.8</x:v>
      </x:c>
      <x:c r="D105" s="16" t="str">
        <x:v>Осветительная продукция и изделия электроустановочные</x:v>
      </x:c>
      <x:c r="E105" s="16" t="str">
        <x:v>ШТ</x:v>
      </x:c>
      <x:c r="F105" s="21" t="n">
        <x:v>900</x:v>
      </x:c>
      <x:c r="G105" s="17" t="n">
        <x:v>19.886</x:v>
      </x:c>
      <x:c r="H105" s="17" t="n">
        <x:f>G105*F105</x:f>
        <x:v>17897.399999999998</x:v>
      </x:c>
      <x:c r="I105" s="22" t="str">
        <x:f>HYPERLINK("https://etp-aktiv.ru/catalog/materialy/ehlektrotekhnicheskie-materialy/2000545288-U117/","Открыть позицию")</x:f>
        <x:v>Открыть позицию</x:v>
      </x:c>
    </x:row>
    <x:row r="106" ht="28" customHeight="1">
      <x:c r="A106" s="16" t="str">
        <x:v>Приморская ГРЭС</x:v>
      </x:c>
      <x:c r="B106" s="16" t="str">
        <x:v>2000148728-U117</x:v>
      </x:c>
      <x:c r="C106" s="16" t="str">
        <x:v>ЛАМПА ЛОН 220*60ВТ Е27</x:v>
      </x:c>
      <x:c r="D106" s="16" t="str">
        <x:v>Осветительная продукция и изделия электроустановочные</x:v>
      </x:c>
      <x:c r="E106" s="16" t="str">
        <x:v>ШТ</x:v>
      </x:c>
      <x:c r="F106" s="21" t="n">
        <x:v>400</x:v>
      </x:c>
      <x:c r="G106" s="17" t="n">
        <x:v>14.2252</x:v>
      </x:c>
      <x:c r="H106" s="17" t="n">
        <x:f>G106*F106</x:f>
        <x:v>5690.08</x:v>
      </x:c>
      <x:c r="I106" s="22" t="str">
        <x:f>HYPERLINK("https://etp-aktiv.ru/catalog/materialy/ehlektrotekhnicheskie-materialy/2000148728-U117/","Открыть позицию")</x:f>
        <x:v>Открыть позицию</x:v>
      </x:c>
    </x:row>
    <x:row r="107" ht="28" customHeight="1">
      <x:c r="A107" s="16" t="str">
        <x:v>Приморская ГРЭС</x:v>
      </x:c>
      <x:c r="B107" s="16" t="str">
        <x:v>2000545109-U117</x:v>
      </x:c>
      <x:c r="C107" s="16" t="str">
        <x:v>ЛАМПА ЛОН 230-240 93ВТ E27</x:v>
      </x:c>
      <x:c r="D107" s="16" t="str">
        <x:v>Осветительная продукция и изделия электроустановочные</x:v>
      </x:c>
      <x:c r="E107" s="16" t="str">
        <x:v>ШТ</x:v>
      </x:c>
      <x:c r="F107" s="21" t="n">
        <x:v>100</x:v>
      </x:c>
      <x:c r="G107" s="17" t="n">
        <x:v>11.407</x:v>
      </x:c>
      <x:c r="H107" s="17" t="n">
        <x:f>G107*F107</x:f>
        <x:v>1140.7</x:v>
      </x:c>
      <x:c r="I107" s="22" t="str">
        <x:f>HYPERLINK("https://etp-aktiv.ru/catalog/materialy/ehlektrotekhnicheskie-materialy/2000545109-U117/","Открыть позицию")</x:f>
        <x:v>Открыть позицию</x:v>
      </x:c>
    </x:row>
    <x:row r="108" ht="28" customHeight="1">
      <x:c r="A108" s="16" t="str">
        <x:v>Приморская ГРЭС</x:v>
      </x:c>
      <x:c r="B108" s="16" t="str">
        <x:v>2000386101-U117</x:v>
      </x:c>
      <x:c r="C108" s="16" t="str">
        <x:v>ЛАМПА ЛЮМИН FL36W/765 36ВТ G13</x:v>
      </x:c>
      <x:c r="D108" s="16" t="str">
        <x:v>Осветительная продукция и изделия электроустановочные</x:v>
      </x:c>
      <x:c r="E108" s="16" t="str">
        <x:v>ШТ</x:v>
      </x:c>
      <x:c r="F108" s="21" t="n">
        <x:v>12</x:v>
      </x:c>
      <x:c r="G108" s="17" t="n">
        <x:v>76.86</x:v>
      </x:c>
      <x:c r="H108" s="17" t="n">
        <x:f>G108*F108</x:f>
        <x:v>922.3199999999999</x:v>
      </x:c>
      <x:c r="I108" s="22" t="str">
        <x:f>HYPERLINK("https://etp-aktiv.ru/catalog/materialy/ehlektrotekhnicheskie-materialy/2000386101-U117/","Открыть позицию")</x:f>
        <x:v>Открыть позицию</x:v>
      </x:c>
    </x:row>
    <x:row r="109" ht="28" customHeight="1">
      <x:c r="A109" s="16" t="str">
        <x:v>Приморская ГРЭС</x:v>
      </x:c>
      <x:c r="B109" s="16" t="str">
        <x:v>2000881235-U117</x:v>
      </x:c>
      <x:c r="C109" s="16" t="str">
        <x:v>ЛАМПА МН 26-0,12 26В 0,12АВТ B9S/14</x:v>
      </x:c>
      <x:c r="D109" s="16" t="str">
        <x:v>Осветительная продукция и изделия электроустановочные</x:v>
      </x:c>
      <x:c r="E109" s="16" t="str">
        <x:v>ШТ</x:v>
      </x:c>
      <x:c r="F109" s="21" t="n">
        <x:v>40</x:v>
      </x:c>
      <x:c r="G109" s="17" t="n">
        <x:v>21.044999999999998</x:v>
      </x:c>
      <x:c r="H109" s="17" t="n">
        <x:f>G109*F109</x:f>
        <x:v>841.8</x:v>
      </x:c>
      <x:c r="I109" s="22" t="str">
        <x:f>HYPERLINK("https://etp-aktiv.ru/catalog/materialy/ehlektrotekhnicheskie-materialy/2000881235-U117/","Открыть позицию")</x:f>
        <x:v>Открыть позицию</x:v>
      </x:c>
    </x:row>
    <x:row r="110" ht="28" customHeight="1">
      <x:c r="A110" s="16" t="str">
        <x:v>Приморская ГРЭС</x:v>
      </x:c>
      <x:c r="B110" s="16" t="str">
        <x:v>2000866635-U117</x:v>
      </x:c>
      <x:c r="C110" s="16" t="str">
        <x:v>ЛАМПА МН-26-0,12-1 26В 0,12А E10/13</x:v>
      </x:c>
      <x:c r="D110" s="16" t="str">
        <x:v>Осветительная продукция и изделия электроустановочные</x:v>
      </x:c>
      <x:c r="E110" s="16" t="str">
        <x:v>ШТ</x:v>
      </x:c>
      <x:c r="F110" s="21" t="n">
        <x:v>100</x:v>
      </x:c>
      <x:c r="G110" s="17" t="n">
        <x:v>11.6022</x:v>
      </x:c>
      <x:c r="H110" s="17" t="n">
        <x:f>G110*F110</x:f>
        <x:v>1160.22</x:v>
      </x:c>
      <x:c r="I110" s="22" t="str">
        <x:f>HYPERLINK("https://etp-aktiv.ru/catalog/materialy/ehlektrotekhnicheskie-materialy/2000866635-U117/","Открыть позицию")</x:f>
        <x:v>Открыть позицию</x:v>
      </x:c>
    </x:row>
    <x:row r="111" ht="28" customHeight="1">
      <x:c r="A111" s="16" t="str">
        <x:v>Приморская ГРЭС</x:v>
      </x:c>
      <x:c r="B111" s="16" t="str">
        <x:v>2000545216-U117</x:v>
      </x:c>
      <x:c r="C111" s="16" t="str">
        <x:v>ЛАМПА МН-3,5-0,26 0,26А E10/13</x:v>
      </x:c>
      <x:c r="D111" s="16" t="str">
        <x:v>Осветительная продукция и изделия электроустановочные</x:v>
      </x:c>
      <x:c r="E111" s="16" t="str">
        <x:v>ШТ</x:v>
      </x:c>
      <x:c r="F111" s="21" t="n">
        <x:v>30</x:v>
      </x:c>
      <x:c r="G111" s="17" t="n">
        <x:v>13.7006</x:v>
      </x:c>
      <x:c r="H111" s="17" t="n">
        <x:f>G111*F111</x:f>
        <x:v>411.018</x:v>
      </x:c>
      <x:c r="I111" s="22" t="str">
        <x:f>HYPERLINK("https://etp-aktiv.ru/catalog/materialy/ehlektrotekhnicheskie-materialy/2000545216-U117/","Открыть позицию")</x:f>
        <x:v>Открыть позицию</x:v>
      </x:c>
    </x:row>
    <x:row r="112" ht="28" customHeight="1">
      <x:c r="A112" s="16" t="str">
        <x:v>Приморская ГРЭС</x:v>
      </x:c>
      <x:c r="B112" s="16" t="str">
        <x:v>2000000404-U117</x:v>
      </x:c>
      <x:c r="C112" s="16" t="str">
        <x:v>ЛАМПА МО 36*60 60ВТ Е27</x:v>
      </x:c>
      <x:c r="D112" s="16" t="str">
        <x:v>Осветительная продукция и изделия электроустановочные</x:v>
      </x:c>
      <x:c r="E112" s="16" t="str">
        <x:v>ШТ</x:v>
      </x:c>
      <x:c r="F112" s="21" t="n">
        <x:v>15</x:v>
      </x:c>
      <x:c r="G112" s="17" t="n">
        <x:v>13.7006</x:v>
      </x:c>
      <x:c r="H112" s="17" t="n">
        <x:f>G112*F112</x:f>
        <x:v>205.509</x:v>
      </x:c>
      <x:c r="I112" s="22" t="str">
        <x:f>HYPERLINK("https://etp-aktiv.ru/catalog/materialy/ehlektrotekhnicheskie-materialy/2000000404-U117/","Открыть позицию")</x:f>
        <x:v>Открыть позицию</x:v>
      </x:c>
    </x:row>
    <x:row r="113" ht="28" customHeight="1">
      <x:c r="A113" s="16" t="str">
        <x:v>Приморская ГРЭС</x:v>
      </x:c>
      <x:c r="B113" s="16" t="str">
        <x:v>2000224241-U117</x:v>
      </x:c>
      <x:c r="C113" s="16" t="str">
        <x:v>ЛАМПА НАКАЛИВАНИЯ Б 220-240-100 Е27</x:v>
      </x:c>
      <x:c r="D113" s="16" t="str">
        <x:v>Осветительная продукция и изделия электроустановочные</x:v>
      </x:c>
      <x:c r="E113" s="16" t="str">
        <x:v>ШТ</x:v>
      </x:c>
      <x:c r="F113" s="21" t="n">
        <x:v>110</x:v>
      </x:c>
      <x:c r="G113" s="17" t="n">
        <x:v>11.5534</x:v>
      </x:c>
      <x:c r="H113" s="17" t="n">
        <x:f>G113*F113</x:f>
        <x:v>1270.874</x:v>
      </x:c>
      <x:c r="I113" s="22" t="str">
        <x:f>HYPERLINK("https://etp-aktiv.ru/catalog/materialy/ehlektrotekhnicheskie-materialy/2000224241-U117/","Открыть позицию")</x:f>
        <x:v>Открыть позицию</x:v>
      </x:c>
    </x:row>
    <x:row r="114" ht="28" customHeight="1">
      <x:c r="A114" s="16" t="str">
        <x:v>Приморская ГРЭС</x:v>
      </x:c>
      <x:c r="B114" s="16" t="str">
        <x:v>2000000309-U117</x:v>
      </x:c>
      <x:c r="C114" s="16" t="str">
        <x:v>ЛАМПА НАКАЛИВАНИЯ Б 75ВТ Е27</x:v>
      </x:c>
      <x:c r="D114" s="16" t="str">
        <x:v>Осветительная продукция и изделия электроустановочные</x:v>
      </x:c>
      <x:c r="E114" s="16" t="str">
        <x:v>ШТ</x:v>
      </x:c>
      <x:c r="F114" s="21" t="n">
        <x:v>5</x:v>
      </x:c>
      <x:c r="G114" s="17" t="n">
        <x:v>12.7612</x:v>
      </x:c>
      <x:c r="H114" s="17" t="n">
        <x:f>G114*F114</x:f>
        <x:v>63.806000000000004</x:v>
      </x:c>
      <x:c r="I114" s="22" t="str">
        <x:f>HYPERLINK("https://etp-aktiv.ru/catalog/materialy/ehlektrotekhnicheskie-materialy/2000000309-U117/","Открыть позицию")</x:f>
        <x:v>Открыть позицию</x:v>
      </x:c>
    </x:row>
    <x:row r="115" ht="28" customHeight="1">
      <x:c r="A115" s="16" t="str">
        <x:v>Приморская ГРЭС</x:v>
      </x:c>
      <x:c r="B115" s="16" t="str">
        <x:v>2000451054-U117</x:v>
      </x:c>
      <x:c r="C115" s="16" t="str">
        <x:v>ЛАМПА СВЕТОДИОД LED-HP-STD 40ВТ Е40</x:v>
      </x:c>
      <x:c r="D115" s="16" t="str">
        <x:v>Осветительная продукция и изделия электроустановочные</x:v>
      </x:c>
      <x:c r="E115" s="16" t="str">
        <x:v>ШТ</x:v>
      </x:c>
      <x:c r="F115" s="21" t="n">
        <x:v>15</x:v>
      </x:c>
      <x:c r="G115" s="17" t="n">
        <x:v>175.7532</x:v>
      </x:c>
      <x:c r="H115" s="17" t="n">
        <x:f>G115*F115</x:f>
        <x:v>2636.298</x:v>
      </x:c>
      <x:c r="I115" s="22" t="str">
        <x:f>HYPERLINK("https://etp-aktiv.ru/catalog/materialy/ehlektrotekhnicheskie-materialy/2000451054-U117/","Открыть позицию")</x:f>
        <x:v>Открыть позицию</x:v>
      </x:c>
    </x:row>
    <x:row r="116" ht="28" customHeight="1">
      <x:c r="A116" s="16" t="str">
        <x:v>Приморская ГРЭС</x:v>
      </x:c>
      <x:c r="B116" s="16" t="str">
        <x:v>2000320446-U117</x:v>
      </x:c>
      <x:c r="C116" s="16" t="str">
        <x:v>ЛАМПА СВЕТОДИОДНАЯ AR111 14811 12ВТ Е27</x:v>
      </x:c>
      <x:c r="D116" s="16" t="str">
        <x:v>Осветительная продукция и изделия электроустановочные</x:v>
      </x:c>
      <x:c r="E116" s="16" t="str">
        <x:v>ШТ</x:v>
      </x:c>
      <x:c r="F116" s="21" t="n">
        <x:v>602</x:v>
      </x:c>
      <x:c r="G116" s="17" t="n">
        <x:v>93.9522</x:v>
      </x:c>
      <x:c r="H116" s="17" t="n">
        <x:f>G116*F116</x:f>
        <x:v>56559.22440000001</x:v>
      </x:c>
      <x:c r="I116" s="22" t="str">
        <x:f>HYPERLINK("https://etp-aktiv.ru/catalog/materialy/ehlektrotekhnicheskie-materialy/2000320446-U117/","Открыть позицию")</x:f>
        <x:v>Открыть позицию</x:v>
      </x:c>
    </x:row>
    <x:row r="117" ht="28" customHeight="1">
      <x:c r="A117" s="16" t="str">
        <x:v>Приморская ГРЭС</x:v>
      </x:c>
      <x:c r="B117" s="16" t="str">
        <x:v>2000441480-U117</x:v>
      </x:c>
      <x:c r="C117" s="16" t="str">
        <x:v>ЛАМПА СВЕТОДИОДНАЯ BC1-2UN 12ВТ Е27</x:v>
      </x:c>
      <x:c r="D117" s="16" t="str">
        <x:v>Осветительная продукция и изделия электроустановочные</x:v>
      </x:c>
      <x:c r="E117" s="16" t="str">
        <x:v>ШТ</x:v>
      </x:c>
      <x:c r="F117" s="21" t="n">
        <x:v>678</x:v>
      </x:c>
      <x:c r="G117" s="17" t="n">
        <x:v>164.6634</x:v>
      </x:c>
      <x:c r="H117" s="17" t="n">
        <x:f>G117*F117</x:f>
        <x:v>111641.7852</x:v>
      </x:c>
      <x:c r="I117" s="22" t="str">
        <x:f>HYPERLINK("https://etp-aktiv.ru/catalog/materialy/ehlektrotekhnicheskie-materialy/2000441480-U117/","Открыть позицию")</x:f>
        <x:v>Открыть позицию</x:v>
      </x:c>
    </x:row>
    <x:row r="118" ht="28" customHeight="1">
      <x:c r="A118" s="16" t="str">
        <x:v>Приморская ГРЭС</x:v>
      </x:c>
      <x:c r="B118" s="16" t="str">
        <x:v>2000267361-U117</x:v>
      </x:c>
      <x:c r="C118" s="16" t="str">
        <x:v>ЛАМПА СВЕТОДИОДНАЯ BR 8ВТ Е27</x:v>
      </x:c>
      <x:c r="D118" s="16" t="str">
        <x:v>Осветительная продукция и изделия электроустановочные</x:v>
      </x:c>
      <x:c r="E118" s="16" t="str">
        <x:v>ШТ</x:v>
      </x:c>
      <x:c r="F118" s="21" t="n">
        <x:v>500</x:v>
      </x:c>
      <x:c r="G118" s="17" t="n">
        <x:v>35.38</x:v>
      </x:c>
      <x:c r="H118" s="17" t="n">
        <x:f>G118*F118</x:f>
        <x:v>17690</x:v>
      </x:c>
      <x:c r="I118" s="22" t="str">
        <x:f>HYPERLINK("https://etp-aktiv.ru/catalog/materialy/ehlektrotekhnicheskie-materialy/2000267361-U117/","Открыть позицию")</x:f>
        <x:v>Открыть позицию</x:v>
      </x:c>
    </x:row>
    <x:row r="119" ht="28" customHeight="1">
      <x:c r="A119" s="16" t="str">
        <x:v>Приморская ГРЭС</x:v>
      </x:c>
      <x:c r="B119" s="16" t="str">
        <x:v>2000320447-U117</x:v>
      </x:c>
      <x:c r="C119" s="16" t="str">
        <x:v>ЛАМПА СВЕТОДИОДНАЯ GAUSS MR 16 220ВТ Е27</x:v>
      </x:c>
      <x:c r="D119" s="16" t="str">
        <x:v>Осветительная продукция и изделия электроустановочные</x:v>
      </x:c>
      <x:c r="E119" s="16" t="str">
        <x:v>ШТ</x:v>
      </x:c>
      <x:c r="F119" s="21" t="n">
        <x:v>596</x:v>
      </x:c>
      <x:c r="G119" s="17" t="n">
        <x:v>122.5246</x:v>
      </x:c>
      <x:c r="H119" s="17" t="n">
        <x:f>G119*F119</x:f>
        <x:v>73024.6616</x:v>
      </x:c>
      <x:c r="I119" s="22" t="str">
        <x:f>HYPERLINK("https://etp-aktiv.ru/catalog/materialy/ehlektrotekhnicheskie-materialy/2000320447-U117/","Открыть позицию")</x:f>
        <x:v>Открыть позицию</x:v>
      </x:c>
    </x:row>
    <x:row r="120" ht="28" customHeight="1">
      <x:c r="A120" s="16" t="str">
        <x:v>Приморская ГРЭС</x:v>
      </x:c>
      <x:c r="B120" s="16" t="str">
        <x:v>2000472493-U117</x:v>
      </x:c>
      <x:c r="C120" s="16" t="str">
        <x:v>ЛАМПА СВЕТОДИОДНАЯ NLL-A70-15-230-4K-E27</x:v>
      </x:c>
      <x:c r="D120" s="16" t="str">
        <x:v>Осветительная продукция и изделия электроустановочные</x:v>
      </x:c>
      <x:c r="E120" s="16" t="str">
        <x:v>ШТ</x:v>
      </x:c>
      <x:c r="F120" s="21" t="n">
        <x:v>354</x:v>
      </x:c>
      <x:c r="G120" s="17" t="n">
        <x:v>39.345</x:v>
      </x:c>
      <x:c r="H120" s="17" t="n">
        <x:f>G120*F120</x:f>
        <x:v>13928.13</x:v>
      </x:c>
      <x:c r="I120" s="22" t="str">
        <x:f>HYPERLINK("https://etp-aktiv.ru/catalog/materialy/ehlektrotekhnicheskie-materialy/2000472493-U117/","Открыть позицию")</x:f>
        <x:v>Открыть позицию</x:v>
      </x:c>
    </x:row>
    <x:row r="121" ht="28" customHeight="1">
      <x:c r="A121" s="16" t="str">
        <x:v>Приморская ГРЭС</x:v>
      </x:c>
      <x:c r="B121" s="16" t="str">
        <x:v>2000279619-U117</x:v>
      </x:c>
      <x:c r="C121" s="16" t="str">
        <x:v>ЛАМПА СВЕТОДИОДНАЯ PLED-A60 8ВТ Е27</x:v>
      </x:c>
      <x:c r="D121" s="16" t="str">
        <x:v>Осветительная продукция и изделия электроустановочные</x:v>
      </x:c>
      <x:c r="E121" s="16" t="str">
        <x:v>ШТ</x:v>
      </x:c>
      <x:c r="F121" s="21" t="n">
        <x:v>100</x:v>
      </x:c>
      <x:c r="G121" s="17" t="n">
        <x:v>34.2698</x:v>
      </x:c>
      <x:c r="H121" s="17" t="n">
        <x:f>G121*F121</x:f>
        <x:v>3426.9799999999996</x:v>
      </x:c>
      <x:c r="I121" s="22" t="str">
        <x:f>HYPERLINK("https://etp-aktiv.ru/catalog/materialy/ehlektrotekhnicheskie-materialy/2000279619-U117/","Открыть позицию")</x:f>
        <x:v>Открыть позицию</x:v>
      </x:c>
    </x:row>
    <x:row r="122" ht="28" customHeight="1">
      <x:c r="A122" s="16" t="str">
        <x:v>Приморская ГРЭС</x:v>
      </x:c>
      <x:c r="B122" s="16" t="str">
        <x:v>2000255380-U117</x:v>
      </x:c>
      <x:c r="C122" s="16" t="str">
        <x:v>ЛАМПА СВЕТОДИОДНАЯ ЛМС-128 19ВТ Е27</x:v>
      </x:c>
      <x:c r="D122" s="16" t="str">
        <x:v>Осветительная продукция и изделия электроустановочные</x:v>
      </x:c>
      <x:c r="E122" s="16" t="str">
        <x:v>ШТ</x:v>
      </x:c>
      <x:c r="F122" s="21" t="n">
        <x:v>96</x:v>
      </x:c>
      <x:c r="G122" s="17" t="n">
        <x:v>65.209</x:v>
      </x:c>
      <x:c r="H122" s="17" t="n">
        <x:f>G122*F122</x:f>
        <x:v>6260.064</x:v>
      </x:c>
      <x:c r="I122" s="22" t="str">
        <x:f>HYPERLINK("https://etp-aktiv.ru/catalog/materialy/ehlektrotekhnicheskie-materialy/2000255380-U117/","Открыть позицию")</x:f>
        <x:v>Открыть позицию</x:v>
      </x:c>
    </x:row>
    <x:row r="123" ht="28" customHeight="1">
      <x:c r="A123" s="16" t="str">
        <x:v>Приморская ГРЭС</x:v>
      </x:c>
      <x:c r="B123" s="16" t="str">
        <x:v>2000477599-U117</x:v>
      </x:c>
      <x:c r="C123" s="16" t="str">
        <x:v>ЛЕНТА SCOTCH SUPER 88 19*20*0,22 ЧЕРНЫЙ</x:v>
      </x:c>
      <x:c r="D123" s="16" t="str">
        <x:v>Электроизоляционные материалы</x:v>
      </x:c>
      <x:c r="E123" s="16" t="str">
        <x:v>ШТ</x:v>
      </x:c>
      <x:c r="F123" s="21" t="n">
        <x:v>10</x:v>
      </x:c>
      <x:c r="G123" s="17" t="n">
        <x:v>512.4</x:v>
      </x:c>
      <x:c r="H123" s="17" t="n">
        <x:f>G123*F123</x:f>
        <x:v>5124</x:v>
      </x:c>
      <x:c r="I123" s="22" t="str">
        <x:f>HYPERLINK("https://etp-aktiv.ru/catalog/materialy/ehlektroizolyacionnye-materialy/2000477599-U117/","Открыть позицию")</x:f>
        <x:v>Открыть позицию</x:v>
      </x:c>
    </x:row>
    <x:row r="124" ht="28" customHeight="1">
      <x:c r="A124" s="16" t="str">
        <x:v>Приморская ГРЭС</x:v>
      </x:c>
      <x:c r="B124" s="16" t="str">
        <x:v>2000130659-U117</x:v>
      </x:c>
      <x:c r="C124" s="16" t="str">
        <x:v>ЛЕНТА КИПЕРНАЯ ЛЭ-35-55 35ММ</x:v>
      </x:c>
      <x:c r="D124" s="16" t="str">
        <x:v>Электроизоляционные материалы</x:v>
      </x:c>
      <x:c r="E124" s="16" t="str">
        <x:v>ПМ</x:v>
      </x:c>
      <x:c r="F124" s="21" t="n">
        <x:v>50</x:v>
      </x:c>
      <x:c r="G124" s="17" t="n">
        <x:v>2.3424</x:v>
      </x:c>
      <x:c r="H124" s="17" t="n">
        <x:f>G124*F124</x:f>
        <x:v>117.12</x:v>
      </x:c>
      <x:c r="I124" s="22" t="str">
        <x:f>HYPERLINK("https://etp-aktiv.ru/catalog/materialy/ehlektroizolyacionnye-materialy/2000130659-U117/","Открыть позицию")</x:f>
        <x:v>Открыть позицию</x:v>
      </x:c>
    </x:row>
    <x:row r="125" ht="28" customHeight="1">
      <x:c r="A125" s="16" t="str">
        <x:v>Приморская ГРЭС</x:v>
      </x:c>
      <x:c r="B125" s="16" t="str">
        <x:v>2000945315-U117</x:v>
      </x:c>
      <x:c r="C125" s="16" t="str">
        <x:v>ЛЕНТА ЛАЭ-1 0,5*20 ГОСТ14256-2000</x:v>
      </x:c>
      <x:c r="D125" s="16" t="str">
        <x:v>Электроизоляционные материалы</x:v>
      </x:c>
      <x:c r="E125" s="16" t="str">
        <x:v>М</x:v>
      </x:c>
      <x:c r="F125" s="21" t="n">
        <x:v>250</x:v>
      </x:c>
      <x:c r="G125" s="17" t="n">
        <x:v>73.9076</x:v>
      </x:c>
      <x:c r="H125" s="17" t="n">
        <x:f>G125*F125</x:f>
        <x:v>18476.9</x:v>
      </x:c>
      <x:c r="I125" s="22" t="str">
        <x:f>HYPERLINK("https://etp-aktiv.ru/catalog/materialy/ehlektroizolyacionnye-materialy/2000945315-U117/","Открыть позицию")</x:f>
        <x:v>Открыть позицию</x:v>
      </x:c>
    </x:row>
    <x:row r="126" ht="28" customHeight="1">
      <x:c r="A126" s="16" t="str">
        <x:v>Приморская ГРЭС</x:v>
      </x:c>
      <x:c r="B126" s="16" t="str">
        <x:v>2000170533-U117</x:v>
      </x:c>
      <x:c r="C126" s="16" t="str">
        <x:v>ЛЕНТА ЛЭТСАР 25ММ</x:v>
      </x:c>
      <x:c r="D126" s="16" t="str">
        <x:v>Электроизоляционные материалы</x:v>
      </x:c>
      <x:c r="E126" s="16" t="str">
        <x:v>КГ</x:v>
      </x:c>
      <x:c r="F126" s="26" t="n">
        <x:v>0.1</x:v>
      </x:c>
      <x:c r="G126" s="17" t="n">
        <x:v>1509.75</x:v>
      </x:c>
      <x:c r="H126" s="17" t="n">
        <x:f>G126*F126</x:f>
        <x:v>150.975</x:v>
      </x:c>
      <x:c r="I126" s="22" t="str">
        <x:f>HYPERLINK("https://etp-aktiv.ru/catalog/materialy/ehlektroizolyacionnye-materialy/2000170533-U117/","Открыть позицию")</x:f>
        <x:v>Открыть позицию</x:v>
      </x:c>
    </x:row>
    <x:row r="127" ht="28" customHeight="1">
      <x:c r="A127" s="16" t="str">
        <x:v>Приморская ГРЭС</x:v>
      </x:c>
      <x:c r="B127" s="16" t="str">
        <x:v>2000548543-U117</x:v>
      </x:c>
      <x:c r="C127" s="16" t="str">
        <x:v>ЛЕНТА МЕТАЛЛОФТОРОПЛАСТОВАЯ МФЛ 1,55*130</x:v>
      </x:c>
      <x:c r="D127" s="16" t="str">
        <x:v>Электроизоляционные материалы</x:v>
      </x:c>
      <x:c r="E127" s="16" t="str">
        <x:v>КГ</x:v>
      </x:c>
      <x:c r="F127" s="21" t="n">
        <x:v>59</x:v>
      </x:c>
      <x:c r="G127" s="17" t="n">
        <x:v>1063.6936</x:v>
      </x:c>
      <x:c r="H127" s="17" t="n">
        <x:f>G127*F127</x:f>
        <x:v>62757.9224</x:v>
      </x:c>
      <x:c r="I127" s="22" t="str">
        <x:f>HYPERLINK("https://etp-aktiv.ru/catalog/materialy/ehlektroizolyacionnye-materialy/2000548543-U117/","Открыть позицию")</x:f>
        <x:v>Открыть позицию</x:v>
      </x:c>
    </x:row>
    <x:row r="128" ht="28" customHeight="1">
      <x:c r="A128" s="16" t="str">
        <x:v>Приморская ГРЭС</x:v>
      </x:c>
      <x:c r="B128" s="16" t="str">
        <x:v>2000464193-U117</x:v>
      </x:c>
      <x:c r="C128" s="16" t="str">
        <x:v>ЛЕНТА ПВХ Э/ИЗОЛ PVC12 19*0,14ММ*20М БЕЛ</x:v>
      </x:c>
      <x:c r="D128" s="16" t="str">
        <x:v>Электроизоляционные материалы</x:v>
      </x:c>
      <x:c r="E128" s="16" t="str">
        <x:v>ШТ</x:v>
      </x:c>
      <x:c r="F128" s="21" t="n">
        <x:v>2</x:v>
      </x:c>
      <x:c r="G128" s="17" t="n">
        <x:v>25.62</x:v>
      </x:c>
      <x:c r="H128" s="17" t="n">
        <x:f>G128*F128</x:f>
        <x:v>51.24</x:v>
      </x:c>
      <x:c r="I128" s="22" t="str">
        <x:f>HYPERLINK("https://etp-aktiv.ru/catalog/materialy/ehlektroizolyacionnye-materialy/2000464193-U117/","Открыть позицию")</x:f>
        <x:v>Открыть позицию</x:v>
      </x:c>
    </x:row>
    <x:row r="129" ht="28" customHeight="1">
      <x:c r="A129" s="16" t="str">
        <x:v>Приморская ГРЭС</x:v>
      </x:c>
      <x:c r="B129" s="16" t="str">
        <x:v>2000464195-U117</x:v>
      </x:c>
      <x:c r="C129" s="16" t="str">
        <x:v>ЛЕНТА ПВХ Э/ИЗОЛ PVC12 19*0,14ММ*20М ЖЕЛ</x:v>
      </x:c>
      <x:c r="D129" s="16" t="str">
        <x:v>Электроизоляционные материалы</x:v>
      </x:c>
      <x:c r="E129" s="16" t="str">
        <x:v>ШТ</x:v>
      </x:c>
      <x:c r="F129" s="21" t="n">
        <x:v>1</x:v>
      </x:c>
      <x:c r="G129" s="17" t="n">
        <x:v>25.62</x:v>
      </x:c>
      <x:c r="H129" s="17" t="n">
        <x:f>G129*F129</x:f>
        <x:v>25.62</x:v>
      </x:c>
      <x:c r="I129" s="22" t="str">
        <x:f>HYPERLINK("https://etp-aktiv.ru/catalog/materialy/ehlektroizolyacionnye-materialy/2000464195-U117/","Открыть позицию")</x:f>
        <x:v>Открыть позицию</x:v>
      </x:c>
    </x:row>
    <x:row r="130" ht="28" customHeight="1">
      <x:c r="A130" s="16" t="str">
        <x:v>Приморская ГРЭС</x:v>
      </x:c>
      <x:c r="B130" s="16" t="str">
        <x:v>2000464194-U117</x:v>
      </x:c>
      <x:c r="C130" s="16" t="str">
        <x:v>ЛЕНТА ПВХ Э/ИЗОЛ PVC12 19*0,14ММ*20М ЗЕЛ</x:v>
      </x:c>
      <x:c r="D130" s="16" t="str">
        <x:v>Электроизоляционные материалы</x:v>
      </x:c>
      <x:c r="E130" s="16" t="str">
        <x:v>ШТ</x:v>
      </x:c>
      <x:c r="F130" s="21" t="n">
        <x:v>1</x:v>
      </x:c>
      <x:c r="G130" s="17" t="n">
        <x:v>25.62</x:v>
      </x:c>
      <x:c r="H130" s="17" t="n">
        <x:f>G130*F130</x:f>
        <x:v>25.62</x:v>
      </x:c>
      <x:c r="I130" s="22" t="str">
        <x:f>HYPERLINK("https://etp-aktiv.ru/catalog/materialy/ehlektroizolyacionnye-materialy/2000464194-U117/","Открыть позицию")</x:f>
        <x:v>Открыть позицию</x:v>
      </x:c>
    </x:row>
    <x:row r="131" ht="28" customHeight="1">
      <x:c r="A131" s="16" t="str">
        <x:v>Приморская ГРЭС</x:v>
      </x:c>
      <x:c r="B131" s="16" t="str">
        <x:v>2000464196-U117</x:v>
      </x:c>
      <x:c r="C131" s="16" t="str">
        <x:v>ЛЕНТА ПВХ Э/ИЗОЛ PVC12 19*0,14ММ*20М КРА</x:v>
      </x:c>
      <x:c r="D131" s="16" t="str">
        <x:v>Электроизоляционные материалы</x:v>
      </x:c>
      <x:c r="E131" s="16" t="str">
        <x:v>ШТ</x:v>
      </x:c>
      <x:c r="F131" s="21" t="n">
        <x:v>3</x:v>
      </x:c>
      <x:c r="G131" s="17" t="n">
        <x:v>25.62</x:v>
      </x:c>
      <x:c r="H131" s="17" t="n">
        <x:f>G131*F131</x:f>
        <x:v>76.86</x:v>
      </x:c>
      <x:c r="I131" s="22" t="str">
        <x:f>HYPERLINK("https://etp-aktiv.ru/catalog/materialy/ehlektroizolyacionnye-materialy/2000464196-U117/","Открыть позицию")</x:f>
        <x:v>Открыть позицию</x:v>
      </x:c>
    </x:row>
    <x:row r="132" ht="28" customHeight="1">
      <x:c r="A132" s="16" t="str">
        <x:v>Приморская ГРЭС</x:v>
      </x:c>
      <x:c r="B132" s="16" t="str">
        <x:v>2000464197-U117</x:v>
      </x:c>
      <x:c r="C132" s="16" t="str">
        <x:v>ЛЕНТА ПВХ Э/ИЗОЛ PVC12 19*0,14ММ*20М СИН</x:v>
      </x:c>
      <x:c r="D132" s="16" t="str">
        <x:v>Электроизоляционные материалы</x:v>
      </x:c>
      <x:c r="E132" s="16" t="str">
        <x:v>ШТ</x:v>
      </x:c>
      <x:c r="F132" s="21" t="n">
        <x:v>12</x:v>
      </x:c>
      <x:c r="G132" s="17" t="n">
        <x:v>32.025</x:v>
      </x:c>
      <x:c r="H132" s="17" t="n">
        <x:f>G132*F132</x:f>
        <x:v>384.29999999999995</x:v>
      </x:c>
      <x:c r="I132" s="22" t="str">
        <x:f>HYPERLINK("https://etp-aktiv.ru/catalog/materialy/ehlektroizolyacionnye-materialy/2000464197-U117/","Открыть позицию")</x:f>
        <x:v>Открыть позицию</x:v>
      </x:c>
    </x:row>
    <x:row r="133" ht="28" customHeight="1">
      <x:c r="A133" s="16" t="str">
        <x:v>Приморская ГРЭС</x:v>
      </x:c>
      <x:c r="B133" s="16" t="str">
        <x:v>2000464198-U117</x:v>
      </x:c>
      <x:c r="C133" s="16" t="str">
        <x:v>ЛЕНТА ПВХ Э/ИЗОЛ PVC12 19*0,14ММ*20М ЧЕР</x:v>
      </x:c>
      <x:c r="D133" s="16" t="str">
        <x:v>Электроизоляционные материалы</x:v>
      </x:c>
      <x:c r="E133" s="16" t="str">
        <x:v>ШТ</x:v>
      </x:c>
      <x:c r="F133" s="21" t="n">
        <x:v>2</x:v>
      </x:c>
      <x:c r="G133" s="17" t="n">
        <x:v>25.62</x:v>
      </x:c>
      <x:c r="H133" s="17" t="n">
        <x:f>G133*F133</x:f>
        <x:v>51.24</x:v>
      </x:c>
      <x:c r="I133" s="22" t="str">
        <x:f>HYPERLINK("https://etp-aktiv.ru/catalog/materialy/ehlektroizolyacionnye-materialy/2000464198-U117/","Открыть позицию")</x:f>
        <x:v>Открыть позицию</x:v>
      </x:c>
    </x:row>
    <x:row r="134" ht="28" customHeight="1">
      <x:c r="A134" s="16" t="str">
        <x:v>Приморская ГРЭС</x:v>
      </x:c>
      <x:c r="B134" s="16" t="str">
        <x:v>2000029402-U117</x:v>
      </x:c>
      <x:c r="C134" s="16" t="str">
        <x:v>ЛЕНТА СТЕКЛОБАНДАЖНАЯ ЛСБЭ 155 0,2*20</x:v>
      </x:c>
      <x:c r="D134" s="16" t="str">
        <x:v>Электроизоляционные материалы</x:v>
      </x:c>
      <x:c r="E134" s="16" t="str">
        <x:v>КГ</x:v>
      </x:c>
      <x:c r="F134" s="26" t="n">
        <x:v>0.67</x:v>
      </x:c>
      <x:c r="G134" s="17" t="n">
        <x:v>1083.7748</x:v>
      </x:c>
      <x:c r="H134" s="17" t="n">
        <x:f>G134*F134</x:f>
        <x:v>726.129116</x:v>
      </x:c>
      <x:c r="I134" s="22" t="str">
        <x:f>HYPERLINK("https://etp-aktiv.ru/catalog/materialy/ehlektroizolyacionnye-materialy/2000029402-U117/","Открыть позицию")</x:f>
        <x:v>Открыть позицию</x:v>
      </x:c>
    </x:row>
    <x:row r="135" ht="28" customHeight="1">
      <x:c r="A135" s="16" t="str">
        <x:v>Приморская ГРЭС</x:v>
      </x:c>
      <x:c r="B135" s="16" t="str">
        <x:v>2000511962-U117</x:v>
      </x:c>
      <x:c r="C135" s="16" t="str">
        <x:v>ЛЕНТА ТЕРМОУСАЖ ТЛК-10 5000*50*1</x:v>
      </x:c>
      <x:c r="D135" s="16" t="str">
        <x:v>Электроизоляционные материалы</x:v>
      </x:c>
      <x:c r="E135" s="16" t="str">
        <x:v>РУЛ</x:v>
      </x:c>
      <x:c r="F135" s="21" t="n">
        <x:v>10</x:v>
      </x:c>
      <x:c r="G135" s="17" t="n">
        <x:v>878.4</x:v>
      </x:c>
      <x:c r="H135" s="17" t="n">
        <x:f>G135*F135</x:f>
        <x:v>8784</x:v>
      </x:c>
      <x:c r="I135" s="22" t="str">
        <x:f>HYPERLINK("https://etp-aktiv.ru/catalog/materialy/ehlektroizolyacionnye-materialy/2000511962-U117/","Открыть позицию")</x:f>
        <x:v>Открыть позицию</x:v>
      </x:c>
    </x:row>
    <x:row r="136" ht="28" customHeight="1">
      <x:c r="A136" s="16" t="str">
        <x:v>Приморская ГРЭС</x:v>
      </x:c>
      <x:c r="B136" s="16" t="str">
        <x:v>2000219363-U117</x:v>
      </x:c>
      <x:c r="C136" s="16" t="str">
        <x:v>ЛИСТ ФТОРОПЛАСТ Ф-4 1*300*300</x:v>
      </x:c>
      <x:c r="D136" s="16" t="str">
        <x:v>Электроизоляционные материалы</x:v>
      </x:c>
      <x:c r="E136" s="16" t="str">
        <x:v>КГ</x:v>
      </x:c>
      <x:c r="F136" s="26" t="n">
        <x:v>0.4</x:v>
      </x:c>
      <x:c r="G136" s="17" t="n">
        <x:v>1171.2</x:v>
      </x:c>
      <x:c r="H136" s="17" t="n">
        <x:f>G136*F136</x:f>
        <x:v>468.48</x:v>
      </x:c>
      <x:c r="I136" s="22" t="str">
        <x:f>HYPERLINK("https://etp-aktiv.ru/catalog/materialy/ehlektroizolyacionnye-materialy/2000219363-U117/","Открыть позицию")</x:f>
        <x:v>Открыть позицию</x:v>
      </x:c>
    </x:row>
    <x:row r="137" ht="28" customHeight="1">
      <x:c r="A137" s="16" t="str">
        <x:v>Приморская ГРЭС</x:v>
      </x:c>
      <x:c r="B137" s="16" t="str">
        <x:v>2000731900-U117</x:v>
      </x:c>
      <x:c r="C137" s="16" t="str">
        <x:v>ЛЮСТРА MD.7600-3-S WH 3-РОЖК 60ВТ E27</x:v>
      </x:c>
      <x:c r="D137" s="16" t="str">
        <x:v>Осветительная продукция и изделия электроустановочные</x:v>
      </x:c>
      <x:c r="E137" s="16" t="str">
        <x:v>ШТ</x:v>
      </x:c>
      <x:c r="F137" s="21" t="n">
        <x:v>1</x:v>
      </x:c>
      <x:c r="G137" s="17" t="n">
        <x:v>6382.125</x:v>
      </x:c>
      <x:c r="H137" s="17" t="n">
        <x:f>G137*F137</x:f>
        <x:v>6382.125</x:v>
      </x:c>
      <x:c r="I137" s="22" t="str">
        <x:f>HYPERLINK("https://etp-aktiv.ru/catalog/materialy/ehlektrotekhnicheskie-materialy/2000731900-U117/","Открыть позицию")</x:f>
        <x:v>Открыть позицию</x:v>
      </x:c>
    </x:row>
    <x:row r="138" ht="28" customHeight="1">
      <x:c r="A138" s="16" t="str">
        <x:v>Приморская ГРЭС</x:v>
      </x:c>
      <x:c r="B138" s="16" t="str">
        <x:v>2000029748-U117</x:v>
      </x:c>
      <x:c r="C138" s="16" t="str">
        <x:v>МАГНИТ МО-200Б</x:v>
      </x:c>
      <x:c r="D138" s="16" t="str">
        <x:v>Прочие электротехнические материалы</x:v>
      </x:c>
      <x:c r="E138" s="16" t="str">
        <x:v>ШТ</x:v>
      </x:c>
      <x:c r="F138" s="21" t="n">
        <x:v>1</x:v>
      </x:c>
      <x:c r="G138" s="17" t="n">
        <x:v>9474.886</x:v>
      </x:c>
      <x:c r="H138" s="17" t="n">
        <x:f>G138*F138</x:f>
        <x:v>9474.886</x:v>
      </x:c>
      <x:c r="I138" s="22" t="str">
        <x:f>HYPERLINK("https://etp-aktiv.ru/catalog/materialy/ehlektrotekhnicheskie-materialy/2000029748-U117/","Открыть позицию")</x:f>
        <x:v>Открыть позицию</x:v>
      </x:c>
    </x:row>
    <x:row r="139" ht="28" customHeight="1">
      <x:c r="A139" s="16" t="str">
        <x:v>Приморская ГРЭС</x:v>
      </x:c>
      <x:c r="B139" s="16" t="str">
        <x:v>2000030087-U117</x:v>
      </x:c>
      <x:c r="C139" s="16" t="str">
        <x:v>МАНОМЕТР КИСЛОРОДНЫЙ МТП-1К 250КГС/СМ2</x:v>
      </x:c>
      <x:c r="D139" s="16" t="str">
        <x:v>Запасные части и принадлежности для приборов КИПиА</x:v>
      </x:c>
      <x:c r="E139" s="16" t="str">
        <x:v>ШТ</x:v>
      </x:c>
      <x:c r="F139" s="21" t="n">
        <x:v>35</x:v>
      </x:c>
      <x:c r="G139" s="17" t="n">
        <x:v>191.23499999999999</x:v>
      </x:c>
      <x:c r="H139" s="17" t="n">
        <x:f>G139*F139</x:f>
        <x:v>6693.224999999999</x:v>
      </x:c>
      <x:c r="I139" s="22" t="str">
        <x:f>HYPERLINK("https://etp-aktiv.ru/catalog/materialy/zapasnye-chasti-i-prinadlezhnosti-dlya-priborov-kipia/2000030087-U117/","Открыть позицию")</x:f>
        <x:v>Открыть позицию</x:v>
      </x:c>
    </x:row>
    <x:row r="140" ht="28" customHeight="1">
      <x:c r="A140" s="16" t="str">
        <x:v>Приморская ГРЭС</x:v>
      </x:c>
      <x:c r="B140" s="16" t="str">
        <x:v>2000030086-U117</x:v>
      </x:c>
      <x:c r="C140" s="16" t="str">
        <x:v>МАНОМЕТР КИСЛОРОДНЫЙ МТП-1К 25КГС/СМ2</x:v>
      </x:c>
      <x:c r="D140" s="16" t="str">
        <x:v>Запасные части и принадлежности для приборов КИПиА</x:v>
      </x:c>
      <x:c r="E140" s="16" t="str">
        <x:v>ШТ</x:v>
      </x:c>
      <x:c r="F140" s="21" t="n">
        <x:v>42</x:v>
      </x:c>
      <x:c r="G140" s="17" t="n">
        <x:v>191.12519999999998</x:v>
      </x:c>
      <x:c r="H140" s="17" t="n">
        <x:f>G140*F140</x:f>
        <x:v>8027.258399999999</x:v>
      </x:c>
      <x:c r="I140" s="22" t="str">
        <x:f>HYPERLINK("https://etp-aktiv.ru/catalog/materialy/zapasnye-chasti-i-prinadlezhnosti-dlya-priborov-kipia/2000030086-U117/","Открыть позицию")</x:f>
        <x:v>Открыть позицию</x:v>
      </x:c>
    </x:row>
    <x:row r="141" ht="28" customHeight="1">
      <x:c r="A141" s="16" t="str">
        <x:v>Приморская ГРЭС</x:v>
      </x:c>
      <x:c r="B141" s="16" t="str">
        <x:v>2000708828-U117</x:v>
      </x:c>
      <x:c r="C141" s="16" t="str">
        <x:v>МАНОМЕТР КИСЛОРОДНЫЙ ТМ-2 0-2,5МПА</x:v>
      </x:c>
      <x:c r="D141" s="16" t="str">
        <x:v>Запасные части и принадлежности для приборов КИПиА</x:v>
      </x:c>
      <x:c r="E141" s="16" t="str">
        <x:v>ШТ</x:v>
      </x:c>
      <x:c r="F141" s="21" t="n">
        <x:v>5</x:v>
      </x:c>
      <x:c r="G141" s="17" t="n">
        <x:v>325.0568</x:v>
      </x:c>
      <x:c r="H141" s="17" t="n">
        <x:f>G141*F141</x:f>
        <x:v>1625.284</x:v>
      </x:c>
      <x:c r="I141" s="22" t="str">
        <x:f>HYPERLINK("https://etp-aktiv.ru/catalog/materialy/zapasnye-chasti-i-prinadlezhnosti-dlya-priborov-kipia/2000708828-U117/","Открыть позицию")</x:f>
        <x:v>Открыть позицию</x:v>
      </x:c>
    </x:row>
    <x:row r="142" ht="28" customHeight="1">
      <x:c r="A142" s="16" t="str">
        <x:v>Приморская ГРЭС</x:v>
      </x:c>
      <x:c r="B142" s="16" t="str">
        <x:v>2000863689-U117</x:v>
      </x:c>
      <x:c r="C142" s="16" t="str">
        <x:v>МАНОМЕТР МТИ-100/М3-ДИ-ИМ60М 60МПА</x:v>
      </x:c>
      <x:c r="D142" s="16" t="str">
        <x:v>Запасные части и принадлежности для приборов КИПиА</x:v>
      </x:c>
      <x:c r="E142" s="16" t="str">
        <x:v>ШТ</x:v>
      </x:c>
      <x:c r="F142" s="21" t="n">
        <x:v>4</x:v>
      </x:c>
      <x:c r="G142" s="17" t="n">
        <x:v>6187.7424</x:v>
      </x:c>
      <x:c r="H142" s="17" t="n">
        <x:f>G142*F142</x:f>
        <x:v>24750.9696</x:v>
      </x:c>
      <x:c r="I142" s="22" t="str">
        <x:f>HYPERLINK("https://etp-aktiv.ru/catalog/materialy/zapasnye-chasti-i-prinadlezhnosti-dlya-priborov-kipia/2000863689-U117/","Открыть позицию")</x:f>
        <x:v>Открыть позицию</x:v>
      </x:c>
    </x:row>
    <x:row r="143" ht="28" customHeight="1">
      <x:c r="A143" s="16" t="str">
        <x:v>Приморская ГРЭС</x:v>
      </x:c>
      <x:c r="B143" s="16" t="str">
        <x:v>2000030201-U117</x:v>
      </x:c>
      <x:c r="C143" s="16" t="str">
        <x:v>МАНОМЕТР ЭДМУ-15 0-15КГ/СМ2</x:v>
      </x:c>
      <x:c r="D143" s="16" t="str">
        <x:v>Запасные части и принадлежности для приборов КИПиА</x:v>
      </x:c>
      <x:c r="E143" s="16" t="str">
        <x:v>ШТ</x:v>
      </x:c>
      <x:c r="F143" s="21" t="n">
        <x:v>7</x:v>
      </x:c>
      <x:c r="G143" s="17" t="n">
        <x:v>9346.725</x:v>
      </x:c>
      <x:c r="H143" s="17" t="n">
        <x:f>G143*F143</x:f>
        <x:v>65427.075000000004</x:v>
      </x:c>
      <x:c r="I143" s="22" t="str">
        <x:f>HYPERLINK("https://etp-aktiv.ru/catalog/materialy/zapasnye-chasti-i-prinadlezhnosti-dlya-priborov-kipia/2000030201-U117/","Открыть позицию")</x:f>
        <x:v>Открыть позицию</x:v>
      </x:c>
    </x:row>
    <x:row r="144" ht="28" customHeight="1">
      <x:c r="A144" s="16" t="str">
        <x:v>Приморская ГРЭС</x:v>
      </x:c>
      <x:c r="B144" s="16" t="str">
        <x:v>2000030486-U117</x:v>
      </x:c>
      <x:c r="C144" s="16" t="str">
        <x:v>МАСЛО ТРАНСФОРМАТОРНОЕ ГК</x:v>
      </x:c>
      <x:c r="D144" s="16" t="str">
        <x:v>Масла и смазки различного назначения и типа</x:v>
      </x:c>
      <x:c r="E144" s="16" t="str">
        <x:v>Т</x:v>
      </x:c>
      <x:c r="F144" s="26" t="n">
        <x:v>0.977</x:v>
      </x:c>
      <x:c r="G144" s="17" t="n">
        <x:v>52885.0724</x:v>
      </x:c>
      <x:c r="H144" s="17" t="n">
        <x:f>G144*F144</x:f>
        <x:v>51668.7157348</x:v>
      </x:c>
      <x:c r="I144" s="22" t="str">
        <x:f>HYPERLINK("https://etp-aktiv.ru/catalog/materialy/gsm/2000030486-U117/","Открыть позицию")</x:f>
        <x:v>Открыть позицию</x:v>
      </x:c>
    </x:row>
    <x:row r="145" ht="28" customHeight="1">
      <x:c r="A145" s="16" t="str">
        <x:v>Приморская ГРЭС</x:v>
      </x:c>
      <x:c r="B145" s="16" t="str">
        <x:v>2000548553-U117</x:v>
      </x:c>
      <x:c r="C145" s="16" t="str">
        <x:v>МАТЕРИАЛ ARMORCAST YP206100007 97*1500</x:v>
      </x:c>
      <x:c r="D145" s="16" t="str">
        <x:v>Электроизоляционные материалы</x:v>
      </x:c>
      <x:c r="E145" s="16" t="str">
        <x:v>ШТ</x:v>
      </x:c>
      <x:c r="F145" s="21" t="n">
        <x:v>6</x:v>
      </x:c>
      <x:c r="G145" s="17" t="n">
        <x:v>725.7779999999999</x:v>
      </x:c>
      <x:c r="H145" s="17" t="n">
        <x:f>G145*F145</x:f>
        <x:v>4354.668</x:v>
      </x:c>
      <x:c r="I145" s="22" t="str">
        <x:f>HYPERLINK("https://etp-aktiv.ru/catalog/materialy/ehlektroizolyacionnye-materialy/2000548553-U117/","Открыть позицию")</x:f>
        <x:v>Открыть позицию</x:v>
      </x:c>
    </x:row>
    <x:row r="146" ht="28" customHeight="1">
      <x:c r="A146" s="16" t="str">
        <x:v>Приморская ГРЭС</x:v>
      </x:c>
      <x:c r="B146" s="16" t="str">
        <x:v>2000631238-U117</x:v>
      </x:c>
      <x:c r="C146" s="16" t="str">
        <x:v>МЕХАНИЗМ ДМ2005СГ(250КГС/СМ2)-ПАР РИС.12</x:v>
      </x:c>
      <x:c r="D146" s="16" t="str">
        <x:v>Запасные части и принадлежности для приборов КИПиА</x:v>
      </x:c>
      <x:c r="E146" s="16" t="str">
        <x:v>ШТ</x:v>
      </x:c>
      <x:c r="F146" s="21" t="n">
        <x:v>10</x:v>
      </x:c>
      <x:c r="G146" s="17" t="n">
        <x:v>2863.34</x:v>
      </x:c>
      <x:c r="H146" s="17" t="n">
        <x:f>G146*F146</x:f>
        <x:v>28633.4</x:v>
      </x:c>
      <x:c r="I146" s="22" t="str">
        <x:f>HYPERLINK("https://etp-aktiv.ru/catalog/materialy/zapasnye-chasti-i-prinadlezhnosti-dlya-priborov-kipia/2000631238-U117/","Открыть позицию")</x:f>
        <x:v>Открыть позицию</x:v>
      </x:c>
    </x:row>
    <x:row r="147" ht="28" customHeight="1">
      <x:c r="A147" s="16" t="str">
        <x:v>Приморская ГРЭС</x:v>
      </x:c>
      <x:c r="B147" s="16" t="str">
        <x:v>2000222073-U117</x:v>
      </x:c>
      <x:c r="C147" s="16" t="str">
        <x:v>МИКРОПЕРЕКЛЮЧАТЕЛЬ Д703 36В 0,5А</x:v>
      </x:c>
      <x:c r="D147" s="16" t="str">
        <x:v>Низковольтная аппаратура и запасные части</x:v>
      </x:c>
      <x:c r="E147" s="16" t="str">
        <x:v>ШТ</x:v>
      </x:c>
      <x:c r="F147" s="21" t="n">
        <x:v>3</x:v>
      </x:c>
      <x:c r="G147" s="17" t="n">
        <x:v>937.875</x:v>
      </x:c>
      <x:c r="H147" s="17" t="n">
        <x:f>G147*F147</x:f>
        <x:v>2813.625</x:v>
      </x:c>
      <x:c r="I147" s="22" t="str">
        <x:f>HYPERLINK("https://etp-aktiv.ru/catalog/materialy/nizkovoltnaya-apparatura-i-zapasnye-chasti/2000222073-U117/","Открыть позицию")</x:f>
        <x:v>Открыть позицию</x:v>
      </x:c>
    </x:row>
    <x:row r="148" ht="28" customHeight="1">
      <x:c r="A148" s="16" t="str">
        <x:v>Приморская ГРЭС</x:v>
      </x:c>
      <x:c r="B148" s="16" t="str">
        <x:v>2000070126-U117</x:v>
      </x:c>
      <x:c r="C148" s="16" t="str">
        <x:v>МИКРОСХЕМА К 140 УД 11А</x:v>
      </x:c>
      <x:c r="D148" s="16" t="str">
        <x:v>Изделия радиоэлектронной техники</x:v>
      </x:c>
      <x:c r="E148" s="16" t="str">
        <x:v>ШТ</x:v>
      </x:c>
      <x:c r="F148" s="21" t="n">
        <x:v>5</x:v>
      </x:c>
      <x:c r="G148" s="17" t="n">
        <x:v>154.32999999999998</x:v>
      </x:c>
      <x:c r="H148" s="17" t="n">
        <x:f>G148*F148</x:f>
        <x:v>771.6499999999999</x:v>
      </x:c>
      <x:c r="I148" s="22" t="str">
        <x:f>HYPERLINK("https://etp-aktiv.ru/catalog/materialy/prochie-materialy/2000070126-U117/","Открыть позицию")</x:f>
        <x:v>Открыть позицию</x:v>
      </x:c>
    </x:row>
    <x:row r="149" ht="28" customHeight="1">
      <x:c r="A149" s="16" t="str">
        <x:v>Приморская ГРЭС</x:v>
      </x:c>
      <x:c r="B149" s="16" t="str">
        <x:v>5000056510-U117</x:v>
      </x:c>
      <x:c r="C149" s="16" t="str">
        <x:v>МУЛЬТИМЕТР MY-64</x:v>
      </x:c>
      <x:c r="D149" s="16" t="str">
        <x:v>Электроизмерительные приборы</x:v>
      </x:c>
      <x:c r="E149" s="16" t="str">
        <x:v>ШТ</x:v>
      </x:c>
      <x:c r="F149" s="21" t="n">
        <x:v>1</x:v>
      </x:c>
      <x:c r="G149" s="17" t="n">
        <x:v>2196</x:v>
      </x:c>
      <x:c r="H149" s="17" t="n">
        <x:f>G149*F149</x:f>
        <x:v>2196</x:v>
      </x:c>
      <x:c r="I149" s="22" t="str">
        <x:f>HYPERLINK("https://etp-aktiv.ru/catalog/materialy/zapasnye-chasti-i-prinadlezhnosti-dlya-priborov-kipia/5000056510-U117/","Открыть позицию")</x:f>
        <x:v>Открыть позицию</x:v>
      </x:c>
    </x:row>
    <x:row r="150" ht="28" customHeight="1">
      <x:c r="A150" s="16" t="str">
        <x:v>Приморская ГРЭС</x:v>
      </x:c>
      <x:c r="B150" s="16" t="str">
        <x:v>2000177121-U117</x:v>
      </x:c>
      <x:c r="C150" s="16" t="str">
        <x:v>НАБОР ИНСТРУМЕНТА ЭЛЕКТРОМЕХАНИКА НИЛ-05</x:v>
      </x:c>
      <x:c r="D150" s="16" t="str">
        <x:v>Инструмент и спецоснастка</x:v>
      </x:c>
      <x:c r="E150" s="16" t="str">
        <x:v>КМП</x:v>
      </x:c>
      <x:c r="F150" s="21" t="n">
        <x:v>8</x:v>
      </x:c>
      <x:c r="G150" s="17" t="n">
        <x:v>32849.9274</x:v>
      </x:c>
      <x:c r="H150" s="17" t="n">
        <x:f>G150*F150</x:f>
        <x:v>262799.4192</x:v>
      </x:c>
      <x:c r="I150" s="22" t="str">
        <x:f>HYPERLINK("https://etp-aktiv.ru/catalog/materialy/instrument-i-specosnastka/2000177121-U117/","Открыть позицию")</x:f>
        <x:v>Открыть позицию</x:v>
      </x:c>
    </x:row>
    <x:row r="151" ht="28" customHeight="1">
      <x:c r="A151" s="16" t="str">
        <x:v>Приморская ГРЭС</x:v>
      </x:c>
      <x:c r="B151" s="16" t="str">
        <x:v>2000545290-U117</x:v>
      </x:c>
      <x:c r="C151" s="16" t="str">
        <x:v>ПАТРОН E27 250В 4А ФНК-05</x:v>
      </x:c>
      <x:c r="D151" s="16" t="str">
        <x:v>Осветительная продукция и изделия электроустановочные</x:v>
      </x:c>
      <x:c r="E151" s="16" t="str">
        <x:v>ШТ</x:v>
      </x:c>
      <x:c r="F151" s="21" t="n">
        <x:v>52</x:v>
      </x:c>
      <x:c r="G151" s="17" t="n">
        <x:v>57.644999999999996</x:v>
      </x:c>
      <x:c r="H151" s="17" t="n">
        <x:f>G151*F151</x:f>
        <x:v>2997.54</x:v>
      </x:c>
      <x:c r="I151" s="22" t="str">
        <x:f>HYPERLINK("https://etp-aktiv.ru/catalog/materialy/ehlektrotekhnicheskie-materialy/2000545290-U117/","Открыть позицию")</x:f>
        <x:v>Открыть позицию</x:v>
      </x:c>
    </x:row>
    <x:row r="152" ht="28" customHeight="1">
      <x:c r="A152" s="16" t="str">
        <x:v>Приморская ГРЭС</x:v>
      </x:c>
      <x:c r="B152" s="16" t="str">
        <x:v>2000500354-U117</x:v>
      </x:c>
      <x:c r="C152" s="16" t="str">
        <x:v>ПАТРОН КАРБОЛИТОВЫЙ Е27 250В 16А 835/10</x:v>
      </x:c>
      <x:c r="D152" s="16" t="str">
        <x:v>Осветительная продукция и изделия электроустановочные</x:v>
      </x:c>
      <x:c r="E152" s="16" t="str">
        <x:v>ШТ</x:v>
      </x:c>
      <x:c r="F152" s="21" t="n">
        <x:v>26</x:v>
      </x:c>
      <x:c r="G152" s="17" t="n">
        <x:v>22.643199999999997</x:v>
      </x:c>
      <x:c r="H152" s="17" t="n">
        <x:f>G152*F152</x:f>
        <x:v>588.7231999999999</x:v>
      </x:c>
      <x:c r="I152" s="22" t="str">
        <x:f>HYPERLINK("https://etp-aktiv.ru/catalog/materialy/ehlektrotekhnicheskie-materialy/2000500354-U117/","Открыть позицию")</x:f>
        <x:v>Открыть позицию</x:v>
      </x:c>
    </x:row>
    <x:row r="153" ht="28" customHeight="1">
      <x:c r="A153" s="16" t="str">
        <x:v>Приморская ГРЭС</x:v>
      </x:c>
      <x:c r="B153" s="16" t="str">
        <x:v>2000725268-U117</x:v>
      </x:c>
      <x:c r="C153" s="16" t="str">
        <x:v>ПАТРОН КЕРАМИЧ Е27 220В 16А SQ0319-0007</x:v>
      </x:c>
      <x:c r="D153" s="16" t="str">
        <x:v>Осветительная продукция и изделия электроустановочные</x:v>
      </x:c>
      <x:c r="E153" s="16" t="str">
        <x:v>ШТ</x:v>
      </x:c>
      <x:c r="F153" s="21" t="n">
        <x:v>22</x:v>
      </x:c>
      <x:c r="G153" s="17" t="n">
        <x:v>9.211</x:v>
      </x:c>
      <x:c r="H153" s="17" t="n">
        <x:f>G153*F153</x:f>
        <x:v>202.642</x:v>
      </x:c>
      <x:c r="I153" s="22" t="str">
        <x:f>HYPERLINK("https://etp-aktiv.ru/catalog/materialy/ehlektrotekhnicheskie-materialy/2000725268-U117/","Открыть позицию")</x:f>
        <x:v>Открыть позицию</x:v>
      </x:c>
    </x:row>
    <x:row r="154" ht="28" customHeight="1">
      <x:c r="A154" s="16" t="str">
        <x:v>Приморская ГРЭС</x:v>
      </x:c>
      <x:c r="B154" s="16" t="str">
        <x:v>2000252766-U117</x:v>
      </x:c>
      <x:c r="C154" s="16" t="str">
        <x:v>ПАТРОН КЕРАМИЧЕСКИЙ Е27 SQ0319-002</x:v>
      </x:c>
      <x:c r="D154" s="16" t="str">
        <x:v>Осветительная продукция и изделия электроустановочные</x:v>
      </x:c>
      <x:c r="E154" s="16" t="str">
        <x:v>ШТ</x:v>
      </x:c>
      <x:c r="F154" s="21" t="n">
        <x:v>11</x:v>
      </x:c>
      <x:c r="G154" s="17" t="n">
        <x:v>15.6526</x:v>
      </x:c>
      <x:c r="H154" s="17" t="n">
        <x:f>G154*F154</x:f>
        <x:v>172.1786</x:v>
      </x:c>
      <x:c r="I154" s="22" t="str">
        <x:f>HYPERLINK("https://etp-aktiv.ru/catalog/materialy/ehlektrotekhnicheskie-materialy/2000252766-U117/","Открыть позицию")</x:f>
        <x:v>Открыть позицию</x:v>
      </x:c>
    </x:row>
    <x:row r="155" ht="28" customHeight="1">
      <x:c r="A155" s="16" t="str">
        <x:v>Приморская ГРЭС</x:v>
      </x:c>
      <x:c r="B155" s="16" t="str">
        <x:v>2000580161-U117</x:v>
      </x:c>
      <x:c r="C155" s="16" t="str">
        <x:v>ПАТРОН ЭЛЕКТРИЧЕСКИЙ Е27 220В 4А ДК-003</x:v>
      </x:c>
      <x:c r="D155" s="16" t="str">
        <x:v>Осветительная продукция и изделия электроустановочные</x:v>
      </x:c>
      <x:c r="E155" s="16" t="str">
        <x:v>ШТ</x:v>
      </x:c>
      <x:c r="F155" s="21" t="n">
        <x:v>12</x:v>
      </x:c>
      <x:c r="G155" s="17" t="n">
        <x:v>51.069199999999995</x:v>
      </x:c>
      <x:c r="H155" s="17" t="n">
        <x:f>G155*F155</x:f>
        <x:v>612.8303999999999</x:v>
      </x:c>
      <x:c r="I155" s="22" t="str">
        <x:f>HYPERLINK("https://etp-aktiv.ru/catalog/materialy/ehlektrotekhnicheskie-materialy/2000580161-U117/","Открыть позицию")</x:f>
        <x:v>Открыть позицию</x:v>
      </x:c>
    </x:row>
    <x:row r="156" ht="28" customHeight="1">
      <x:c r="A156" s="16" t="str">
        <x:v>Приморская ГРЭС</x:v>
      </x:c>
      <x:c r="B156" s="16" t="str">
        <x:v>2000580294-U117</x:v>
      </x:c>
      <x:c r="C156" s="16" t="str">
        <x:v>ПАТРОН ЭЛЕКТРИЧЕСКИЙ Е40 250В 4А ДКС-004</x:v>
      </x:c>
      <x:c r="D156" s="16" t="str">
        <x:v>Осветительная продукция и изделия электроустановочные</x:v>
      </x:c>
      <x:c r="E156" s="16" t="str">
        <x:v>ШТ</x:v>
      </x:c>
      <x:c r="F156" s="21" t="n">
        <x:v>24</x:v>
      </x:c>
      <x:c r="G156" s="17" t="n">
        <x:v>41.175</x:v>
      </x:c>
      <x:c r="H156" s="17" t="n">
        <x:f>G156*F156</x:f>
        <x:v>988.1999999999999</x:v>
      </x:c>
      <x:c r="I156" s="22" t="str">
        <x:f>HYPERLINK("https://etp-aktiv.ru/catalog/materialy/ehlektrotekhnicheskie-materialy/2000580294-U117/","Открыть позицию")</x:f>
        <x:v>Открыть позицию</x:v>
      </x:c>
    </x:row>
    <x:row r="157" ht="28" customHeight="1">
      <x:c r="A157" s="16" t="str">
        <x:v>Приморская ГРЭС</x:v>
      </x:c>
      <x:c r="B157" s="16" t="str">
        <x:v>2000580144-U117</x:v>
      </x:c>
      <x:c r="C157" s="16" t="str">
        <x:v>ПАТРОН ЭЛЕКТРИЧЕСКИЙ КАРБОЛИТО Е27 250В</x:v>
      </x:c>
      <x:c r="D157" s="16" t="str">
        <x:v>Осветительная продукция и изделия электроустановочные</x:v>
      </x:c>
      <x:c r="E157" s="16" t="str">
        <x:v>ШТ</x:v>
      </x:c>
      <x:c r="F157" s="21" t="n">
        <x:v>13</x:v>
      </x:c>
      <x:c r="G157" s="17" t="n">
        <x:v>21.8014</x:v>
      </x:c>
      <x:c r="H157" s="17" t="n">
        <x:f>G157*F157</x:f>
        <x:v>283.4182</x:v>
      </x:c>
      <x:c r="I157" s="22" t="str">
        <x:f>HYPERLINK("https://etp-aktiv.ru/catalog/materialy/ehlektrotekhnicheskie-materialy/2000580144-U117/","Открыть позицию")</x:f>
        <x:v>Открыть позицию</x:v>
      </x:c>
    </x:row>
    <x:row r="158" ht="28" customHeight="1">
      <x:c r="A158" s="16" t="str">
        <x:v>Приморская ГРЭС</x:v>
      </x:c>
      <x:c r="B158" s="16" t="str">
        <x:v>2000142128-U117</x:v>
      </x:c>
      <x:c r="C158" s="16" t="str">
        <x:v>ПЕРЕНОСКА ГАРАЖНАЯ ЛСУ 220В 25М</x:v>
      </x:c>
      <x:c r="D158" s="16" t="str">
        <x:v>Прочие электротехнические материалы</x:v>
      </x:c>
      <x:c r="E158" s="16" t="str">
        <x:v>ШТ</x:v>
      </x:c>
      <x:c r="F158" s="21" t="n">
        <x:v>22</x:v>
      </x:c>
      <x:c r="G158" s="17" t="n">
        <x:v>1143.75</x:v>
      </x:c>
      <x:c r="H158" s="17" t="n">
        <x:f>G158*F158</x:f>
        <x:v>25162.5</x:v>
      </x:c>
      <x:c r="I158" s="22" t="str">
        <x:f>HYPERLINK("https://etp-aktiv.ru/catalog/materialy/ehlektrotekhnicheskie-materialy/2000142128-U117/","Открыть позицию")</x:f>
        <x:v>Открыть позицию</x:v>
      </x:c>
    </x:row>
    <x:row r="159" ht="28" customHeight="1">
      <x:c r="A159" s="16" t="str">
        <x:v>Приморская ГРЭС</x:v>
      </x:c>
      <x:c r="B159" s="16" t="str">
        <x:v>2000131508-U117</x:v>
      </x:c>
      <x:c r="C159" s="16" t="str">
        <x:v>ПЕРЕНОСКА НРБ-01-60-001 60W 10М</x:v>
      </x:c>
      <x:c r="D159" s="16" t="str">
        <x:v>Прочие электротехнические материалы</x:v>
      </x:c>
      <x:c r="E159" s="16" t="str">
        <x:v>ШТ</x:v>
      </x:c>
      <x:c r="F159" s="21" t="n">
        <x:v>2</x:v>
      </x:c>
      <x:c r="G159" s="17" t="n">
        <x:v>720.5686</x:v>
      </x:c>
      <x:c r="H159" s="17" t="n">
        <x:f>G159*F159</x:f>
        <x:v>1441.1372</x:v>
      </x:c>
      <x:c r="I159" s="22" t="str">
        <x:f>HYPERLINK("https://etp-aktiv.ru/catalog/materialy/ehlektrotekhnicheskie-materialy/2000131508-U117/","Открыть позицию")</x:f>
        <x:v>Открыть позицию</x:v>
      </x:c>
    </x:row>
    <x:row r="160" ht="28" customHeight="1">
      <x:c r="A160" s="16" t="str">
        <x:v>Приморская ГРЭС</x:v>
      </x:c>
      <x:c r="B160" s="16" t="str">
        <x:v>2000548579-U117</x:v>
      </x:c>
      <x:c r="C160" s="16" t="str">
        <x:v>ПЛЕНКА Ф-4 ЭО СОРТ 1 0,03*25 ГОСТ24222</x:v>
      </x:c>
      <x:c r="D160" s="16" t="str">
        <x:v>Электроизоляционные материалы</x:v>
      </x:c>
      <x:c r="E160" s="16" t="str">
        <x:v>КГ</x:v>
      </x:c>
      <x:c r="F160" s="30" t="n">
        <x:v>3.09</x:v>
      </x:c>
      <x:c r="G160" s="17" t="n">
        <x:v>1921.5</x:v>
      </x:c>
      <x:c r="H160" s="17" t="n">
        <x:f>G160*F160</x:f>
        <x:v>5937.4349999999995</x:v>
      </x:c>
      <x:c r="I160" s="22" t="str">
        <x:f>HYPERLINK("https://etp-aktiv.ru/catalog/materialy/ehlektroizolyacionnye-materialy/2000548579-U117/","Открыть позицию")</x:f>
        <x:v>Открыть позицию</x:v>
      </x:c>
    </x:row>
    <x:row r="161" ht="28" customHeight="1">
      <x:c r="A161" s="16" t="str">
        <x:v>Приморская ГРЭС</x:v>
      </x:c>
      <x:c r="B161" s="16" t="str">
        <x:v>2000127269-U117</x:v>
      </x:c>
      <x:c r="C161" s="16" t="str">
        <x:v>ПЛЕНКОЭЛЕКТРОКАРТОН ПЭК 0,27ММ</x:v>
      </x:c>
      <x:c r="D161" s="16" t="str">
        <x:v>Электроизоляционные материалы</x:v>
      </x:c>
      <x:c r="E161" s="16" t="str">
        <x:v>КГ</x:v>
      </x:c>
      <x:c r="F161" s="21" t="n">
        <x:v>40</x:v>
      </x:c>
      <x:c r="G161" s="17" t="n">
        <x:v>247.04999999999998</x:v>
      </x:c>
      <x:c r="H161" s="17" t="n">
        <x:f>G161*F161</x:f>
        <x:v>9882</x:v>
      </x:c>
      <x:c r="I161" s="22" t="str">
        <x:f>HYPERLINK("https://etp-aktiv.ru/catalog/materialy/ehlektroizolyacionnye-materialy/2000127269-U117/","Открыть позицию")</x:f>
        <x:v>Открыть позицию</x:v>
      </x:c>
    </x:row>
    <x:row r="162" ht="28" customHeight="1">
      <x:c r="A162" s="16" t="str">
        <x:v>Приморская ГРЭС</x:v>
      </x:c>
      <x:c r="B162" s="16" t="str">
        <x:v>2000320550-U117</x:v>
      </x:c>
      <x:c r="C162" s="16" t="str">
        <x:v>ПЛОМБА ПЛАСТИКОВАЯ КПП-3-2029</x:v>
      </x:c>
      <x:c r="D162" s="16" t="str">
        <x:v>Запасные части и принадлежности для приборов КИПиА</x:v>
      </x:c>
      <x:c r="E162" s="16" t="str">
        <x:v>ШТ</x:v>
      </x:c>
      <x:c r="F162" s="21" t="n">
        <x:v>50</x:v>
      </x:c>
      <x:c r="G162" s="17" t="n">
        <x:v>2.8792</x:v>
      </x:c>
      <x:c r="H162" s="17" t="n">
        <x:f>G162*F162</x:f>
        <x:v>143.96</x:v>
      </x:c>
      <x:c r="I162" s="22" t="str">
        <x:f>HYPERLINK("https://etp-aktiv.ru/catalog/materialy/zapasnye-chasti-i-prinadlezhnosti-dlya-priborov-kipia/2000320550-U117/","Открыть позицию")</x:f>
        <x:v>Открыть позицию</x:v>
      </x:c>
    </x:row>
    <x:row r="163" ht="28" customHeight="1">
      <x:c r="A163" s="16" t="str">
        <x:v>Приморская ГРЭС</x:v>
      </x:c>
      <x:c r="B163" s="16" t="str">
        <x:v>2000553809-U117</x:v>
      </x:c>
      <x:c r="C163" s="16" t="str">
        <x:v>ПОРОШОК ЭЛЕКТРОКОРУНД ГОСТ28818-90</x:v>
      </x:c>
      <x:c r="D163" s="16" t="str">
        <x:v>Огнеупорные материалы</x:v>
      </x:c>
      <x:c r="E163" s="16" t="str">
        <x:v>КГ</x:v>
      </x:c>
      <x:c r="F163" s="30" t="n">
        <x:v>19.95</x:v>
      </x:c>
      <x:c r="G163" s="17" t="n">
        <x:v>295.8012</x:v>
      </x:c>
      <x:c r="H163" s="17" t="n">
        <x:f>G163*F163</x:f>
        <x:v>5901.23394</x:v>
      </x:c>
      <x:c r="I163" s="22" t="str">
        <x:f>HYPERLINK("https://etp-aktiv.ru/catalog/materialy/ogneupornye-materialy/2000553809-U117/","Открыть позицию")</x:f>
        <x:v>Открыть позицию</x:v>
      </x:c>
    </x:row>
    <x:row r="164" ht="28" customHeight="1">
      <x:c r="A164" s="16" t="str">
        <x:v>Приморская ГРЭС</x:v>
      </x:c>
      <x:c r="B164" s="16" t="str">
        <x:v>2000316434-U117</x:v>
      </x:c>
      <x:c r="C164" s="16" t="str">
        <x:v>ПОСТ 2-Х КНОПОЧНЫЙ ПКТ-20 660В</x:v>
      </x:c>
      <x:c r="D164" s="16" t="str">
        <x:v>Низковольтная аппаратура и запасные части</x:v>
      </x:c>
      <x:c r="E164" s="16" t="str">
        <x:v>ШТ</x:v>
      </x:c>
      <x:c r="F164" s="21" t="n">
        <x:v>2</x:v>
      </x:c>
      <x:c r="G164" s="17" t="n">
        <x:v>191.3326</x:v>
      </x:c>
      <x:c r="H164" s="17" t="n">
        <x:f>G164*F164</x:f>
        <x:v>382.6652</x:v>
      </x:c>
      <x:c r="I164" s="22" t="str">
        <x:f>HYPERLINK("https://etp-aktiv.ru/catalog/materialy/nizkovoltnaya-apparatura-i-zapasnye-chasti/2000316434-U117/","Открыть позицию")</x:f>
        <x:v>Открыть позицию</x:v>
      </x:c>
    </x:row>
    <x:row r="165" ht="28" customHeight="1">
      <x:c r="A165" s="16" t="str">
        <x:v>Приморская ГРЭС</x:v>
      </x:c>
      <x:c r="B165" s="16" t="str">
        <x:v>2000536762-U117</x:v>
      </x:c>
      <x:c r="C165" s="16" t="str">
        <x:v>ПОСТ КНОПОЧНЫЙ ПКЕ 212-3-У3-IP40 150750</x:v>
      </x:c>
      <x:c r="D165" s="16" t="str">
        <x:v>Низковольтная аппаратура и запасные части</x:v>
      </x:c>
      <x:c r="E165" s="16" t="str">
        <x:v>ШТ</x:v>
      </x:c>
      <x:c r="F165" s="21" t="n">
        <x:v>2</x:v>
      </x:c>
      <x:c r="G165" s="17" t="n">
        <x:v>324.825</x:v>
      </x:c>
      <x:c r="H165" s="17" t="n">
        <x:f>G165*F165</x:f>
        <x:v>649.65</x:v>
      </x:c>
      <x:c r="I165" s="22" t="str">
        <x:f>HYPERLINK("https://etp-aktiv.ru/catalog/materialy/nizkovoltnaya-apparatura-i-zapasnye-chasti/2000536762-U117/","Открыть позицию")</x:f>
        <x:v>Открыть позицию</x:v>
      </x:c>
    </x:row>
    <x:row r="166" ht="28" customHeight="1">
      <x:c r="A166" s="16" t="str">
        <x:v>Приморская ГРЭС</x:v>
      </x:c>
      <x:c r="B166" s="16" t="str">
        <x:v>2000536763-U117</x:v>
      </x:c>
      <x:c r="C166" s="16" t="str">
        <x:v>ПОСТ КНОПОЧНЫЙ ПКЕ 222-1У2</x:v>
      </x:c>
      <x:c r="D166" s="16" t="str">
        <x:v>Низковольтная аппаратура и запасные части</x:v>
      </x:c>
      <x:c r="E166" s="16" t="str">
        <x:v>ШТ</x:v>
      </x:c>
      <x:c r="F166" s="21" t="n">
        <x:v>3</x:v>
      </x:c>
      <x:c r="G166" s="17" t="n">
        <x:v>102.541</x:v>
      </x:c>
      <x:c r="H166" s="17" t="n">
        <x:f>G166*F166</x:f>
        <x:v>307.623</x:v>
      </x:c>
      <x:c r="I166" s="22" t="str">
        <x:f>HYPERLINK("https://etp-aktiv.ru/catalog/materialy/nizkovoltnaya-apparatura-i-zapasnye-chasti/2000536763-U117/","Открыть позицию")</x:f>
        <x:v>Открыть позицию</x:v>
      </x:c>
    </x:row>
    <x:row r="167" ht="28" customHeight="1">
      <x:c r="A167" s="16" t="str">
        <x:v>Приморская ГРЭС</x:v>
      </x:c>
      <x:c r="B167" s="16" t="str">
        <x:v>2000458116-U117</x:v>
      </x:c>
      <x:c r="C167" s="16" t="str">
        <x:v>ПОСТ КНОПОЧНЫЙ ПКЕ 222-2 IP54 220В</x:v>
      </x:c>
      <x:c r="D167" s="16" t="str">
        <x:v>Низковольтная аппаратура и запасные части</x:v>
      </x:c>
      <x:c r="E167" s="16" t="str">
        <x:v>ШТ</x:v>
      </x:c>
      <x:c r="F167" s="21" t="n">
        <x:v>5</x:v>
      </x:c>
      <x:c r="G167" s="17" t="n">
        <x:v>191.3326</x:v>
      </x:c>
      <x:c r="H167" s="17" t="n">
        <x:f>G167*F167</x:f>
        <x:v>956.663</x:v>
      </x:c>
      <x:c r="I167" s="22" t="str">
        <x:f>HYPERLINK("https://etp-aktiv.ru/catalog/materialy/nizkovoltnaya-apparatura-i-zapasnye-chasti/2000458116-U117/","Открыть позицию")</x:f>
        <x:v>Открыть позицию</x:v>
      </x:c>
    </x:row>
    <x:row r="168" ht="28" customHeight="1">
      <x:c r="A168" s="16" t="str">
        <x:v>Приморская ГРЭС</x:v>
      </x:c>
      <x:c r="B168" s="16" t="str">
        <x:v>2000536765-U117</x:v>
      </x:c>
      <x:c r="C168" s="16" t="str">
        <x:v>ПОСТ КНОПОЧНЫЙ ПКЕ 222-2У3 IP54</x:v>
      </x:c>
      <x:c r="D168" s="16" t="str">
        <x:v>Низковольтная аппаратура и запасные части</x:v>
      </x:c>
      <x:c r="E168" s="16" t="str">
        <x:v>ШТ</x:v>
      </x:c>
      <x:c r="F168" s="21" t="n">
        <x:v>2</x:v>
      </x:c>
      <x:c r="G168" s="17" t="n">
        <x:v>233.325</x:v>
      </x:c>
      <x:c r="H168" s="17" t="n">
        <x:f>G168*F168</x:f>
        <x:v>466.65</x:v>
      </x:c>
      <x:c r="I168" s="22" t="str">
        <x:f>HYPERLINK("https://etp-aktiv.ru/catalog/materialy/nizkovoltnaya-apparatura-i-zapasnye-chasti/2000536765-U117/","Открыть позицию")</x:f>
        <x:v>Открыть позицию</x:v>
      </x:c>
    </x:row>
    <x:row r="169" ht="28" customHeight="1">
      <x:c r="A169" s="16" t="str">
        <x:v>Приморская ГРЭС</x:v>
      </x:c>
      <x:c r="B169" s="16" t="str">
        <x:v>2000536769-U117</x:v>
      </x:c>
      <x:c r="C169" s="16" t="str">
        <x:v>ПОСТ КНОПОЧНЫЙ ПКЕ-222-1 У2 КРАСНЫЙ</x:v>
      </x:c>
      <x:c r="D169" s="16" t="str">
        <x:v>Низковольтная аппаратура и запасные части</x:v>
      </x:c>
      <x:c r="E169" s="16" t="str">
        <x:v>ШТ</x:v>
      </x:c>
      <x:c r="F169" s="21" t="n">
        <x:v>1</x:v>
      </x:c>
      <x:c r="G169" s="17" t="n">
        <x:v>121.756</x:v>
      </x:c>
      <x:c r="H169" s="17" t="n">
        <x:f>G169*F169</x:f>
        <x:v>121.756</x:v>
      </x:c>
      <x:c r="I169" s="22" t="str">
        <x:f>HYPERLINK("https://etp-aktiv.ru/catalog/materialy/nizkovoltnaya-apparatura-i-zapasnye-chasti/2000536769-U117/","Открыть позицию")</x:f>
        <x:v>Открыть позицию</x:v>
      </x:c>
    </x:row>
    <x:row r="170" ht="28" customHeight="1">
      <x:c r="A170" s="16" t="str">
        <x:v>Приморская ГРЭС</x:v>
      </x:c>
      <x:c r="B170" s="16" t="str">
        <x:v>2000221084-U117</x:v>
      </x:c>
      <x:c r="C170" s="16" t="str">
        <x:v>ПРЕДОХРАНИТЕЛЬ ПА-354.3722 20А</x:v>
      </x:c>
      <x:c r="D170" s="16" t="str">
        <x:v>Низковольтная аппаратура и запасные части</x:v>
      </x:c>
      <x:c r="E170" s="16" t="str">
        <x:v>ШТ</x:v>
      </x:c>
      <x:c r="F170" s="21" t="n">
        <x:v>1</x:v>
      </x:c>
      <x:c r="G170" s="17" t="n">
        <x:v>118.1814</x:v>
      </x:c>
      <x:c r="H170" s="17" t="n">
        <x:f>G170*F170</x:f>
        <x:v>118.1814</x:v>
      </x:c>
      <x:c r="I170" s="22" t="str">
        <x:f>HYPERLINK("https://etp-aktiv.ru/catalog/materialy/nizkovoltnaya-apparatura-i-zapasnye-chasti/2000221084-U117/","Открыть позицию")</x:f>
        <x:v>Открыть позицию</x:v>
      </x:c>
    </x:row>
    <x:row r="171" ht="28" customHeight="1">
      <x:c r="A171" s="16" t="str">
        <x:v>Приморская ГРЭС</x:v>
      </x:c>
      <x:c r="B171" s="16" t="str">
        <x:v>2000634131-U117</x:v>
      </x:c>
      <x:c r="C171" s="16" t="str">
        <x:v>ПРЕОБРАЗОВАТЕЛЬ Е842С ВХ.0-5А ВЫХ.0-20МА</x:v>
      </x:c>
      <x:c r="D171" s="16" t="str">
        <x:v>Низковольтная аппаратура и запасные части спец-е и под заказ</x:v>
      </x:c>
      <x:c r="E171" s="16" t="str">
        <x:v>ШТ</x:v>
      </x:c>
      <x:c r="F171" s="21" t="n">
        <x:v>4</x:v>
      </x:c>
      <x:c r="G171" s="17" t="n">
        <x:v>2810.1968</x:v>
      </x:c>
      <x:c r="H171" s="17" t="n">
        <x:f>G171*F171</x:f>
        <x:v>11240.7872</x:v>
      </x:c>
      <x:c r="I171" s="22" t="str">
        <x:f>HYPERLINK("https://etp-aktiv.ru/catalog/materialy/nizkovoltnaya-apparatura-i-zapasnye-chasti/2000634131-U117/","Открыть позицию")</x:f>
        <x:v>Открыть позицию</x:v>
      </x:c>
    </x:row>
    <x:row r="172" ht="28" customHeight="1">
      <x:c r="A172" s="16" t="str">
        <x:v>Приморская ГРЭС</x:v>
      </x:c>
      <x:c r="B172" s="16" t="str">
        <x:v>2000835840-U117</x:v>
      </x:c>
      <x:c r="C172" s="16" t="str">
        <x:v>ПРЕОБРАЗОВАТЕЛЬ Е855А 125В 5МА</x:v>
      </x:c>
      <x:c r="D172" s="16" t="str">
        <x:v>Низковольтная аппаратура и запасные части</x:v>
      </x:c>
      <x:c r="E172" s="16" t="str">
        <x:v>ШТ</x:v>
      </x:c>
      <x:c r="F172" s="21" t="n">
        <x:v>4</x:v>
      </x:c>
      <x:c r="G172" s="17" t="n">
        <x:v>5780.97</x:v>
      </x:c>
      <x:c r="H172" s="17" t="n">
        <x:f>G172*F172</x:f>
        <x:v>23123.88</x:v>
      </x:c>
      <x:c r="I172" s="22" t="str">
        <x:f>HYPERLINK("https://etp-aktiv.ru/catalog/materialy/nizkovoltnaya-apparatura-i-zapasnye-chasti/2000835840-U117/","Открыть позицию")</x:f>
        <x:v>Открыть позицию</x:v>
      </x:c>
    </x:row>
    <x:row r="173" ht="28" customHeight="1">
      <x:c r="A173" s="16" t="str">
        <x:v>Приморская ГРЭС</x:v>
      </x:c>
      <x:c r="B173" s="16" t="str">
        <x:v>2000541601-U117</x:v>
      </x:c>
      <x:c r="C173" s="16" t="str">
        <x:v>ПРЕОБРАЗОВАТЕЛЬ ПДЭ-020И ДИВ-350-В</x:v>
      </x:c>
      <x:c r="D173" s="16" t="str">
        <x:v>Запасные части и принадлежности для приборов КИПиА</x:v>
      </x:c>
      <x:c r="E173" s="16" t="str">
        <x:v>ШТ</x:v>
      </x:c>
      <x:c r="F173" s="21" t="n">
        <x:v>1</x:v>
      </x:c>
      <x:c r="G173" s="17" t="n">
        <x:v>113612.5</x:v>
      </x:c>
      <x:c r="H173" s="17" t="n">
        <x:f>G173*F173</x:f>
        <x:v>113612.5</x:v>
      </x:c>
      <x:c r="I173" s="22" t="str">
        <x:f>HYPERLINK("https://etp-aktiv.ru/catalog/materialy/zapasnye-chasti-i-prinadlezhnosti-dlya-priborov-kipia/2000541601-U117/","Открыть позицию")</x:f>
        <x:v>Открыть позицию</x:v>
      </x:c>
    </x:row>
    <x:row r="174" ht="28" customHeight="1">
      <x:c r="A174" s="16" t="str">
        <x:v>Приморская ГРЭС</x:v>
      </x:c>
      <x:c r="B174" s="16" t="str">
        <x:v>2000522816-U117</x:v>
      </x:c>
      <x:c r="C174" s="16" t="str">
        <x:v>ПРОЖЕКТОР СДО-04-050Н 50ВТ IP65 220В</x:v>
      </x:c>
      <x:c r="D174" s="16" t="str">
        <x:v>Осветительная продукция и изделия электроустановочные</x:v>
      </x:c>
      <x:c r="E174" s="16" t="str">
        <x:v>ШТ</x:v>
      </x:c>
      <x:c r="F174" s="21" t="n">
        <x:v>90</x:v>
      </x:c>
      <x:c r="G174" s="17" t="n">
        <x:v>396.5</x:v>
      </x:c>
      <x:c r="H174" s="17" t="n">
        <x:f>G174*F174</x:f>
        <x:v>35685</x:v>
      </x:c>
      <x:c r="I174" s="22" t="str">
        <x:f>HYPERLINK("https://etp-aktiv.ru/catalog/materialy/ehlektrotekhnicheskie-materialy/2000522816-U117/","Открыть позицию")</x:f>
        <x:v>Открыть позицию</x:v>
      </x:c>
    </x:row>
    <x:row r="175" ht="28" customHeight="1">
      <x:c r="A175" s="16" t="str">
        <x:v>Приморская ГРЭС</x:v>
      </x:c>
      <x:c r="B175" s="16" t="str">
        <x:v>2000723551-U117</x:v>
      </x:c>
      <x:c r="C175" s="16" t="str">
        <x:v>ПРОЖЕКТОР СДО-8 4690612030074 150ВТ 6500</x:v>
      </x:c>
      <x:c r="D175" s="16" t="str">
        <x:v>Осветительная продукция и изделия электроустановочные</x:v>
      </x:c>
      <x:c r="E175" s="16" t="str">
        <x:v>ШТ</x:v>
      </x:c>
      <x:c r="F175" s="21" t="n">
        <x:v>25</x:v>
      </x:c>
      <x:c r="G175" s="17" t="n">
        <x:v>1718.126</x:v>
      </x:c>
      <x:c r="H175" s="17" t="n">
        <x:f>G175*F175</x:f>
        <x:v>42953.15</x:v>
      </x:c>
      <x:c r="I175" s="22" t="str">
        <x:f>HYPERLINK("https://etp-aktiv.ru/catalog/materialy/ehlektrotekhnicheskie-materialy/2000723551-U117/","Открыть позицию")</x:f>
        <x:v>Открыть позицию</x:v>
      </x:c>
    </x:row>
    <x:row r="176" ht="28" customHeight="1">
      <x:c r="A176" s="16" t="str">
        <x:v>Приморская ГРЭС</x:v>
      </x:c>
      <x:c r="B176" s="16" t="str">
        <x:v>2000036510-U117</x:v>
      </x:c>
      <x:c r="C176" s="16" t="str">
        <x:v>ПУСКАТЕЛЬ ПМА-4100 380В</x:v>
      </x:c>
      <x:c r="D176" s="16" t="str">
        <x:v>Низковольтная аппаратура и запасные части</x:v>
      </x:c>
      <x:c r="E176" s="16" t="str">
        <x:v>ШТ</x:v>
      </x:c>
      <x:c r="F176" s="21" t="n">
        <x:v>0</x:v>
      </x:c>
      <x:c r="G176" s="17" t="n">
        <x:v>1079.7</x:v>
      </x:c>
      <x:c r="H176" s="17" t="n">
        <x:f>G176*F176</x:f>
        <x:v>0</x:v>
      </x:c>
      <x:c r="I176" s="22" t="str">
        <x:f>HYPERLINK("https://etp-aktiv.ru/catalog/materialy/nizkovoltnaya-apparatura-i-zapasnye-chasti/2000036510-U117/","Открыть позицию")</x:f>
        <x:v>Открыть позицию</x:v>
      </x:c>
    </x:row>
    <x:row r="177" ht="28" customHeight="1">
      <x:c r="A177" s="16" t="str">
        <x:v>Приморская ГРЭС</x:v>
      </x:c>
      <x:c r="B177" s="16" t="str">
        <x:v>2000639279-U117</x:v>
      </x:c>
      <x:c r="C177" s="16" t="str">
        <x:v>ПУСКАТЕЛЬ ПМЕ 071-УЗВ 8-КОНТАКТНЫЙ 380В</x:v>
      </x:c>
      <x:c r="D177" s="16" t="str">
        <x:v>Низковольтная аппаратура и запасные части</x:v>
      </x:c>
      <x:c r="E177" s="16" t="str">
        <x:v>ШТ</x:v>
      </x:c>
      <x:c r="F177" s="21" t="n">
        <x:v>1</x:v>
      </x:c>
      <x:c r="G177" s="17" t="n">
        <x:v>512.4975999999999</x:v>
      </x:c>
      <x:c r="H177" s="17" t="n">
        <x:f>G177*F177</x:f>
        <x:v>512.4975999999999</x:v>
      </x:c>
      <x:c r="I177" s="22" t="str">
        <x:f>HYPERLINK("https://etp-aktiv.ru/catalog/materialy/nizkovoltnaya-apparatura-i-zapasnye-chasti/2000639279-U117/","Открыть позицию")</x:f>
        <x:v>Открыть позицию</x:v>
      </x:c>
    </x:row>
    <x:row r="178" ht="28" customHeight="1">
      <x:c r="A178" s="16" t="str">
        <x:v>Приморская ГРЭС</x:v>
      </x:c>
      <x:c r="B178" s="16" t="str">
        <x:v>2000336326-U117</x:v>
      </x:c>
      <x:c r="C178" s="16" t="str">
        <x:v>РАЗЪЕМ ВИЛКА ШР20ПК4НШ8</x:v>
      </x:c>
      <x:c r="D178" s="16" t="str">
        <x:v>Низковольтная аппаратура и запасные части</x:v>
      </x:c>
      <x:c r="E178" s="16" t="str">
        <x:v>ШТ</x:v>
      </x:c>
      <x:c r="F178" s="21" t="n">
        <x:v>10</x:v>
      </x:c>
      <x:c r="G178" s="17" t="n">
        <x:v>1706.475</x:v>
      </x:c>
      <x:c r="H178" s="17" t="n">
        <x:f>G178*F178</x:f>
        <x:v>17064.75</x:v>
      </x:c>
      <x:c r="I178" s="22" t="str">
        <x:f>HYPERLINK("https://etp-aktiv.ru/catalog/materialy/nizkovoltnaya-apparatura-i-zapasnye-chasti/2000336326-U117/","Открыть позицию")</x:f>
        <x:v>Открыть позицию</x:v>
      </x:c>
    </x:row>
    <x:row r="179" ht="28" customHeight="1">
      <x:c r="A179" s="16" t="str">
        <x:v>Приморская ГРЭС</x:v>
      </x:c>
      <x:c r="B179" s="16" t="str">
        <x:v>2000558533-U117</x:v>
      </x:c>
      <x:c r="C179" s="16" t="str">
        <x:v>РЕЛЕ ПОЛЯРИЗОВАННОЕ РП-5</x:v>
      </x:c>
      <x:c r="D179" s="16" t="str">
        <x:v>Низковольтная аппаратура и запасные части</x:v>
      </x:c>
      <x:c r="E179" s="16" t="str">
        <x:v>ШТ</x:v>
      </x:c>
      <x:c r="F179" s="21" t="n">
        <x:v>2</x:v>
      </x:c>
      <x:c r="G179" s="17" t="n">
        <x:v>11380.306400000001</x:v>
      </x:c>
      <x:c r="H179" s="17" t="n">
        <x:f>G179*F179</x:f>
        <x:v>22760.612800000003</x:v>
      </x:c>
      <x:c r="I179" s="22" t="str">
        <x:f>HYPERLINK("https://etp-aktiv.ru/catalog/materialy/nizkovoltnaya-apparatura-i-zapasnye-chasti/2000558533-U117/","Открыть позицию")</x:f>
        <x:v>Открыть позицию</x:v>
      </x:c>
    </x:row>
    <x:row r="180" ht="28" customHeight="1">
      <x:c r="A180" s="16" t="str">
        <x:v>Приморская ГРЭС</x:v>
      </x:c>
      <x:c r="B180" s="16" t="str">
        <x:v>2000690943-U117</x:v>
      </x:c>
      <x:c r="C180" s="16" t="str">
        <x:v>РЕЛЕ РД3010 2ТХ.308.023-1</x:v>
      </x:c>
      <x:c r="D180" s="16" t="str">
        <x:v>Запасные части к электродвигателям</x:v>
      </x:c>
      <x:c r="E180" s="16" t="str">
        <x:v>ШТ</x:v>
      </x:c>
      <x:c r="F180" s="21" t="n">
        <x:v>4</x:v>
      </x:c>
      <x:c r="G180" s="17" t="n">
        <x:v>3300.5148</x:v>
      </x:c>
      <x:c r="H180" s="17" t="n">
        <x:f>G180*F180</x:f>
        <x:v>13202.0592</x:v>
      </x:c>
      <x:c r="I180" s="22" t="str">
        <x:f>HYPERLINK("https://etp-aktiv.ru/catalog/materialy/ehlektrotekhnicheskie-materialy/2000690943-U117/","Открыть позицию")</x:f>
        <x:v>Открыть позицию</x:v>
      </x:c>
    </x:row>
    <x:row r="181" ht="28" customHeight="1">
      <x:c r="A181" s="16" t="str">
        <x:v>Приморская ГРЭС</x:v>
      </x:c>
      <x:c r="B181" s="16" t="str">
        <x:v>2000948359-U117</x:v>
      </x:c>
      <x:c r="C181" s="16" t="str">
        <x:v>РЕЛЕ РКФ-1М122 УЗ 380В</x:v>
      </x:c>
      <x:c r="D181" s="16" t="str">
        <x:v>Низковольтная аппаратура и запасные части</x:v>
      </x:c>
      <x:c r="E181" s="16" t="str">
        <x:v>ШТ</x:v>
      </x:c>
      <x:c r="F181" s="21" t="n">
        <x:v>2</x:v>
      </x:c>
      <x:c r="G181" s="17" t="n">
        <x:v>1421.239</x:v>
      </x:c>
      <x:c r="H181" s="17" t="n">
        <x:f>G181*F181</x:f>
        <x:v>2842.478</x:v>
      </x:c>
      <x:c r="I181" s="22" t="str">
        <x:f>HYPERLINK("https://etp-aktiv.ru/catalog/materialy/nizkovoltnaya-apparatura-i-zapasnye-chasti/2000948359-U117/","Открыть позицию")</x:f>
        <x:v>Открыть позицию</x:v>
      </x:c>
    </x:row>
    <x:row r="182" ht="28" customHeight="1">
      <x:c r="A182" s="16" t="str">
        <x:v>Приморская ГРЭС</x:v>
      </x:c>
      <x:c r="B182" s="16" t="str">
        <x:v>2000815469-U117</x:v>
      </x:c>
      <x:c r="C182" s="16" t="str">
        <x:v>РЕЛЕ РПУ-2М-211-1440-У3 220В DC ET012297</x:v>
      </x:c>
      <x:c r="D182" s="16" t="str">
        <x:v>Низковольтная аппаратура и запасные части</x:v>
      </x:c>
      <x:c r="E182" s="16" t="str">
        <x:v>ШТ</x:v>
      </x:c>
      <x:c r="F182" s="21" t="n">
        <x:v>2</x:v>
      </x:c>
      <x:c r="G182" s="17" t="n">
        <x:v>938.0214</x:v>
      </x:c>
      <x:c r="H182" s="17" t="n">
        <x:f>G182*F182</x:f>
        <x:v>1876.0428</x:v>
      </x:c>
      <x:c r="I182" s="22" t="str">
        <x:f>HYPERLINK("https://etp-aktiv.ru/catalog/materialy/nizkovoltnaya-apparatura-i-zapasnye-chasti/2000815469-U117/","Открыть позицию")</x:f>
        <x:v>Открыть позицию</x:v>
      </x:c>
    </x:row>
    <x:row r="183" ht="28" customHeight="1">
      <x:c r="A183" s="16" t="str">
        <x:v>Приморская ГРЭС</x:v>
      </x:c>
      <x:c r="B183" s="16" t="str">
        <x:v>2000603592-U117</x:v>
      </x:c>
      <x:c r="C183" s="16" t="str">
        <x:v>РЕЛЕ РПУ-2М-211-1800 110В У3 110В/6А</x:v>
      </x:c>
      <x:c r="D183" s="16" t="str">
        <x:v>Низковольтная аппаратура и запасные части</x:v>
      </x:c>
      <x:c r="E183" s="16" t="str">
        <x:v>ШТ</x:v>
      </x:c>
      <x:c r="F183" s="21" t="n">
        <x:v>2</x:v>
      </x:c>
      <x:c r="G183" s="17" t="n">
        <x:v>938.0214</x:v>
      </x:c>
      <x:c r="H183" s="17" t="n">
        <x:f>G183*F183</x:f>
        <x:v>1876.0428</x:v>
      </x:c>
      <x:c r="I183" s="22" t="str">
        <x:f>HYPERLINK("https://etp-aktiv.ru/catalog/materialy/nizkovoltnaya-apparatura-i-zapasnye-chasti/2000603592-U117/","Открыть позицию")</x:f>
        <x:v>Открыть позицию</x:v>
      </x:c>
    </x:row>
    <x:row r="184" ht="28" customHeight="1">
      <x:c r="A184" s="16" t="str">
        <x:v>Приморская ГРЭС</x:v>
      </x:c>
      <x:c r="B184" s="16" t="str">
        <x:v>2000949383-U117</x:v>
      </x:c>
      <x:c r="C184" s="16" t="str">
        <x:v>РЕЛЕ РПУ2М-211-1220-У3 110В</x:v>
      </x:c>
      <x:c r="D184" s="16" t="str">
        <x:v>Низковольтная аппаратура и запасные части</x:v>
      </x:c>
      <x:c r="E184" s="16" t="str">
        <x:v>ШТ</x:v>
      </x:c>
      <x:c r="F184" s="21" t="n">
        <x:v>2</x:v>
      </x:c>
      <x:c r="G184" s="17" t="n">
        <x:v>748.5187999999999</x:v>
      </x:c>
      <x:c r="H184" s="17" t="n">
        <x:f>G184*F184</x:f>
        <x:v>1497.0375999999999</x:v>
      </x:c>
      <x:c r="I184" s="22" t="str">
        <x:f>HYPERLINK("https://etp-aktiv.ru/catalog/materialy/nizkovoltnaya-apparatura-i-zapasnye-chasti/2000949383-U117/","Открыть позицию")</x:f>
        <x:v>Открыть позицию</x:v>
      </x:c>
    </x:row>
    <x:row r="185" ht="28" customHeight="1">
      <x:c r="A185" s="16" t="str">
        <x:v>Приморская ГРЭС</x:v>
      </x:c>
      <x:c r="B185" s="16" t="str">
        <x:v>2000949385-U117</x:v>
      </x:c>
      <x:c r="C185" s="16" t="str">
        <x:v>РЕЛЕ РПУ2М-211-1440-У3 110В</x:v>
      </x:c>
      <x:c r="D185" s="16" t="str">
        <x:v>Низковольтная аппаратура и запасные части</x:v>
      </x:c>
      <x:c r="E185" s="16" t="str">
        <x:v>ШТ</x:v>
      </x:c>
      <x:c r="F185" s="21" t="n">
        <x:v>2</x:v>
      </x:c>
      <x:c r="G185" s="17" t="n">
        <x:v>938.0214</x:v>
      </x:c>
      <x:c r="H185" s="17" t="n">
        <x:f>G185*F185</x:f>
        <x:v>1876.0428</x:v>
      </x:c>
      <x:c r="I185" s="22" t="str">
        <x:f>HYPERLINK("https://etp-aktiv.ru/catalog/materialy/nizkovoltnaya-apparatura-i-zapasnye-chasti/2000949385-U117/","Открыть позицию")</x:f>
        <x:v>Открыть позицию</x:v>
      </x:c>
    </x:row>
    <x:row r="186" ht="28" customHeight="1">
      <x:c r="A186" s="16" t="str">
        <x:v>Приморская ГРЭС</x:v>
      </x:c>
      <x:c r="B186" s="16" t="str">
        <x:v>2000949384-U117</x:v>
      </x:c>
      <x:c r="C186" s="16" t="str">
        <x:v>РЕЛЕ РПУ2М-211-1620-У3 110В</x:v>
      </x:c>
      <x:c r="D186" s="16" t="str">
        <x:v>Низковольтная аппаратура и запасные части</x:v>
      </x:c>
      <x:c r="E186" s="16" t="str">
        <x:v>ШТ</x:v>
      </x:c>
      <x:c r="F186" s="21" t="n">
        <x:v>2</x:v>
      </x:c>
      <x:c r="G186" s="17" t="n">
        <x:v>938.0214</x:v>
      </x:c>
      <x:c r="H186" s="17" t="n">
        <x:f>G186*F186</x:f>
        <x:v>1876.0428</x:v>
      </x:c>
      <x:c r="I186" s="22" t="str">
        <x:f>HYPERLINK("https://etp-aktiv.ru/catalog/materialy/nizkovoltnaya-apparatura-i-zapasnye-chasti/2000949384-U117/","Открыть позицию")</x:f>
        <x:v>Открыть позицию</x:v>
      </x:c>
    </x:row>
    <x:row r="187" ht="28" customHeight="1">
      <x:c r="A187" s="16" t="str">
        <x:v>Приморская ГРЭС</x:v>
      </x:c>
      <x:c r="B187" s="16" t="str">
        <x:v>2001023981-U117</x:v>
      </x:c>
      <x:c r="C187" s="16" t="str">
        <x:v>РЕЛЕ РСВ-18-23Р 380В/50ГЦ 1-10С П/П УХЛ4</x:v>
      </x:c>
      <x:c r="D187" s="16" t="str">
        <x:v>Низковольтная аппаратура и запасные части</x:v>
      </x:c>
      <x:c r="E187" s="16" t="str">
        <x:v>ШТ</x:v>
      </x:c>
      <x:c r="F187" s="21" t="n">
        <x:v>5</x:v>
      </x:c>
      <x:c r="G187" s="17" t="n">
        <x:v>3643.9936000000002</x:v>
      </x:c>
      <x:c r="H187" s="17" t="n">
        <x:f>G187*F187</x:f>
        <x:v>18219.968</x:v>
      </x:c>
      <x:c r="I187" s="22" t="str">
        <x:f>HYPERLINK("https://etp-aktiv.ru/catalog/materialy/nizkovoltnaya-apparatura-i-zapasnye-chasti/2001023981-U117/","Открыть позицию")</x:f>
        <x:v>Открыть позицию</x:v>
      </x:c>
    </x:row>
    <x:row r="188" ht="28" customHeight="1">
      <x:c r="A188" s="16" t="str">
        <x:v>Приморская ГРЭС</x:v>
      </x:c>
      <x:c r="B188" s="16" t="str">
        <x:v>2001023918-U117</x:v>
      </x:c>
      <x:c r="C188" s="16" t="str">
        <x:v>РЕЛЕ РСВ18-13Р 220В/50ГЦ 1-10С П/П УХЛ4</x:v>
      </x:c>
      <x:c r="D188" s="16" t="str">
        <x:v>Низковольтная аппаратура и запасные части</x:v>
      </x:c>
      <x:c r="E188" s="16" t="str">
        <x:v>ШТ</x:v>
      </x:c>
      <x:c r="F188" s="21" t="n">
        <x:v>5</x:v>
      </x:c>
      <x:c r="G188" s="17" t="n">
        <x:v>3258.9982</x:v>
      </x:c>
      <x:c r="H188" s="17" t="n">
        <x:f>G188*F188</x:f>
        <x:v>16294.991</x:v>
      </x:c>
      <x:c r="I188" s="22" t="str">
        <x:f>HYPERLINK("https://etp-aktiv.ru/catalog/materialy/nizkovoltnaya-apparatura-i-zapasnye-chasti/2001023918-U117/","Открыть позицию")</x:f>
        <x:v>Открыть позицию</x:v>
      </x:c>
    </x:row>
    <x:row r="189" ht="28" customHeight="1">
      <x:c r="A189" s="16" t="str">
        <x:v>Приморская ГРЭС</x:v>
      </x:c>
      <x:c r="B189" s="16" t="str">
        <x:v>2000117823-U117</x:v>
      </x:c>
      <x:c r="C189" s="16" t="str">
        <x:v>РОЗЕТКА 1 О/У ОЛИМП 16А 220В,IP20</x:v>
      </x:c>
      <x:c r="D189" s="16" t="str">
        <x:v>Осветительная продукция и изделия электроустановочные</x:v>
      </x:c>
      <x:c r="E189" s="16" t="str">
        <x:v>ШТ</x:v>
      </x:c>
      <x:c r="F189" s="21" t="n">
        <x:v>12</x:v>
      </x:c>
      <x:c r="G189" s="17" t="n">
        <x:v>70.14999999999999</x:v>
      </x:c>
      <x:c r="H189" s="17" t="n">
        <x:f>G189*F189</x:f>
        <x:v>841.8</x:v>
      </x:c>
      <x:c r="I189" s="22" t="str">
        <x:f>HYPERLINK("https://etp-aktiv.ru/catalog/materialy/ehlektrotekhnicheskie-materialy/2000117823-U117/","Открыть позицию")</x:f>
        <x:v>Открыть позицию</x:v>
      </x:c>
    </x:row>
    <x:row r="190" ht="28" customHeight="1">
      <x:c r="A190" s="16" t="str">
        <x:v>Приморская ГРЭС</x:v>
      </x:c>
      <x:c r="B190" s="16" t="str">
        <x:v>2000175326-U117</x:v>
      </x:c>
      <x:c r="C190" s="16" t="str">
        <x:v>РОЗЕТКА 123 СТАЦ 2Р+РЕ 220В 32А IP44</x:v>
      </x:c>
      <x:c r="D190" s="16" t="str">
        <x:v>Осветительная продукция и изделия электроустановочные</x:v>
      </x:c>
      <x:c r="E190" s="16" t="str">
        <x:v>ШТ</x:v>
      </x:c>
      <x:c r="F190" s="21" t="n">
        <x:v>38</x:v>
      </x:c>
      <x:c r="G190" s="17" t="n">
        <x:v>309.087</x:v>
      </x:c>
      <x:c r="H190" s="17" t="n">
        <x:f>G190*F190</x:f>
        <x:v>11745.306</x:v>
      </x:c>
      <x:c r="I190" s="22" t="str">
        <x:f>HYPERLINK("https://etp-aktiv.ru/catalog/materialy/ehlektrotekhnicheskie-materialy/2000175326-U117/","Открыть позицию")</x:f>
        <x:v>Открыть позицию</x:v>
      </x:c>
    </x:row>
    <x:row r="191" ht="28" customHeight="1">
      <x:c r="A191" s="16" t="str">
        <x:v>Приморская ГРЭС</x:v>
      </x:c>
      <x:c r="B191" s="16" t="str">
        <x:v>2000489335-U117</x:v>
      </x:c>
      <x:c r="C191" s="16" t="str">
        <x:v>РОЗЕТКА 2М С З/К О/У РСБ22-3-ФСР 250В</x:v>
      </x:c>
      <x:c r="D191" s="16" t="str">
        <x:v>Осветительная продукция и изделия электроустановочные</x:v>
      </x:c>
      <x:c r="E191" s="16" t="str">
        <x:v>ШТ</x:v>
      </x:c>
      <x:c r="F191" s="21" t="n">
        <x:v>14</x:v>
      </x:c>
      <x:c r="G191" s="17" t="n">
        <x:v>333.6212</x:v>
      </x:c>
      <x:c r="H191" s="17" t="n">
        <x:f>G191*F191</x:f>
        <x:v>4670.6968</x:v>
      </x:c>
      <x:c r="I191" s="22" t="str">
        <x:f>HYPERLINK("https://etp-aktiv.ru/catalog/materialy/ehlektrotekhnicheskie-materialy/2000489335-U117/","Открыть позицию")</x:f>
        <x:v>Открыть позицию</x:v>
      </x:c>
    </x:row>
    <x:row r="192" ht="28" customHeight="1">
      <x:c r="A192" s="16" t="str">
        <x:v>Приморская ГРЭС</x:v>
      </x:c>
      <x:c r="B192" s="16" t="str">
        <x:v>2000383198-U117</x:v>
      </x:c>
      <x:c r="C192" s="16" t="str">
        <x:v>РОЗЕТКА ДВУХМЕСТНАЯ РС12-3-КБ 250В 16А</x:v>
      </x:c>
      <x:c r="D192" s="16" t="str">
        <x:v>Осветительная продукция и изделия электроустановочные</x:v>
      </x:c>
      <x:c r="E192" s="16" t="str">
        <x:v>ШТ</x:v>
      </x:c>
      <x:c r="F192" s="21" t="n">
        <x:v>13</x:v>
      </x:c>
      <x:c r="G192" s="17" t="n">
        <x:v>130.0032</x:v>
      </x:c>
      <x:c r="H192" s="17" t="n">
        <x:f>G192*F192</x:f>
        <x:v>1690.0416</x:v>
      </x:c>
      <x:c r="I192" s="22" t="str">
        <x:f>HYPERLINK("https://etp-aktiv.ru/catalog/materialy/ehlektrotekhnicheskie-materialy/2000383198-U117/","Открыть позицию")</x:f>
        <x:v>Открыть позицию</x:v>
      </x:c>
    </x:row>
    <x:row r="193" ht="28" customHeight="1">
      <x:c r="A193" s="16" t="str">
        <x:v>Приморская ГРЭС</x:v>
      </x:c>
      <x:c r="B193" s="16" t="str">
        <x:v>2000738918-U117</x:v>
      </x:c>
      <x:c r="C193" s="16" t="str">
        <x:v>РОЗЕТКА С КОЖУХОМ МЕТАЛЛИЧ РС4ТВ</x:v>
      </x:c>
      <x:c r="D193" s="16" t="str">
        <x:v>Низковольтная аппаратура и запасные части</x:v>
      </x:c>
      <x:c r="E193" s="16" t="str">
        <x:v>ШТ</x:v>
      </x:c>
      <x:c r="F193" s="21" t="n">
        <x:v>10</x:v>
      </x:c>
      <x:c r="G193" s="17" t="n">
        <x:v>4042.165</x:v>
      </x:c>
      <x:c r="H193" s="17" t="n">
        <x:f>G193*F193</x:f>
        <x:v>40421.65</x:v>
      </x:c>
      <x:c r="I193" s="22" t="str">
        <x:f>HYPERLINK("https://etp-aktiv.ru/catalog/materialy/nizkovoltnaya-apparatura-i-zapasnye-chasti/2000738918-U117/","Открыть позицию")</x:f>
        <x:v>Открыть позицию</x:v>
      </x:c>
    </x:row>
    <x:row r="194" ht="28" customHeight="1">
      <x:c r="A194" s="16" t="str">
        <x:v>Приморская ГРЭС</x:v>
      </x:c>
      <x:c r="B194" s="16" t="str">
        <x:v>2000465186-U117</x:v>
      </x:c>
      <x:c r="C194" s="16" t="str">
        <x:v>РОЗЕТКА ТАЙМЫР SQ1814-0018 250В 16А IP20</x:v>
      </x:c>
      <x:c r="D194" s="16" t="str">
        <x:v>Осветительная продукция и изделия электроустановочные</x:v>
      </x:c>
      <x:c r="E194" s="16" t="str">
        <x:v>ШТ</x:v>
      </x:c>
      <x:c r="F194" s="21" t="n">
        <x:v>4</x:v>
      </x:c>
      <x:c r="G194" s="17" t="n">
        <x:v>75.64</x:v>
      </x:c>
      <x:c r="H194" s="17" t="n">
        <x:f>G194*F194</x:f>
        <x:v>302.56</x:v>
      </x:c>
      <x:c r="I194" s="22" t="str">
        <x:f>HYPERLINK("https://etp-aktiv.ru/catalog/materialy/ehlektrotekhnicheskie-materialy/2000465186-U117/","Открыть позицию")</x:f>
        <x:v>Открыть позицию</x:v>
      </x:c>
    </x:row>
    <x:row r="195" ht="28" customHeight="1">
      <x:c r="A195" s="16" t="str">
        <x:v>Приморская ГРЭС</x:v>
      </x:c>
      <x:c r="B195" s="16" t="str">
        <x:v>2000519989-U117</x:v>
      </x:c>
      <x:c r="C195" s="16" t="str">
        <x:v>СБОРКА ПРОЖЕКТ СХ ПСДС-2-120-26400-67</x:v>
      </x:c>
      <x:c r="D195" s="16" t="str">
        <x:v>Осветит-я продукция и изделия э/установоч спец-е и под заказ</x:v>
      </x:c>
      <x:c r="E195" s="16" t="str">
        <x:v>ШТ</x:v>
      </x:c>
      <x:c r="F195" s="21" t="n">
        <x:v>3</x:v>
      </x:c>
      <x:c r="G195" s="17" t="n">
        <x:v>6908.25</x:v>
      </x:c>
      <x:c r="H195" s="17" t="n">
        <x:f>G195*F195</x:f>
        <x:v>20724.75</x:v>
      </x:c>
      <x:c r="I195" s="22" t="str">
        <x:f>HYPERLINK("https://etp-aktiv.ru/catalog/materialy/ehlektrotekhnicheskie-materialy/2000519989-U117/","Открыть позицию")</x:f>
        <x:v>Открыть позицию</x:v>
      </x:c>
    </x:row>
    <x:row r="196" ht="28" customHeight="1">
      <x:c r="A196" s="16" t="str">
        <x:v>Приморская ГРЭС</x:v>
      </x:c>
      <x:c r="B196" s="16" t="str">
        <x:v>2000586186-U117</x:v>
      </x:c>
      <x:c r="C196" s="16" t="str">
        <x:v>СВЕТИЛЬН ПЕРЕНОС UNIVERSAL 20М 966U-0120</x:v>
      </x:c>
      <x:c r="D196" s="16" t="str">
        <x:v>Осветительная продукция и изделия электроустановочные</x:v>
      </x:c>
      <x:c r="E196" s="16" t="str">
        <x:v>ШТ</x:v>
      </x:c>
      <x:c r="F196" s="21" t="n">
        <x:v>50</x:v>
      </x:c>
      <x:c r="G196" s="17" t="n">
        <x:v>1249.1336</x:v>
      </x:c>
      <x:c r="H196" s="17" t="n">
        <x:f>G196*F196</x:f>
        <x:v>62456.67999999999</x:v>
      </x:c>
      <x:c r="I196" s="22" t="str">
        <x:f>HYPERLINK("https://etp-aktiv.ru/catalog/materialy/ehlektrotekhnicheskie-materialy/2000586186-U117/","Открыть позицию")</x:f>
        <x:v>Открыть позицию</x:v>
      </x:c>
    </x:row>
    <x:row r="197" ht="28" customHeight="1">
      <x:c r="A197" s="16" t="str">
        <x:v>Приморская ГРЭС</x:v>
      </x:c>
      <x:c r="B197" s="16" t="str">
        <x:v>2000545540-U117</x:v>
      </x:c>
      <x:c r="C197" s="16" t="str">
        <x:v>СВЕТИЛЬНИК ЛСП 22-2*36-502 PVLM G13 36ВТ</x:v>
      </x:c>
      <x:c r="D197" s="16" t="str">
        <x:v>Осветительная продукция и изделия электроустановочные</x:v>
      </x:c>
      <x:c r="E197" s="16" t="str">
        <x:v>ШТ</x:v>
      </x:c>
      <x:c r="F197" s="21" t="n">
        <x:v>2</x:v>
      </x:c>
      <x:c r="G197" s="17" t="n">
        <x:v>4935.1318</x:v>
      </x:c>
      <x:c r="H197" s="17" t="n">
        <x:f>G197*F197</x:f>
        <x:v>9870.2636</x:v>
      </x:c>
      <x:c r="I197" s="22" t="str">
        <x:f>HYPERLINK("https://etp-aktiv.ru/catalog/materialy/ehlektrotekhnicheskie-materialy/2000545540-U117/","Открыть позицию")</x:f>
        <x:v>Открыть позицию</x:v>
      </x:c>
    </x:row>
    <x:row r="198" ht="28" customHeight="1">
      <x:c r="A198" s="16" t="str">
        <x:v>Приморская ГРЭС</x:v>
      </x:c>
      <x:c r="B198" s="16" t="str">
        <x:v>2000545545-U117</x:v>
      </x:c>
      <x:c r="C198" s="16" t="str">
        <x:v>СВЕТИЛЬНИК ЛУЧ М-01 B22D B22d 60ВТ IP65</x:v>
      </x:c>
      <x:c r="D198" s="16" t="str">
        <x:v>Осветительная продукция и изделия электроустановочные</x:v>
      </x:c>
      <x:c r="E198" s="16" t="str">
        <x:v>ШТ</x:v>
      </x:c>
      <x:c r="F198" s="21" t="n">
        <x:v>5</x:v>
      </x:c>
      <x:c r="G198" s="17" t="n">
        <x:v>457.5</x:v>
      </x:c>
      <x:c r="H198" s="17" t="n">
        <x:f>G198*F198</x:f>
        <x:v>2287.5</x:v>
      </x:c>
      <x:c r="I198" s="22" t="str">
        <x:f>HYPERLINK("https://etp-aktiv.ru/catalog/materialy/ehlektrotekhnicheskie-materialy/2000545545-U117/","Открыть позицию")</x:f>
        <x:v>Открыть позицию</x:v>
      </x:c>
    </x:row>
    <x:row r="199" ht="28" customHeight="1">
      <x:c r="A199" s="16" t="str">
        <x:v>Приморская ГРЭС</x:v>
      </x:c>
      <x:c r="B199" s="16" t="str">
        <x:v>2000282940-U117</x:v>
      </x:c>
      <x:c r="C199" s="16" t="str">
        <x:v>СВЕТИЛЬНИК НСП 02(41)-200-003 Е27 200ВТ</x:v>
      </x:c>
      <x:c r="D199" s="16" t="str">
        <x:v>Осветительная продукция и изделия электроустановочные</x:v>
      </x:c>
      <x:c r="E199" s="16" t="str">
        <x:v>ШТ</x:v>
      </x:c>
      <x:c r="F199" s="21" t="n">
        <x:v>62</x:v>
      </x:c>
      <x:c r="G199" s="17" t="n">
        <x:v>414.6658</x:v>
      </x:c>
      <x:c r="H199" s="17" t="n">
        <x:f>G199*F199</x:f>
        <x:v>25709.279599999998</x:v>
      </x:c>
      <x:c r="I199" s="22" t="str">
        <x:f>HYPERLINK("https://etp-aktiv.ru/catalog/materialy/ehlektrotekhnicheskie-materialy/2000282940-U117/","Открыть позицию")</x:f>
        <x:v>Открыть позицию</x:v>
      </x:c>
    </x:row>
    <x:row r="200" ht="28" customHeight="1">
      <x:c r="A200" s="16" t="str">
        <x:v>Приморская ГРЭС</x:v>
      </x:c>
      <x:c r="B200" s="16" t="str">
        <x:v>2000545556-U117</x:v>
      </x:c>
      <x:c r="C200" s="16" t="str">
        <x:v>СВЕТИЛЬНИК НСП 02-100-001 E27 100ВТ IP52</x:v>
      </x:c>
      <x:c r="D200" s="16" t="str">
        <x:v>Осветительная продукция и изделия электроустановочные</x:v>
      </x:c>
      <x:c r="E200" s="16" t="str">
        <x:v>ШТ</x:v>
      </x:c>
      <x:c r="F200" s="21" t="n">
        <x:v>104</x:v>
      </x:c>
      <x:c r="G200" s="17" t="n">
        <x:v>192.7478</x:v>
      </x:c>
      <x:c r="H200" s="17" t="n">
        <x:f>G200*F200</x:f>
        <x:v>20045.771200000003</x:v>
      </x:c>
      <x:c r="I200" s="22" t="str">
        <x:f>HYPERLINK("https://etp-aktiv.ru/catalog/materialy/ehlektrotekhnicheskie-materialy/2000545556-U117/","Открыть позицию")</x:f>
        <x:v>Открыть позицию</x:v>
      </x:c>
    </x:row>
    <x:row r="201" ht="28" customHeight="1">
      <x:c r="A201" s="16" t="str">
        <x:v>Приморская ГРЭС</x:v>
      </x:c>
      <x:c r="B201" s="16" t="str">
        <x:v>2000511134-U117</x:v>
      </x:c>
      <x:c r="C201" s="16" t="str">
        <x:v>СВЕТИЛЬНИК НСП 02-100-001 Е27 100ВТ IP53</x:v>
      </x:c>
      <x:c r="D201" s="16" t="str">
        <x:v>Осветительная продукция и изделия электроустановочные</x:v>
      </x:c>
      <x:c r="E201" s="16" t="str">
        <x:v>ШТ</x:v>
      </x:c>
      <x:c r="F201" s="21" t="n">
        <x:v>117</x:v>
      </x:c>
      <x:c r="G201" s="17" t="n">
        <x:v>192.6136</x:v>
      </x:c>
      <x:c r="H201" s="17" t="n">
        <x:f>G201*F201</x:f>
        <x:v>22535.7912</x:v>
      </x:c>
      <x:c r="I201" s="22" t="str">
        <x:f>HYPERLINK("https://etp-aktiv.ru/catalog/materialy/ehlektrotekhnicheskie-materialy/2000511134-U117/","Открыть позицию")</x:f>
        <x:v>Открыть позицию</x:v>
      </x:c>
    </x:row>
    <x:row r="202" ht="28" customHeight="1">
      <x:c r="A202" s="16" t="str">
        <x:v>Приморская ГРЭС</x:v>
      </x:c>
      <x:c r="B202" s="16" t="str">
        <x:v>2000785997-U117</x:v>
      </x:c>
      <x:c r="C202" s="16" t="str">
        <x:v>СВЕТИЛЬНИК НСП 02-200-001 ВЗГ-200 E27</x:v>
      </x:c>
      <x:c r="D202" s="16" t="str">
        <x:v>Осветительная продукция и изделия электроустановочные</x:v>
      </x:c>
      <x:c r="E202" s="16" t="str">
        <x:v>ШТ</x:v>
      </x:c>
      <x:c r="F202" s="21" t="n">
        <x:v>1</x:v>
      </x:c>
      <x:c r="G202" s="17" t="n">
        <x:v>3203.9639999999995</x:v>
      </x:c>
      <x:c r="H202" s="17" t="n">
        <x:f>G202*F202</x:f>
        <x:v>3203.9639999999995</x:v>
      </x:c>
      <x:c r="I202" s="22" t="str">
        <x:f>HYPERLINK("https://etp-aktiv.ru/catalog/materialy/ehlektrotekhnicheskie-materialy/2000785997-U117/","Открыть позицию")</x:f>
        <x:v>Открыть позицию</x:v>
      </x:c>
    </x:row>
    <x:row r="203" ht="28" customHeight="1">
      <x:c r="A203" s="16" t="str">
        <x:v>Приморская ГРЭС</x:v>
      </x:c>
      <x:c r="B203" s="16" t="str">
        <x:v>2000720456-U117</x:v>
      </x:c>
      <x:c r="C203" s="16" t="str">
        <x:v>СВЕТИЛЬНИК НСП 09-200-001 Е27 200ВТ IP51</x:v>
      </x:c>
      <x:c r="D203" s="16" t="str">
        <x:v>Осветительная продукция и изделия электроустановочные</x:v>
      </x:c>
      <x:c r="E203" s="16" t="str">
        <x:v>ШТ</x:v>
      </x:c>
      <x:c r="F203" s="21" t="n">
        <x:v>110</x:v>
      </x:c>
      <x:c r="G203" s="17" t="n">
        <x:v>976</x:v>
      </x:c>
      <x:c r="H203" s="17" t="n">
        <x:f>G203*F203</x:f>
        <x:v>107360</x:v>
      </x:c>
      <x:c r="I203" s="22" t="str">
        <x:f>HYPERLINK("https://etp-aktiv.ru/catalog/materialy/ehlektrotekhnicheskie-materialy/2000720456-U117/","Открыть позицию")</x:f>
        <x:v>Открыть позицию</x:v>
      </x:c>
    </x:row>
    <x:row r="204" ht="28" customHeight="1">
      <x:c r="A204" s="16" t="str">
        <x:v>Приморская ГРЭС</x:v>
      </x:c>
      <x:c r="B204" s="16" t="str">
        <x:v>2000545571-U117</x:v>
      </x:c>
      <x:c r="C204" s="16" t="str">
        <x:v>СВЕТИЛЬНИК ПВЛМ П-2*36-012 G13 2*36ВТ</x:v>
      </x:c>
      <x:c r="D204" s="16" t="str">
        <x:v>Осветительная продукция и изделия электроустановочные</x:v>
      </x:c>
      <x:c r="E204" s="16" t="str">
        <x:v>ШТ</x:v>
      </x:c>
      <x:c r="F204" s="21" t="n">
        <x:v>5</x:v>
      </x:c>
      <x:c r="G204" s="17" t="n">
        <x:v>3295.9398</x:v>
      </x:c>
      <x:c r="H204" s="17" t="n">
        <x:f>G204*F204</x:f>
        <x:v>16479.699</x:v>
      </x:c>
      <x:c r="I204" s="22" t="str">
        <x:f>HYPERLINK("https://etp-aktiv.ru/catalog/materialy/ehlektrotekhnicheskie-materialy/2000545571-U117/","Открыть позицию")</x:f>
        <x:v>Открыть позицию</x:v>
      </x:c>
    </x:row>
    <x:row r="205" ht="28" customHeight="1">
      <x:c r="A205" s="16" t="str">
        <x:v>Приморская ГРЭС</x:v>
      </x:c>
      <x:c r="B205" s="16" t="str">
        <x:v>2000548271-U117</x:v>
      </x:c>
      <x:c r="C205" s="16" t="str">
        <x:v>СВЕТИЛЬНИК СХ УСДС-1-90-9900-65 90ВТ</x:v>
      </x:c>
      <x:c r="D205" s="16" t="str">
        <x:v>Осветительная продукция и изделия электроустановочные</x:v>
      </x:c>
      <x:c r="E205" s="16" t="str">
        <x:v>ШТ</x:v>
      </x:c>
      <x:c r="F205" s="21" t="n">
        <x:v>4</x:v>
      </x:c>
      <x:c r="G205" s="17" t="n">
        <x:v>3868.0099999999998</x:v>
      </x:c>
      <x:c r="H205" s="17" t="n">
        <x:f>G205*F205</x:f>
        <x:v>15472.039999999999</x:v>
      </x:c>
      <x:c r="I205" s="22" t="str">
        <x:f>HYPERLINK("https://etp-aktiv.ru/catalog/materialy/ehlektrotekhnicheskie-materialy/2000548271-U117/","Открыть позицию")</x:f>
        <x:v>Открыть позицию</x:v>
      </x:c>
    </x:row>
    <x:row r="206" ht="28" customHeight="1">
      <x:c r="A206" s="16" t="str">
        <x:v>Приморская ГРЭС</x:v>
      </x:c>
      <x:c r="B206" s="16" t="str">
        <x:v>2000545656-U117</x:v>
      </x:c>
      <x:c r="C206" s="16" t="str">
        <x:v>СВЕТИЛЬНИК УЛИЧНЫЙ ДИОРА 60 STREET SE-Ш</x:v>
      </x:c>
      <x:c r="D206" s="16" t="str">
        <x:v>Осветительная продукция и изделия электроустановочные</x:v>
      </x:c>
      <x:c r="E206" s="16" t="str">
        <x:v>ШТ</x:v>
      </x:c>
      <x:c r="F206" s="21" t="n">
        <x:v>8</x:v>
      </x:c>
      <x:c r="G206" s="17" t="n">
        <x:v>3614.25</x:v>
      </x:c>
      <x:c r="H206" s="17" t="n">
        <x:f>G206*F206</x:f>
        <x:v>28914</x:v>
      </x:c>
      <x:c r="I206" s="22" t="str">
        <x:f>HYPERLINK("https://etp-aktiv.ru/catalog/materialy/ehlektrotekhnicheskie-materialy/2000545656-U117/","Открыть позицию")</x:f>
        <x:v>Открыть позицию</x:v>
      </x:c>
    </x:row>
    <x:row r="207" ht="28" customHeight="1">
      <x:c r="A207" s="16" t="str">
        <x:v>Приморская ГРЭС</x:v>
      </x:c>
      <x:c r="B207" s="16" t="str">
        <x:v>2000472900-U117</x:v>
      </x:c>
      <x:c r="C207" s="16" t="str">
        <x:v>СЕКУНДОМЕР СОСПР-2Б-2-010</x:v>
      </x:c>
      <x:c r="D207" s="16" t="str">
        <x:v>Запасные части и принадлежности для приборов КИПиА</x:v>
      </x:c>
      <x:c r="E207" s="16" t="str">
        <x:v>ШТ</x:v>
      </x:c>
      <x:c r="F207" s="21" t="n">
        <x:v>1</x:v>
      </x:c>
      <x:c r="G207" s="17" t="n">
        <x:v>8230.425</x:v>
      </x:c>
      <x:c r="H207" s="17" t="n">
        <x:f>G207*F207</x:f>
        <x:v>8230.425</x:v>
      </x:c>
      <x:c r="I207" s="22" t="str">
        <x:f>HYPERLINK("https://etp-aktiv.ru/catalog/materialy/zapasnye-chasti-i-prinadlezhnosti-dlya-priborov-kipia/2000472900-U117/","Открыть позицию")</x:f>
        <x:v>Открыть позицию</x:v>
      </x:c>
    </x:row>
    <x:row r="208" ht="28" customHeight="1">
      <x:c r="A208" s="16" t="str">
        <x:v>Приморская ГРЭС</x:v>
      </x:c>
      <x:c r="B208" s="16" t="str">
        <x:v>2000175886-U117</x:v>
      </x:c>
      <x:c r="C208" s="16" t="str">
        <x:v>СИНТОФЛЕКС 515 0,17ММ</x:v>
      </x:c>
      <x:c r="D208" s="16" t="str">
        <x:v>Электроизоляционные материалы</x:v>
      </x:c>
      <x:c r="E208" s="16" t="str">
        <x:v>КГ</x:v>
      </x:c>
      <x:c r="F208" s="26" t="n">
        <x:v>0.389</x:v>
      </x:c>
      <x:c r="G208" s="17" t="n">
        <x:v>199.0186</x:v>
      </x:c>
      <x:c r="H208" s="17" t="n">
        <x:f>G208*F208</x:f>
        <x:v>77.4182354</x:v>
      </x:c>
      <x:c r="I208" s="22" t="str">
        <x:f>HYPERLINK("https://etp-aktiv.ru/catalog/materialy/ehlektroizolyacionnye-materialy/2000175886-U117/","Открыть позицию")</x:f>
        <x:v>Открыть позицию</x:v>
      </x:c>
    </x:row>
    <x:row r="209" ht="28" customHeight="1">
      <x:c r="A209" s="16" t="str">
        <x:v>Приморская ГРЭС</x:v>
      </x:c>
      <x:c r="B209" s="16" t="str">
        <x:v>2000483977-U117</x:v>
      </x:c>
      <x:c r="C209" s="16" t="str">
        <x:v>СИНТОФЛЕКС 515 0,25ММ</x:v>
      </x:c>
      <x:c r="D209" s="16" t="str">
        <x:v>Электроизоляционные материалы</x:v>
      </x:c>
      <x:c r="E209" s="16" t="str">
        <x:v>КГ</x:v>
      </x:c>
      <x:c r="F209" s="30" t="n">
        <x:v>1.7</x:v>
      </x:c>
      <x:c r="G209" s="17" t="n">
        <x:v>336.71999999999997</x:v>
      </x:c>
      <x:c r="H209" s="17" t="n">
        <x:f>G209*F209</x:f>
        <x:v>572.424</x:v>
      </x:c>
      <x:c r="I209" s="22" t="str">
        <x:f>HYPERLINK("https://etp-aktiv.ru/catalog/materialy/ehlektroizolyacionnye-materialy/2000483977-U117/","Открыть позицию")</x:f>
        <x:v>Открыть позицию</x:v>
      </x:c>
    </x:row>
    <x:row r="210" ht="28" customHeight="1">
      <x:c r="A210" s="16" t="str">
        <x:v>Приморская ГРЭС</x:v>
      </x:c>
      <x:c r="B210" s="16" t="str">
        <x:v>2000040981-U117</x:v>
      </x:c>
      <x:c r="C210" s="16" t="str">
        <x:v>СТ/ТЕКСТОЛИТ ЛИСТ СТЭФ 10ММ ГОСТ12652</x:v>
      </x:c>
      <x:c r="D210" s="16" t="str">
        <x:v>Электроизоляционные материалы</x:v>
      </x:c>
      <x:c r="E210" s="16" t="str">
        <x:v>КГ</x:v>
      </x:c>
      <x:c r="F210" s="30" t="n">
        <x:v>20.6</x:v>
      </x:c>
      <x:c r="G210" s="17" t="n">
        <x:v>230.0066</x:v>
      </x:c>
      <x:c r="H210" s="17" t="n">
        <x:f>G210*F210</x:f>
        <x:v>4738.1359600000005</x:v>
      </x:c>
      <x:c r="I210" s="22" t="str">
        <x:f>HYPERLINK("https://etp-aktiv.ru/catalog/materialy/ehlektroizolyacionnye-materialy/2000040981-U117/","Открыть позицию")</x:f>
        <x:v>Открыть позицию</x:v>
      </x:c>
    </x:row>
    <x:row r="211" ht="28" customHeight="1">
      <x:c r="A211" s="16" t="str">
        <x:v>Приморская ГРЭС</x:v>
      </x:c>
      <x:c r="B211" s="16" t="str">
        <x:v>2000041506-U117</x:v>
      </x:c>
      <x:c r="C211" s="16" t="str">
        <x:v>СТ/ТЕКСТОЛИТ ЛИСТ СТЭФ 4.0 ММ</x:v>
      </x:c>
      <x:c r="D211" s="16" t="str">
        <x:v>Электроизоляционные материалы</x:v>
      </x:c>
      <x:c r="E211" s="16" t="str">
        <x:v>КГ</x:v>
      </x:c>
      <x:c r="F211" s="30" t="n">
        <x:v>1.7</x:v>
      </x:c>
      <x:c r="G211" s="17" t="n">
        <x:v>192.15</x:v>
      </x:c>
      <x:c r="H211" s="17" t="n">
        <x:f>G211*F211</x:f>
        <x:v>326.655</x:v>
      </x:c>
      <x:c r="I211" s="22" t="str">
        <x:f>HYPERLINK("https://etp-aktiv.ru/catalog/materialy/ehlektroizolyacionnye-materialy/2000041506-U117/","Открыть позицию")</x:f>
        <x:v>Открыть позицию</x:v>
      </x:c>
    </x:row>
    <x:row r="212" ht="28" customHeight="1">
      <x:c r="A212" s="16" t="str">
        <x:v>Приморская ГРЭС</x:v>
      </x:c>
      <x:c r="B212" s="16" t="str">
        <x:v>2000548603-U117</x:v>
      </x:c>
      <x:c r="C212" s="16" t="str">
        <x:v>СТ/ТЕКСТОЛИТ СТЭФ-П 1,0 ТУ16-503.168</x:v>
      </x:c>
      <x:c r="D212" s="16" t="str">
        <x:v>Электроизоляционные материалы</x:v>
      </x:c>
      <x:c r="E212" s="16" t="str">
        <x:v>КГ</x:v>
      </x:c>
      <x:c r="F212" s="30" t="n">
        <x:v>2.68</x:v>
      </x:c>
      <x:c r="G212" s="17" t="n">
        <x:v>22875</x:v>
      </x:c>
      <x:c r="H212" s="17" t="n">
        <x:f>G212*F212</x:f>
        <x:v>61305.00000000001</x:v>
      </x:c>
      <x:c r="I212" s="22" t="str">
        <x:f>HYPERLINK("https://etp-aktiv.ru/catalog/materialy/ehlektroizolyacionnye-materialy/2000548603-U117/","Открыть позицию")</x:f>
        <x:v>Открыть позицию</x:v>
      </x:c>
    </x:row>
    <x:row r="213" ht="28" customHeight="1">
      <x:c r="A213" s="16" t="str">
        <x:v>Приморская ГРЭС</x:v>
      </x:c>
      <x:c r="B213" s="16" t="str">
        <x:v>2000041261-U117</x:v>
      </x:c>
      <x:c r="C213" s="16" t="str">
        <x:v>СТАРТЕР 220В 80</x:v>
      </x:c>
      <x:c r="D213" s="16" t="str">
        <x:v>Осветительная продукция и изделия электроустановочные</x:v>
      </x:c>
      <x:c r="E213" s="16" t="str">
        <x:v>ШТ</x:v>
      </x:c>
      <x:c r="F213" s="21" t="n">
        <x:v>20</x:v>
      </x:c>
      <x:c r="G213" s="17" t="n">
        <x:v>8.113</x:v>
      </x:c>
      <x:c r="H213" s="17" t="n">
        <x:f>G213*F213</x:f>
        <x:v>162.26</x:v>
      </x:c>
      <x:c r="I213" s="22" t="str">
        <x:f>HYPERLINK("https://etp-aktiv.ru/catalog/materialy/ehlektrotekhnicheskie-materialy/2000041261-U117/","Открыть позицию")</x:f>
        <x:v>Открыть позицию</x:v>
      </x:c>
    </x:row>
    <x:row r="214" ht="28" customHeight="1">
      <x:c r="A214" s="16" t="str">
        <x:v>Приморская ГРЭС</x:v>
      </x:c>
      <x:c r="B214" s="16" t="str">
        <x:v>2000855118-U117</x:v>
      </x:c>
      <x:c r="C214" s="16" t="str">
        <x:v>СТАРТЕР 80С-220-2 220В 80ВТ</x:v>
      </x:c>
      <x:c r="D214" s="16" t="str">
        <x:v>Осветительная продукция и изделия электроустановочные</x:v>
      </x:c>
      <x:c r="E214" s="16" t="str">
        <x:v>ШТ</x:v>
      </x:c>
      <x:c r="F214" s="21" t="n">
        <x:v>85</x:v>
      </x:c>
      <x:c r="G214" s="17" t="n">
        <x:v>9.4916</x:v>
      </x:c>
      <x:c r="H214" s="17" t="n">
        <x:f>G214*F214</x:f>
        <x:v>806.7860000000001</x:v>
      </x:c>
      <x:c r="I214" s="22" t="str">
        <x:f>HYPERLINK("https://etp-aktiv.ru/catalog/materialy/ehlektrotekhnicheskie-materialy/2000855118-U117/","Открыть позицию")</x:f>
        <x:v>Открыть позицию</x:v>
      </x:c>
    </x:row>
    <x:row r="215" ht="28" customHeight="1">
      <x:c r="A215" s="16" t="str">
        <x:v>Приморская ГРЭС</x:v>
      </x:c>
      <x:c r="B215" s="16" t="str">
        <x:v>2000076889-U117</x:v>
      </x:c>
      <x:c r="C215" s="16" t="str">
        <x:v>СТАРТЕР FS-2 4-22ВТ 110</x:v>
      </x:c>
      <x:c r="D215" s="16" t="str">
        <x:v>Осветительная продукция и изделия электроустановочные</x:v>
      </x:c>
      <x:c r="E215" s="16" t="str">
        <x:v>ШТ</x:v>
      </x:c>
      <x:c r="F215" s="21" t="n">
        <x:v>50</x:v>
      </x:c>
      <x:c r="G215" s="17" t="n">
        <x:v>12.358600000000001</x:v>
      </x:c>
      <x:c r="H215" s="17" t="n">
        <x:f>G215*F215</x:f>
        <x:v>617.9300000000001</x:v>
      </x:c>
      <x:c r="I215" s="22" t="str">
        <x:f>HYPERLINK("https://etp-aktiv.ru/catalog/materialy/ehlektrotekhnicheskie-materialy/2000076889-U117/","Открыть позицию")</x:f>
        <x:v>Открыть позицию</x:v>
      </x:c>
    </x:row>
    <x:row r="216" ht="28" customHeight="1">
      <x:c r="A216" s="16" t="str">
        <x:v>Приморская ГРЭС</x:v>
      </x:c>
      <x:c r="B216" s="16" t="str">
        <x:v>2000545667-U117</x:v>
      </x:c>
      <x:c r="C216" s="16" t="str">
        <x:v>СТАРТЕР LS-151 4-22ВТ 220-240В</x:v>
      </x:c>
      <x:c r="D216" s="16" t="str">
        <x:v>Осветительная продукция и изделия электроустановочные</x:v>
      </x:c>
      <x:c r="E216" s="16" t="str">
        <x:v>ШТ</x:v>
      </x:c>
      <x:c r="F216" s="21" t="n">
        <x:v>405</x:v>
      </x:c>
      <x:c r="G216" s="17" t="n">
        <x:v>21.6672</x:v>
      </x:c>
      <x:c r="H216" s="17" t="n">
        <x:f>G216*F216</x:f>
        <x:v>8775.216</x:v>
      </x:c>
      <x:c r="I216" s="22" t="str">
        <x:f>HYPERLINK("https://etp-aktiv.ru/catalog/materialy/ehlektrotekhnicheskie-materialy/2000545667-U117/","Открыть позицию")</x:f>
        <x:v>Открыть позицию</x:v>
      </x:c>
    </x:row>
    <x:row r="217" ht="28" customHeight="1">
      <x:c r="A217" s="16" t="str">
        <x:v>Приморская ГРЭС</x:v>
      </x:c>
      <x:c r="B217" s="16" t="str">
        <x:v>2000129117-U117</x:v>
      </x:c>
      <x:c r="C217" s="16" t="str">
        <x:v>СТАРТЕР OS ST111 4-80ВТ 220-240</x:v>
      </x:c>
      <x:c r="D217" s="16" t="str">
        <x:v>Осветительная продукция и изделия электроустановочные</x:v>
      </x:c>
      <x:c r="E217" s="16" t="str">
        <x:v>ШТ</x:v>
      </x:c>
      <x:c r="F217" s="21" t="n">
        <x:v>50</x:v>
      </x:c>
      <x:c r="G217" s="17" t="n">
        <x:v>11.528999999999998</x:v>
      </x:c>
      <x:c r="H217" s="17" t="n">
        <x:f>G217*F217</x:f>
        <x:v>576.4499999999999</x:v>
      </x:c>
      <x:c r="I217" s="22" t="str">
        <x:f>HYPERLINK("https://etp-aktiv.ru/catalog/materialy/ehlektrotekhnicheskie-materialy/2000129117-U117/","Открыть позицию")</x:f>
        <x:v>Открыть позицию</x:v>
      </x:c>
    </x:row>
    <x:row r="218" ht="28" customHeight="1">
      <x:c r="A218" s="16" t="str">
        <x:v>Приморская ГРЭС</x:v>
      </x:c>
      <x:c r="B218" s="16" t="str">
        <x:v>2000130847-U117</x:v>
      </x:c>
      <x:c r="C218" s="16" t="str">
        <x:v>СТАРТЕР PHILIPS S10 4-65ВТ 220-240</x:v>
      </x:c>
      <x:c r="D218" s="16" t="str">
        <x:v>Осветительная продукция и изделия электроустановочные</x:v>
      </x:c>
      <x:c r="E218" s="16" t="str">
        <x:v>ШТ</x:v>
      </x:c>
      <x:c r="F218" s="21" t="n">
        <x:v>20</x:v>
      </x:c>
      <x:c r="G218" s="17" t="n">
        <x:v>9.015799999999999</x:v>
      </x:c>
      <x:c r="H218" s="17" t="n">
        <x:f>G218*F218</x:f>
        <x:v>180.31599999999997</x:v>
      </x:c>
      <x:c r="I218" s="22" t="str">
        <x:f>HYPERLINK("https://etp-aktiv.ru/catalog/materialy/ehlektrotekhnicheskie-materialy/2000130847-U117/","Открыть позицию")</x:f>
        <x:v>Открыть позицию</x:v>
      </x:c>
    </x:row>
    <x:row r="219" ht="28" customHeight="1">
      <x:c r="A219" s="16" t="str">
        <x:v>Приморская ГРЭС</x:v>
      </x:c>
      <x:c r="B219" s="16" t="str">
        <x:v>2000545670-U117</x:v>
      </x:c>
      <x:c r="C219" s="16" t="str">
        <x:v>СТАРТЕР S10 SQ0351-0022 4-80ВТ 220-240В</x:v>
      </x:c>
      <x:c r="D219" s="16" t="str">
        <x:v>Осветительная продукция и изделия электроустановочные</x:v>
      </x:c>
      <x:c r="E219" s="16" t="str">
        <x:v>ШТ</x:v>
      </x:c>
      <x:c r="F219" s="21" t="n">
        <x:v>785</x:v>
      </x:c>
      <x:c r="G219" s="17" t="n">
        <x:v>7.1248</x:v>
      </x:c>
      <x:c r="H219" s="17" t="n">
        <x:f>G219*F219</x:f>
        <x:v>5592.968</x:v>
      </x:c>
      <x:c r="I219" s="22" t="str">
        <x:f>HYPERLINK("https://etp-aktiv.ru/catalog/materialy/ehlektrotekhnicheskie-materialy/2000545670-U117/","Открыть позицию")</x:f>
        <x:v>Открыть позицию</x:v>
      </x:c>
    </x:row>
    <x:row r="220" ht="28" customHeight="1">
      <x:c r="A220" s="16" t="str">
        <x:v>Приморская ГРЭС</x:v>
      </x:c>
      <x:c r="B220" s="16" t="str">
        <x:v>2000000181-U117</x:v>
      </x:c>
      <x:c r="C220" s="16" t="str">
        <x:v>СТАРТЕР СК 127-20С</x:v>
      </x:c>
      <x:c r="D220" s="16" t="str">
        <x:v>Осветительная продукция и изделия электроустановочные</x:v>
      </x:c>
      <x:c r="E220" s="16" t="str">
        <x:v>ШТ</x:v>
      </x:c>
      <x:c r="F220" s="21" t="n">
        <x:v>6422</x:v>
      </x:c>
      <x:c r="G220" s="17" t="n">
        <x:v>11.0532</x:v>
      </x:c>
      <x:c r="H220" s="17" t="n">
        <x:f>G220*F220</x:f>
        <x:v>70983.6504</x:v>
      </x:c>
      <x:c r="I220" s="22" t="str">
        <x:f>HYPERLINK("https://etp-aktiv.ru/catalog/materialy/ehlektrotekhnicheskie-materialy/2000000181-U117/","Открыть позицию")</x:f>
        <x:v>Открыть позицию</x:v>
      </x:c>
    </x:row>
    <x:row r="221" ht="28" customHeight="1">
      <x:c r="A221" s="16" t="str">
        <x:v>Приморская ГРЭС</x:v>
      </x:c>
      <x:c r="B221" s="16" t="str">
        <x:v>2000548622-U117</x:v>
      </x:c>
      <x:c r="C221" s="16" t="str">
        <x:v>СТЕРЖЕНЬ ТЕКСТОЛИТ 1С 80*1000 ГОСТ5385</x:v>
      </x:c>
      <x:c r="D221" s="16" t="str">
        <x:v>Электроизоляционные материалы</x:v>
      </x:c>
      <x:c r="E221" s="16" t="str">
        <x:v>КГ</x:v>
      </x:c>
      <x:c r="F221" s="30" t="n">
        <x:v>10.9</x:v>
      </x:c>
      <x:c r="G221" s="17" t="n">
        <x:v>283.3694</x:v>
      </x:c>
      <x:c r="H221" s="17" t="n">
        <x:f>G221*F221</x:f>
        <x:v>3088.72646</x:v>
      </x:c>
      <x:c r="I221" s="22" t="str">
        <x:f>HYPERLINK("https://etp-aktiv.ru/catalog/materialy/ehlektroizolyacionnye-materialy/2000548622-U117/","Открыть позицию")</x:f>
        <x:v>Открыть позицию</x:v>
      </x:c>
    </x:row>
    <x:row r="222" ht="28" customHeight="1">
      <x:c r="A222" s="16" t="str">
        <x:v>Приморская ГРЭС</x:v>
      </x:c>
      <x:c r="B222" s="16" t="str">
        <x:v>2000972747-U117</x:v>
      </x:c>
      <x:c r="C222" s="16" t="str">
        <x:v>СТЕРЖЕНЬ ТЕКСТОЛИТ ВС 25*500 ГОСТ5385-74</x:v>
      </x:c>
      <x:c r="D222" s="16" t="str">
        <x:v>Электроизоляционные материалы</x:v>
      </x:c>
      <x:c r="E222" s="16" t="str">
        <x:v>КГ</x:v>
      </x:c>
      <x:c r="F222" s="26" t="n">
        <x:v>0.5</x:v>
      </x:c>
      <x:c r="G222" s="17" t="n">
        <x:v>212.7436</x:v>
      </x:c>
      <x:c r="H222" s="17" t="n">
        <x:f>G222*F222</x:f>
        <x:v>106.3718</x:v>
      </x:c>
      <x:c r="I222" s="22" t="str">
        <x:f>HYPERLINK("https://etp-aktiv.ru/catalog/materialy/ehlektroizolyacionnye-materialy/2000972747-U117/","Открыть позицию")</x:f>
        <x:v>Открыть позицию</x:v>
      </x:c>
    </x:row>
    <x:row r="223" ht="28" customHeight="1">
      <x:c r="A223" s="16" t="str">
        <x:v>Приморская ГРЭС</x:v>
      </x:c>
      <x:c r="B223" s="16" t="str">
        <x:v>2000457313-U117</x:v>
      </x:c>
      <x:c r="C223" s="16" t="str">
        <x:v>СТЕРЖЕНЬ ФТОРОПЛАСТ Ф-4 12*300ММ</x:v>
      </x:c>
      <x:c r="D223" s="16" t="str">
        <x:v>Электроизоляционные материалы</x:v>
      </x:c>
      <x:c r="E223" s="16" t="str">
        <x:v>КГ</x:v>
      </x:c>
      <x:c r="F223" s="26" t="n">
        <x:v>0.1</x:v>
      </x:c>
      <x:c r="G223" s="17" t="n">
        <x:v>976</x:v>
      </x:c>
      <x:c r="H223" s="17" t="n">
        <x:f>G223*F223</x:f>
        <x:v>97.60000000000001</x:v>
      </x:c>
      <x:c r="I223" s="22" t="str">
        <x:f>HYPERLINK("https://etp-aktiv.ru/catalog/materialy/ehlektroizolyacionnye-materialy/2000457313-U117/","Открыть позицию")</x:f>
        <x:v>Открыть позицию</x:v>
      </x:c>
    </x:row>
    <x:row r="224" ht="28" customHeight="1">
      <x:c r="A224" s="16" t="str">
        <x:v>Приморская ГРЭС</x:v>
      </x:c>
      <x:c r="B224" s="16" t="str">
        <x:v>2000548637-U117</x:v>
      </x:c>
      <x:c r="C224" s="16" t="str">
        <x:v>СТЕРЖЕНЬ ФТОРОПЛАСТ Ф-4 20*1000ММ</x:v>
      </x:c>
      <x:c r="D224" s="16" t="str">
        <x:v>Электроизоляционные материалы</x:v>
      </x:c>
      <x:c r="E224" s="16" t="str">
        <x:v>КГ</x:v>
      </x:c>
      <x:c r="F224" s="26" t="n">
        <x:v>0.46</x:v>
      </x:c>
      <x:c r="G224" s="17" t="n">
        <x:v>1281</x:v>
      </x:c>
      <x:c r="H224" s="17" t="n">
        <x:f>G224*F224</x:f>
        <x:v>589.26</x:v>
      </x:c>
      <x:c r="I224" s="22" t="str">
        <x:f>HYPERLINK("https://etp-aktiv.ru/catalog/materialy/ehlektroizolyacionnye-materialy/2000548637-U117/","Открыть позицию")</x:f>
        <x:v>Открыть позицию</x:v>
      </x:c>
    </x:row>
    <x:row r="225" ht="28" customHeight="1">
      <x:c r="A225" s="16" t="str">
        <x:v>Приморская ГРЭС</x:v>
      </x:c>
      <x:c r="B225" s="16" t="str">
        <x:v>2000548627-U117</x:v>
      </x:c>
      <x:c r="C225" s="16" t="str">
        <x:v>СТЕРЖЕНЬ ФТОРОПЛАСТ Ф-4 25*1000ММ</x:v>
      </x:c>
      <x:c r="D225" s="16" t="str">
        <x:v>Электроизоляционные материалы</x:v>
      </x:c>
      <x:c r="E225" s="16" t="str">
        <x:v>КГ</x:v>
      </x:c>
      <x:c r="F225" s="26" t="n">
        <x:v>0.8</x:v>
      </x:c>
      <x:c r="G225" s="17" t="n">
        <x:v>1281</x:v>
      </x:c>
      <x:c r="H225" s="17" t="n">
        <x:f>G225*F225</x:f>
        <x:v>1024.8</x:v>
      </x:c>
      <x:c r="I225" s="22" t="str">
        <x:f>HYPERLINK("https://etp-aktiv.ru/catalog/materialy/ehlektroizolyacionnye-materialy/2000548627-U117/","Открыть позицию")</x:f>
        <x:v>Открыть позицию</x:v>
      </x:c>
    </x:row>
    <x:row r="226" ht="28" customHeight="1">
      <x:c r="A226" s="16" t="str">
        <x:v>Приморская ГРЭС</x:v>
      </x:c>
      <x:c r="B226" s="16" t="str">
        <x:v>2000548631-U117</x:v>
      </x:c>
      <x:c r="C226" s="16" t="str">
        <x:v>СТЕРЖЕНЬ ФТОРОПЛАСТ Ф-4 50*1000ММ</x:v>
      </x:c>
      <x:c r="D226" s="16" t="str">
        <x:v>Электроизоляционные материалы</x:v>
      </x:c>
      <x:c r="E226" s="16" t="str">
        <x:v>КГ</x:v>
      </x:c>
      <x:c r="F226" s="30" t="n">
        <x:v>15.8</x:v>
      </x:c>
      <x:c r="G226" s="17" t="n">
        <x:v>638.1698</x:v>
      </x:c>
      <x:c r="H226" s="17" t="n">
        <x:f>G226*F226</x:f>
        <x:v>10083.082840000001</x:v>
      </x:c>
      <x:c r="I226" s="22" t="str">
        <x:f>HYPERLINK("https://etp-aktiv.ru/catalog/materialy/ehlektroizolyacionnye-materialy/2000548631-U117/","Открыть позицию")</x:f>
        <x:v>Открыть позицию</x:v>
      </x:c>
    </x:row>
    <x:row r="227" ht="28" customHeight="1">
      <x:c r="A227" s="16" t="str">
        <x:v>Приморская ГРЭС</x:v>
      </x:c>
      <x:c r="B227" s="16" t="str">
        <x:v>2000679157-U117</x:v>
      </x:c>
      <x:c r="C227" s="16" t="str">
        <x:v>СТЕРЖЕНЬ ФТОРОПЛАСТ Ф-4 60*1000ММ</x:v>
      </x:c>
      <x:c r="D227" s="16" t="str">
        <x:v>Электроизоляционные материалы</x:v>
      </x:c>
      <x:c r="E227" s="16" t="str">
        <x:v>КГ</x:v>
      </x:c>
      <x:c r="F227" s="26" t="n">
        <x:v>0.7</x:v>
      </x:c>
      <x:c r="G227" s="17" t="n">
        <x:v>649.65</x:v>
      </x:c>
      <x:c r="H227" s="17" t="n">
        <x:f>G227*F227</x:f>
        <x:v>454.75499999999994</x:v>
      </x:c>
      <x:c r="I227" s="22" t="str">
        <x:f>HYPERLINK("https://etp-aktiv.ru/catalog/materialy/ehlektroizolyacionnye-materialy/2000679157-U117/","Открыть позицию")</x:f>
        <x:v>Открыть позицию</x:v>
      </x:c>
    </x:row>
    <x:row r="228" ht="28" customHeight="1">
      <x:c r="A228" s="16" t="str">
        <x:v>Приморская ГРЭС</x:v>
      </x:c>
      <x:c r="B228" s="16" t="str">
        <x:v>2000548634-U117</x:v>
      </x:c>
      <x:c r="C228" s="16" t="str">
        <x:v>СТЕРЖЕНЬ ФТОРОПЛАСТ Ф-4 80*400ММ</x:v>
      </x:c>
      <x:c r="D228" s="16" t="str">
        <x:v>Электроизоляционные материалы</x:v>
      </x:c>
      <x:c r="E228" s="16" t="str">
        <x:v>КГ</x:v>
      </x:c>
      <x:c r="F228" s="30" t="n">
        <x:v>11.9</x:v>
      </x:c>
      <x:c r="G228" s="17" t="n">
        <x:v>704.55</x:v>
      </x:c>
      <x:c r="H228" s="17" t="n">
        <x:f>G228*F228</x:f>
        <x:v>8384.145</x:v>
      </x:c>
      <x:c r="I228" s="22" t="str">
        <x:f>HYPERLINK("https://etp-aktiv.ru/catalog/materialy/ehlektroizolyacionnye-materialy/2000548634-U117/","Открыть позицию")</x:f>
        <x:v>Открыть позицию</x:v>
      </x:c>
    </x:row>
    <x:row r="229" ht="28" customHeight="1">
      <x:c r="A229" s="16" t="str">
        <x:v>Приморская ГРЭС</x:v>
      </x:c>
      <x:c r="B229" s="16" t="str">
        <x:v>2000628258-U117</x:v>
      </x:c>
      <x:c r="C229" s="16" t="str">
        <x:v>СТЕРЖЕНЬ ФТОРОПЛАСТ Ф-4 90ММ</x:v>
      </x:c>
      <x:c r="D229" s="16" t="str">
        <x:v>Электроизоляционные материалы</x:v>
      </x:c>
      <x:c r="E229" s="16" t="str">
        <x:v>КГ</x:v>
      </x:c>
      <x:c r="F229" s="30" t="n">
        <x:v>15.4</x:v>
      </x:c>
      <x:c r="G229" s="17" t="n">
        <x:v>983.0515999999999</x:v>
      </x:c>
      <x:c r="H229" s="17" t="n">
        <x:f>G229*F229</x:f>
        <x:v>15138.994639999999</x:v>
      </x:c>
      <x:c r="I229" s="22" t="str">
        <x:f>HYPERLINK("https://etp-aktiv.ru/catalog/materialy/ehlektroizolyacionnye-materialy/2000628258-U117/","Открыть позицию")</x:f>
        <x:v>Открыть позицию</x:v>
      </x:c>
    </x:row>
    <x:row r="230" ht="28" customHeight="1">
      <x:c r="A230" s="16" t="str">
        <x:v>Приморская ГРЭС</x:v>
      </x:c>
      <x:c r="B230" s="16" t="str">
        <x:v>2000725415-U117</x:v>
      </x:c>
      <x:c r="C230" s="16" t="str">
        <x:v>Т/ПРЕОБ ТХК 9419-43.01 УХЛ2</x:v>
      </x:c>
      <x:c r="D230" s="16" t="str">
        <x:v>Запасные части и принадлежности для приборов КИПиА</x:v>
      </x:c>
      <x:c r="E230" s="16" t="str">
        <x:v>ШТ</x:v>
      </x:c>
      <x:c r="F230" s="21" t="n">
        <x:v>45</x:v>
      </x:c>
      <x:c r="G230" s="17" t="n">
        <x:v>7072.95</x:v>
      </x:c>
      <x:c r="H230" s="17" t="n">
        <x:f>G230*F230</x:f>
        <x:v>318282.75</x:v>
      </x:c>
      <x:c r="I230" s="22" t="str">
        <x:f>HYPERLINK("https://etp-aktiv.ru/catalog/materialy/zapasnye-chasti-i-prinadlezhnosti-dlya-priborov-kipia/2000725415-U117/","Открыть позицию")</x:f>
        <x:v>Открыть позицию</x:v>
      </x:c>
    </x:row>
    <x:row r="231" ht="28" customHeight="1">
      <x:c r="A231" s="16" t="str">
        <x:v>Приморская ГРЭС</x:v>
      </x:c>
      <x:c r="B231" s="16" t="str">
        <x:v>2000692036-U117</x:v>
      </x:c>
      <x:c r="C231" s="16" t="str">
        <x:v>ТАБЛО СВЕТОВОЕ КРИСТАЛЛ-220 ВЫХОД</x:v>
      </x:c>
      <x:c r="D231" s="16" t="str">
        <x:v>Прочие электротехнические материалы</x:v>
      </x:c>
      <x:c r="E231" s="16" t="str">
        <x:v>ШТ</x:v>
      </x:c>
      <x:c r="F231" s="21" t="n">
        <x:v>100</x:v>
      </x:c>
      <x:c r="G231" s="17" t="n">
        <x:v>340.075</x:v>
      </x:c>
      <x:c r="H231" s="17" t="n">
        <x:f>G231*F231</x:f>
        <x:v>34007.5</x:v>
      </x:c>
      <x:c r="I231" s="22" t="str">
        <x:f>HYPERLINK("https://etp-aktiv.ru/catalog/materialy/ehlektrotekhnicheskie-materialy/2000692036-U117/","Открыть позицию")</x:f>
        <x:v>Открыть позицию</x:v>
      </x:c>
    </x:row>
    <x:row r="232" ht="28" customHeight="1">
      <x:c r="A232" s="16" t="str">
        <x:v>Приморская ГРЭС</x:v>
      </x:c>
      <x:c r="B232" s="16" t="str">
        <x:v>2000042078-U117</x:v>
      </x:c>
      <x:c r="C232" s="16" t="str">
        <x:v>ТЕКСТОЛИТ А 4ММ</x:v>
      </x:c>
      <x:c r="D232" s="16" t="str">
        <x:v>Электроизоляционные материалы</x:v>
      </x:c>
      <x:c r="E232" s="16" t="str">
        <x:v>КГ</x:v>
      </x:c>
      <x:c r="F232" s="30" t="n">
        <x:v>7.5</x:v>
      </x:c>
      <x:c r="G232" s="17" t="n">
        <x:v>269.9982</x:v>
      </x:c>
      <x:c r="H232" s="17" t="n">
        <x:f>G232*F232</x:f>
        <x:v>2024.9865</x:v>
      </x:c>
      <x:c r="I232" s="22" t="str">
        <x:f>HYPERLINK("https://etp-aktiv.ru/catalog/materialy/ehlektroizolyacionnye-materialy/2000042078-U117/","Открыть позицию")</x:f>
        <x:v>Открыть позицию</x:v>
      </x:c>
    </x:row>
    <x:row r="233" ht="28" customHeight="1">
      <x:c r="A233" s="16" t="str">
        <x:v>Приморская ГРЭС</x:v>
      </x:c>
      <x:c r="B233" s="16" t="str">
        <x:v>2000308042-U117</x:v>
      </x:c>
      <x:c r="C233" s="16" t="str">
        <x:v>ТЕНЗОДАТЧИК Z6FC3-200</x:v>
      </x:c>
      <x:c r="D233" s="16" t="str">
        <x:v>Запасные части и принадлежности для приборов КИПиА</x:v>
      </x:c>
      <x:c r="E233" s="16" t="str">
        <x:v>ШТ</x:v>
      </x:c>
      <x:c r="F233" s="21" t="n">
        <x:v>1</x:v>
      </x:c>
      <x:c r="G233" s="17" t="n">
        <x:v>28060</x:v>
      </x:c>
      <x:c r="H233" s="17" t="n">
        <x:f>G233*F233</x:f>
        <x:v>28060</x:v>
      </x:c>
      <x:c r="I233" s="22" t="str">
        <x:f>HYPERLINK("https://etp-aktiv.ru/catalog/materialy/zapasnye-chasti-i-prinadlezhnosti-dlya-priborov-kipia/2000308042-U117/","Открыть позицию")</x:f>
        <x:v>Открыть позицию</x:v>
      </x:c>
    </x:row>
    <x:row r="234" ht="28" customHeight="1">
      <x:c r="A234" s="16" t="str">
        <x:v>Приморская ГРЭС</x:v>
      </x:c>
      <x:c r="B234" s="16" t="str">
        <x:v>5000083213-U117</x:v>
      </x:c>
      <x:c r="C234" s="16" t="str">
        <x:v>ТЕПЛОВЕНТИЛЯТОР ВОДЯНОЙ BALLU BHP-W-30</x:v>
      </x:c>
      <x:c r="D234" s="16" t="str">
        <x:v>Электронагревательные и отопительные агрегаты</x:v>
      </x:c>
      <x:c r="E234" s="16" t="str">
        <x:v>ШТ</x:v>
      </x:c>
      <x:c r="F234" s="21" t="n">
        <x:v>14</x:v>
      </x:c>
      <x:c r="G234" s="17" t="n">
        <x:v>20518.875</x:v>
      </x:c>
      <x:c r="H234" s="17" t="n">
        <x:f>G234*F234</x:f>
        <x:v>287264.25</x:v>
      </x:c>
      <x:c r="I234" s="22" t="str">
        <x:f>HYPERLINK("https://etp-aktiv.ru/catalog/materialy/prochie-materialy/5000083213-U117/","Открыть позицию")</x:f>
        <x:v>Открыть позицию</x:v>
      </x:c>
    </x:row>
    <x:row r="235" ht="28" customHeight="1">
      <x:c r="A235" s="16" t="str">
        <x:v>Приморская ГРЭС</x:v>
      </x:c>
      <x:c r="B235" s="16" t="str">
        <x:v>2000446015-U117</x:v>
      </x:c>
      <x:c r="C235" s="16" t="str">
        <x:v>ТЕПЛОИЗЛУЧАТЕЛЬ Т 230-240-500 Е40</x:v>
      </x:c>
      <x:c r="D235" s="16" t="str">
        <x:v>Осветительная продукция и изделия электроустановочные</x:v>
      </x:c>
      <x:c r="E235" s="16" t="str">
        <x:v>ШТ</x:v>
      </x:c>
      <x:c r="F235" s="21" t="n">
        <x:v>48</x:v>
      </x:c>
      <x:c r="G235" s="17" t="n">
        <x:v>87.047</x:v>
      </x:c>
      <x:c r="H235" s="17" t="n">
        <x:f>G235*F235</x:f>
        <x:v>4178.255999999999</x:v>
      </x:c>
      <x:c r="I235" s="22" t="str">
        <x:f>HYPERLINK("https://etp-aktiv.ru/catalog/materialy/ehlektrotekhnicheskie-materialy/2000446015-U117/","Открыть позицию")</x:f>
        <x:v>Открыть позицию</x:v>
      </x:c>
    </x:row>
    <x:row r="236" ht="28" customHeight="1">
      <x:c r="A236" s="16" t="str">
        <x:v>Приморская ГРЭС</x:v>
      </x:c>
      <x:c r="B236" s="16" t="str">
        <x:v>2000446018-U117</x:v>
      </x:c>
      <x:c r="C236" s="16" t="str">
        <x:v>ТЕПЛОИЗЛУЧАТЕЛЬ Т 230-240V-150 Е-27</x:v>
      </x:c>
      <x:c r="D236" s="16" t="str">
        <x:v>Осветительная продукция и изделия электроустановочные</x:v>
      </x:c>
      <x:c r="E236" s="16" t="str">
        <x:v>ШТ</x:v>
      </x:c>
      <x:c r="F236" s="21" t="n">
        <x:v>2478</x:v>
      </x:c>
      <x:c r="G236" s="17" t="n">
        <x:v>20.5448</x:v>
      </x:c>
      <x:c r="H236" s="17" t="n">
        <x:f>G236*F236</x:f>
        <x:v>50910.0144</x:v>
      </x:c>
      <x:c r="I236" s="22" t="str">
        <x:f>HYPERLINK("https://etp-aktiv.ru/catalog/materialy/ehlektrotekhnicheskie-materialy/2000446018-U117/","Открыть позицию")</x:f>
        <x:v>Открыть позицию</x:v>
      </x:c>
    </x:row>
    <x:row r="237" ht="28" customHeight="1">
      <x:c r="A237" s="16" t="str">
        <x:v>Приморская ГРЭС</x:v>
      </x:c>
      <x:c r="B237" s="16" t="str">
        <x:v>2000716272-U117</x:v>
      </x:c>
      <x:c r="C237" s="16" t="str">
        <x:v>ТЕРМОМЕТР СП-2У N2 НЧ 110 0-100°C</x:v>
      </x:c>
      <x:c r="D237" s="16" t="str">
        <x:v>Запасные части и принадлежности для приборов КИПиА</x:v>
      </x:c>
      <x:c r="E237" s="16" t="str">
        <x:v>ШТ</x:v>
      </x:c>
      <x:c r="F237" s="21" t="n">
        <x:v>10</x:v>
      </x:c>
      <x:c r="G237" s="17" t="n">
        <x:v>449.997</x:v>
      </x:c>
      <x:c r="H237" s="17" t="n">
        <x:f>G237*F237</x:f>
        <x:v>4499.97</x:v>
      </x:c>
      <x:c r="I237" s="22" t="str">
        <x:f>HYPERLINK("https://etp-aktiv.ru/catalog/materialy/zapasnye-chasti-i-prinadlezhnosti-dlya-priborov-kipia/2000716272-U117/","Открыть позицию")</x:f>
        <x:v>Открыть позицию</x:v>
      </x:c>
    </x:row>
    <x:row r="238" ht="28" customHeight="1">
      <x:c r="A238" s="16" t="str">
        <x:v>Приморская ГРЭС</x:v>
      </x:c>
      <x:c r="B238" s="16" t="str">
        <x:v>2000716274-U117</x:v>
      </x:c>
      <x:c r="C238" s="16" t="str">
        <x:v>ТЕРМОМЕТР ТТП N9 0-400°С</x:v>
      </x:c>
      <x:c r="D238" s="16" t="str">
        <x:v>Запасные части и принадлежности для приборов КИПиА</x:v>
      </x:c>
      <x:c r="E238" s="16" t="str">
        <x:v>ШТ</x:v>
      </x:c>
      <x:c r="F238" s="21" t="n">
        <x:v>4</x:v>
      </x:c>
      <x:c r="G238" s="17" t="n">
        <x:v>1705.4746</x:v>
      </x:c>
      <x:c r="H238" s="17" t="n">
        <x:f>G238*F238</x:f>
        <x:v>6821.8984</x:v>
      </x:c>
      <x:c r="I238" s="22" t="str">
        <x:f>HYPERLINK("https://etp-aktiv.ru/catalog/materialy/zapasnye-chasti-i-prinadlezhnosti-dlya-priborov-kipia/2000716274-U117/","Открыть позицию")</x:f>
        <x:v>Открыть позицию</x:v>
      </x:c>
    </x:row>
    <x:row r="239" ht="28" customHeight="1">
      <x:c r="A239" s="16" t="str">
        <x:v>Приморская ГРЭС</x:v>
      </x:c>
      <x:c r="B239" s="16" t="str">
        <x:v>2000721792-U117</x:v>
      </x:c>
      <x:c r="C239" s="16" t="str">
        <x:v>ТЕСТЕР FLUKE T130 4016961П</x:v>
      </x:c>
      <x:c r="D239" s="16" t="str">
        <x:v>Запасные части и принадлежности для приборов КИПиА</x:v>
      </x:c>
      <x:c r="E239" s="16" t="str">
        <x:v>ШТ</x:v>
      </x:c>
      <x:c r="F239" s="21" t="n">
        <x:v>2</x:v>
      </x:c>
      <x:c r="G239" s="17" t="n">
        <x:v>10980</x:v>
      </x:c>
      <x:c r="H239" s="17" t="n">
        <x:f>G239*F239</x:f>
        <x:v>21960</x:v>
      </x:c>
      <x:c r="I239" s="22" t="str">
        <x:f>HYPERLINK("https://etp-aktiv.ru/catalog/materialy/zapasnye-chasti-i-prinadlezhnosti-dlya-priborov-kipia/2000721792-U117/","Открыть позицию")</x:f>
        <x:v>Открыть позицию</x:v>
      </x:c>
    </x:row>
    <x:row r="240" ht="28" customHeight="1">
      <x:c r="A240" s="16" t="str">
        <x:v>Приморская ГРЭС</x:v>
      </x:c>
      <x:c r="B240" s="16" t="str">
        <x:v>2000481676-U117</x:v>
      </x:c>
      <x:c r="C240" s="16" t="str">
        <x:v>ТОЛЩИНОМЕР УЛЬТРАЗВУКОВОЙ ТТ 100</x:v>
      </x:c>
      <x:c r="D240" s="16" t="str">
        <x:v>Запасные части и принадлежности для приборов КИПиА</x:v>
      </x:c>
      <x:c r="E240" s="16" t="str">
        <x:v>ШТ</x:v>
      </x:c>
      <x:c r="F240" s="21" t="n">
        <x:v>1</x:v>
      </x:c>
      <x:c r="G240" s="17" t="n">
        <x:v>38730.12</x:v>
      </x:c>
      <x:c r="H240" s="17" t="n">
        <x:f>G240*F240</x:f>
        <x:v>38730.12</x:v>
      </x:c>
      <x:c r="I240" s="22" t="str">
        <x:f>HYPERLINK("https://etp-aktiv.ru/catalog/materialy/zapasnye-chasti-i-prinadlezhnosti-dlya-priborov-kipia/2000481676-U117/","Открыть позицию")</x:f>
        <x:v>Открыть позицию</x:v>
      </x:c>
    </x:row>
    <x:row r="241" ht="28" customHeight="1">
      <x:c r="A241" s="16" t="str">
        <x:v>Приморская ГРЭС</x:v>
      </x:c>
      <x:c r="B241" s="16" t="str">
        <x:v>2000156317-U117</x:v>
      </x:c>
      <x:c r="C241" s="16" t="str">
        <x:v>ТРОЙНИК PPRC С ВР 20*1/2</x:v>
      </x:c>
      <x:c r="D241" s="16" t="str">
        <x:v>Прочие электротехнические материалы</x:v>
      </x:c>
      <x:c r="E241" s="16" t="str">
        <x:v>ШТ</x:v>
      </x:c>
      <x:c r="F241" s="21" t="n">
        <x:v>30</x:v>
      </x:c>
      <x:c r="G241" s="17" t="n">
        <x:v>54.9</x:v>
      </x:c>
      <x:c r="H241" s="17" t="n">
        <x:f>G241*F241</x:f>
        <x:v>1647</x:v>
      </x:c>
      <x:c r="I241" s="22" t="str">
        <x:f>HYPERLINK("https://etp-aktiv.ru/catalog/materialy/ehlektrotekhnicheskie-materialy/2000156317-U117/","Открыть позицию")</x:f>
        <x:v>Открыть позицию</x:v>
      </x:c>
    </x:row>
    <x:row r="242" ht="28" customHeight="1">
      <x:c r="A242" s="16" t="str">
        <x:v>Приморская ГРЭС</x:v>
      </x:c>
      <x:c r="B242" s="16" t="str">
        <x:v>2000536992-U117</x:v>
      </x:c>
      <x:c r="C242" s="16" t="str">
        <x:v>УПОР НА DIN-РЕЙКУ KD3 495049</x:v>
      </x:c>
      <x:c r="D242" s="16" t="str">
        <x:v>Низковольтная аппаратура и запасные части</x:v>
      </x:c>
      <x:c r="E242" s="16" t="str">
        <x:v>ШТ</x:v>
      </x:c>
      <x:c r="F242" s="21" t="n">
        <x:v>4</x:v>
      </x:c>
      <x:c r="G242" s="17" t="n">
        <x:v>36.148599999999995</x:v>
      </x:c>
      <x:c r="H242" s="17" t="n">
        <x:f>G242*F242</x:f>
        <x:v>144.59439999999998</x:v>
      </x:c>
      <x:c r="I242" s="22" t="str">
        <x:f>HYPERLINK("https://etp-aktiv.ru/catalog/materialy/nizkovoltnaya-apparatura-i-zapasnye-chasti/2000536992-U117/","Открыть позицию")</x:f>
        <x:v>Открыть позицию</x:v>
      </x:c>
    </x:row>
    <x:row r="243" ht="28" customHeight="1">
      <x:c r="A243" s="16" t="str">
        <x:v>Приморская ГРЭС</x:v>
      </x:c>
      <x:c r="B243" s="16" t="str">
        <x:v>2000944899-U117</x:v>
      </x:c>
      <x:c r="C243" s="16" t="str">
        <x:v>УСТРОЙСТВО ЗАЖИГАЮЩЕЕ ИЗУ-1М 100/1000</x:v>
      </x:c>
      <x:c r="D243" s="16" t="str">
        <x:v>Прочие электротехнические материалы</x:v>
      </x:c>
      <x:c r="E243" s="16" t="str">
        <x:v>ШТ</x:v>
      </x:c>
      <x:c r="F243" s="21" t="n">
        <x:v>7</x:v>
      </x:c>
      <x:c r="G243" s="17" t="n">
        <x:v>280.8562</x:v>
      </x:c>
      <x:c r="H243" s="17" t="n">
        <x:f>G243*F243</x:f>
        <x:v>1965.9934</x:v>
      </x:c>
      <x:c r="I243" s="22" t="str">
        <x:f>HYPERLINK("https://etp-aktiv.ru/catalog/materialy/ehlektrotekhnicheskie-materialy/2000944899-U117/","Открыть позицию")</x:f>
        <x:v>Открыть позицию</x:v>
      </x:c>
    </x:row>
    <x:row r="244" ht="28" customHeight="1">
      <x:c r="A244" s="16" t="str">
        <x:v>Приморская ГРЭС</x:v>
      </x:c>
      <x:c r="B244" s="16" t="str">
        <x:v>2000736746-U117</x:v>
      </x:c>
      <x:c r="C244" s="16" t="str">
        <x:v>УСТРОЙСТВО ЗАРЯДНОЕ LIITOKALA LII-500S</x:v>
      </x:c>
      <x:c r="D244" s="16" t="str">
        <x:v>Элементы питания</x:v>
      </x:c>
      <x:c r="E244" s="16" t="str">
        <x:v>ШТ</x:v>
      </x:c>
      <x:c r="F244" s="21" t="n">
        <x:v>1</x:v>
      </x:c>
      <x:c r="G244" s="17" t="n">
        <x:v>3153.9683999999997</x:v>
      </x:c>
      <x:c r="H244" s="17" t="n">
        <x:f>G244*F244</x:f>
        <x:v>3153.9683999999997</x:v>
      </x:c>
      <x:c r="I244" s="22" t="str">
        <x:f>HYPERLINK("https://etp-aktiv.ru/catalog/materialy/akkumulyatory/2000736746-U117/","Открыть позицию")</x:f>
        <x:v>Открыть позицию</x:v>
      </x:c>
    </x:row>
    <x:row r="245" ht="28" customHeight="1">
      <x:c r="A245" s="16" t="str">
        <x:v>Приморская ГРЭС</x:v>
      </x:c>
      <x:c r="B245" s="16" t="str">
        <x:v>2000199090-U117</x:v>
      </x:c>
      <x:c r="C245" s="16" t="str">
        <x:v>УСТРОЙСТВО ЗАЩИТЫ ФАЗ УЗОФ-М УХЛ2 380В</x:v>
      </x:c>
      <x:c r="D245" s="16" t="str">
        <x:v>Прочие электротехнические материалы</x:v>
      </x:c>
      <x:c r="E245" s="16" t="str">
        <x:v>ШТ</x:v>
      </x:c>
      <x:c r="F245" s="21" t="n">
        <x:v>1</x:v>
      </x:c>
      <x:c r="G245" s="17" t="n">
        <x:v>9329.2546</x:v>
      </x:c>
      <x:c r="H245" s="17" t="n">
        <x:f>G245*F245</x:f>
        <x:v>9329.2546</x:v>
      </x:c>
      <x:c r="I245" s="22" t="str">
        <x:f>HYPERLINK("https://etp-aktiv.ru/catalog/materialy/ehlektrotekhnicheskie-materialy/2000199090-U117/","Открыть позицию")</x:f>
        <x:v>Открыть позицию</x:v>
      </x:c>
    </x:row>
    <x:row r="246" ht="28" customHeight="1">
      <x:c r="A246" s="16" t="str">
        <x:v>Приморская ГРЭС</x:v>
      </x:c>
      <x:c r="B246" s="16" t="str">
        <x:v>2000176974-U117</x:v>
      </x:c>
      <x:c r="C246" s="16" t="str">
        <x:v>ФОНАРИК НАЛОБНЫЙ 103-A4 7ДИОД</x:v>
      </x:c>
      <x:c r="D246" s="16" t="str">
        <x:v>Осветительная продукция и изделия электроустановочные</x:v>
      </x:c>
      <x:c r="E246" s="16" t="str">
        <x:v>ШТ</x:v>
      </x:c>
      <x:c r="F246" s="21" t="n">
        <x:v>8</x:v>
      </x:c>
      <x:c r="G246" s="17" t="n">
        <x:v>1781.7612</x:v>
      </x:c>
      <x:c r="H246" s="17" t="n">
        <x:f>G246*F246</x:f>
        <x:v>14254.0896</x:v>
      </x:c>
      <x:c r="I246" s="22" t="str">
        <x:f>HYPERLINK("https://etp-aktiv.ru/catalog/materialy/ehlektrotekhnicheskie-materialy/2000176974-U117/","Открыть позицию")</x:f>
        <x:v>Открыть позицию</x:v>
      </x:c>
    </x:row>
    <x:row r="247" ht="28" customHeight="1">
      <x:c r="A247" s="16" t="str">
        <x:v>Приморская ГРЭС</x:v>
      </x:c>
      <x:c r="B247" s="16" t="str">
        <x:v>2000545719-U117</x:v>
      </x:c>
      <x:c r="C247" s="16" t="str">
        <x:v>ФОНАРЬ АККУМУЛЯТОРНЫЙ НАЛОБНЫЙ HL-024</x:v>
      </x:c>
      <x:c r="D247" s="16" t="str">
        <x:v>Осветительная продукция и изделия электроустановочные</x:v>
      </x:c>
      <x:c r="E247" s="16" t="str">
        <x:v>ШТ</x:v>
      </x:c>
      <x:c r="F247" s="21" t="n">
        <x:v>73</x:v>
      </x:c>
      <x:c r="G247" s="17" t="n">
        <x:v>1982.5</x:v>
      </x:c>
      <x:c r="H247" s="17" t="n">
        <x:f>G247*F247</x:f>
        <x:v>144722.5</x:v>
      </x:c>
      <x:c r="I247" s="22" t="str">
        <x:f>HYPERLINK("https://etp-aktiv.ru/catalog/materialy/ehlektrotekhnicheskie-materialy/2000545719-U117/","Открыть позицию")</x:f>
        <x:v>Открыть позицию</x:v>
      </x:c>
    </x:row>
    <x:row r="248" ht="28" customHeight="1">
      <x:c r="A248" s="16" t="str">
        <x:v>Приморская ГРЭС</x:v>
      </x:c>
      <x:c r="B248" s="16" t="str">
        <x:v>2000855429-U117</x:v>
      </x:c>
      <x:c r="C248" s="16" t="str">
        <x:v>ФОНАРЬ НАЛОБ ЯРКИЙ ЛУЧ LH-120 DROID ACCU</x:v>
      </x:c>
      <x:c r="D248" s="16" t="str">
        <x:v>Осветительная продукция и изделия электроустановочные</x:v>
      </x:c>
      <x:c r="E248" s="16" t="str">
        <x:v>ШТ</x:v>
      </x:c>
      <x:c r="F248" s="21" t="n">
        <x:v>4</x:v>
      </x:c>
      <x:c r="G248" s="17" t="n">
        <x:v>2058.75</x:v>
      </x:c>
      <x:c r="H248" s="17" t="n">
        <x:f>G248*F248</x:f>
        <x:v>8235</x:v>
      </x:c>
      <x:c r="I248" s="22" t="str">
        <x:f>HYPERLINK("https://etp-aktiv.ru/catalog/materialy/ehlektrotekhnicheskie-materialy/2000855429-U117/","Открыть позицию")</x:f>
        <x:v>Открыть позицию</x:v>
      </x:c>
    </x:row>
    <x:row r="249" ht="28" customHeight="1">
      <x:c r="A249" s="16" t="str">
        <x:v>Приморская ГРЭС</x:v>
      </x:c>
      <x:c r="B249" s="16" t="str">
        <x:v>2000595236-U117</x:v>
      </x:c>
      <x:c r="C249" s="16" t="str">
        <x:v>ФОТОРЕЗИСТОР ФР-764</x:v>
      </x:c>
      <x:c r="D249" s="16" t="str">
        <x:v>Изделия радиоэлектронной техники</x:v>
      </x:c>
      <x:c r="E249" s="16" t="str">
        <x:v>ШТ</x:v>
      </x:c>
      <x:c r="F249" s="21" t="n">
        <x:v>92</x:v>
      </x:c>
      <x:c r="G249" s="17" t="n">
        <x:v>3.7941999999999996</x:v>
      </x:c>
      <x:c r="H249" s="17" t="n">
        <x:f>G249*F249</x:f>
        <x:v>349.0664</x:v>
      </x:c>
      <x:c r="I249" s="22" t="str">
        <x:f>HYPERLINK("https://etp-aktiv.ru/catalog/materialy/prochie-materialy/2000595236-U117/","Открыть позицию")</x:f>
        <x:v>Открыть позицию</x:v>
      </x:c>
    </x:row>
    <x:row r="250" ht="28" customHeight="1">
      <x:c r="A250" s="16" t="str">
        <x:v>Приморская ГРЭС</x:v>
      </x:c>
      <x:c r="B250" s="16" t="str">
        <x:v>2000138624-U117</x:v>
      </x:c>
      <x:c r="C250" s="16" t="str">
        <x:v>ФОТОРЕЛЕ ФР-16 220В</x:v>
      </x:c>
      <x:c r="D250" s="16" t="str">
        <x:v>Изделия радиоэлектронной техники</x:v>
      </x:c>
      <x:c r="E250" s="16" t="str">
        <x:v>ШТ</x:v>
      </x:c>
      <x:c r="F250" s="21" t="n">
        <x:v>4</x:v>
      </x:c>
      <x:c r="G250" s="17" t="n">
        <x:v>2726.7</x:v>
      </x:c>
      <x:c r="H250" s="17" t="n">
        <x:f>G250*F250</x:f>
        <x:v>10906.8</x:v>
      </x:c>
      <x:c r="I250" s="22" t="str">
        <x:f>HYPERLINK("https://etp-aktiv.ru/catalog/materialy/prochie-materialy/2000138624-U117/","Открыть позицию")</x:f>
        <x:v>Открыть позицию</x:v>
      </x:c>
    </x:row>
    <x:row r="251" ht="28" customHeight="1">
      <x:c r="A251" s="16" t="str">
        <x:v>Приморская ГРЭС</x:v>
      </x:c>
      <x:c r="B251" s="16" t="str">
        <x:v>2000130855-U117</x:v>
      </x:c>
      <x:c r="C251" s="16" t="str">
        <x:v>ФОТОРЕЛЕ ФР-7Е 5А IP 20</x:v>
      </x:c>
      <x:c r="D251" s="16" t="str">
        <x:v>Изделия радиоэлектронной техники</x:v>
      </x:c>
      <x:c r="E251" s="16" t="str">
        <x:v>ШТ</x:v>
      </x:c>
      <x:c r="F251" s="21" t="n">
        <x:v>1</x:v>
      </x:c>
      <x:c r="G251" s="17" t="n">
        <x:v>1820.85</x:v>
      </x:c>
      <x:c r="H251" s="17" t="n">
        <x:f>G251*F251</x:f>
        <x:v>1820.85</x:v>
      </x:c>
      <x:c r="I251" s="22" t="str">
        <x:f>HYPERLINK("https://etp-aktiv.ru/catalog/materialy/prochie-materialy/2000130855-U117/","Открыть позицию")</x:f>
        <x:v>Открыть позицию</x:v>
      </x:c>
    </x:row>
    <x:row r="252" ht="28" customHeight="1">
      <x:c r="A252" s="16" t="str">
        <x:v>Приморская ГРЭС</x:v>
      </x:c>
      <x:c r="B252" s="16" t="str">
        <x:v>2000803630-U117</x:v>
      </x:c>
      <x:c r="C252" s="16" t="str">
        <x:v>ФТОРОПЛАСТ ЛИСТ Ф-4 3*400*400</x:v>
      </x:c>
      <x:c r="D252" s="16" t="str">
        <x:v>Электроизоляционные материалы</x:v>
      </x:c>
      <x:c r="E252" s="16" t="str">
        <x:v>КГ</x:v>
      </x:c>
      <x:c r="F252" s="30" t="n">
        <x:v>13.4</x:v>
      </x:c>
      <x:c r="G252" s="17" t="n">
        <x:v>674.782</x:v>
      </x:c>
      <x:c r="H252" s="17" t="n">
        <x:f>G252*F252</x:f>
        <x:v>9042.078800000001</x:v>
      </x:c>
      <x:c r="I252" s="22" t="str">
        <x:f>HYPERLINK("https://etp-aktiv.ru/catalog/materialy/ehlektroizolyacionnye-materialy/2000803630-U117/","Открыть позицию")</x:f>
        <x:v>Открыть позицию</x:v>
      </x:c>
    </x:row>
    <x:row r="253" ht="28" customHeight="1">
      <x:c r="A253" s="16" t="str">
        <x:v>Приморская ГРЭС</x:v>
      </x:c>
      <x:c r="B253" s="16" t="str">
        <x:v>2000567994-U117</x:v>
      </x:c>
      <x:c r="C253" s="16" t="str">
        <x:v>ШИНА N НУЛ DIN-РЕЙК В КОРП-4*7ГРУПП-КЭАЗ</x:v>
      </x:c>
      <x:c r="D253" s="16" t="str">
        <x:v>Низковольтная аппаратура и запасные части</x:v>
      </x:c>
      <x:c r="E253" s="16" t="str">
        <x:v>ШТ</x:v>
      </x:c>
      <x:c r="F253" s="21" t="n">
        <x:v>2</x:v>
      </x:c>
      <x:c r="G253" s="17" t="n">
        <x:v>410.3348</x:v>
      </x:c>
      <x:c r="H253" s="17" t="n">
        <x:f>G253*F253</x:f>
        <x:v>820.6696</x:v>
      </x:c>
      <x:c r="I253" s="22" t="str">
        <x:f>HYPERLINK("https://etp-aktiv.ru/catalog/materialy/nizkovoltnaya-apparatura-i-zapasnye-chasti/2000567994-U117/","Открыть позицию")</x:f>
        <x:v>Открыть позицию</x:v>
      </x:c>
    </x:row>
    <x:row r="254" ht="28" customHeight="1">
      <x:c r="A254" s="16" t="str">
        <x:v>Приморская ГРЭС</x:v>
      </x:c>
      <x:c r="B254" s="16" t="str">
        <x:v>2000125589-U117</x:v>
      </x:c>
      <x:c r="C254" s="16" t="str">
        <x:v>ШИНА СОЕДИНИТЕЛЬНАЯ PIN 1Ф</x:v>
      </x:c>
      <x:c r="D254" s="16" t="str">
        <x:v>Низковольтная аппаратура и запасные части</x:v>
      </x:c>
      <x:c r="E254" s="16" t="str">
        <x:v>ШТ</x:v>
      </x:c>
      <x:c r="F254" s="21" t="n">
        <x:v>1</x:v>
      </x:c>
      <x:c r="G254" s="17" t="n">
        <x:v>256.2</x:v>
      </x:c>
      <x:c r="H254" s="17" t="n">
        <x:f>G254*F254</x:f>
        <x:v>256.2</x:v>
      </x:c>
      <x:c r="I254" s="22" t="str">
        <x:f>HYPERLINK("https://etp-aktiv.ru/catalog/materialy/nizkovoltnaya-apparatura-i-zapasnye-chasti/2000125589-U117/","Открыть позицию")</x:f>
        <x:v>Открыть позицию</x:v>
      </x:c>
    </x:row>
    <x:row r="255" ht="28" customHeight="1">
      <x:c r="A255" s="16" t="str">
        <x:v>Приморская ГРЭС</x:v>
      </x:c>
      <x:c r="B255" s="16" t="str">
        <x:v>2000548739-U117</x:v>
      </x:c>
      <x:c r="C255" s="16" t="str">
        <x:v>ШНУР-ЧУЛОК ШЧПЭ 3ММ ТУ8153-002-22741917</x:v>
      </x:c>
      <x:c r="D255" s="16" t="str">
        <x:v>Электроизоляционные материалы</x:v>
      </x:c>
      <x:c r="E255" s="16" t="str">
        <x:v>М</x:v>
      </x:c>
      <x:c r="F255" s="21" t="n">
        <x:v>1000</x:v>
      </x:c>
      <x:c r="G255" s="17" t="n">
        <x:v>1.8544</x:v>
      </x:c>
      <x:c r="H255" s="17" t="n">
        <x:f>G255*F255</x:f>
        <x:v>1854.4</x:v>
      </x:c>
      <x:c r="I255" s="22" t="str">
        <x:f>HYPERLINK("https://etp-aktiv.ru/catalog/materialy/ehlektroizolyacionnye-materialy/2000548739-U117/","Открыть позицию")</x:f>
        <x:v>Открыть позицию</x:v>
      </x:c>
    </x:row>
    <x:row r="256" ht="28" customHeight="1">
      <x:c r="A256" s="16" t="str">
        <x:v>Приморская ГРЭС</x:v>
      </x:c>
      <x:c r="B256" s="16" t="str">
        <x:v>2000167292-U117</x:v>
      </x:c>
      <x:c r="C256" s="16" t="str">
        <x:v>ШТУЦЕР 1/2 ТС-3.003.003</x:v>
      </x:c>
      <x:c r="D256" s="16" t="str">
        <x:v>Запасные части и принадлежности для приборов КИПиА</x:v>
      </x:c>
      <x:c r="E256" s="16" t="str">
        <x:v>ШТ</x:v>
      </x:c>
      <x:c r="F256" s="21" t="n">
        <x:v>10</x:v>
      </x:c>
      <x:c r="G256" s="17" t="n">
        <x:v>436.32079999999996</x:v>
      </x:c>
      <x:c r="H256" s="17" t="n">
        <x:f>G256*F256</x:f>
        <x:v>4363.208</x:v>
      </x:c>
      <x:c r="I256" s="22" t="str">
        <x:f>HYPERLINK("https://etp-aktiv.ru/catalog/materialy/zapasnye-chasti-i-prinadlezhnosti-dlya-priborov-kipia/2000167292-U117/","Открыть позицию")</x:f>
        <x:v>Открыть позицию</x:v>
      </x:c>
    </x:row>
    <x:row r="257" ht="28" customHeight="1">
      <x:c r="A257" s="16" t="str">
        <x:v>Приморская ГРЭС</x:v>
      </x:c>
      <x:c r="B257" s="16" t="str">
        <x:v>2000298574-U117</x:v>
      </x:c>
      <x:c r="C257" s="16" t="str">
        <x:v>ЩЕТКОДЕРЖАТЕЛЬ ЭД118 5ТХ.112.034 60*40</x:v>
      </x:c>
      <x:c r="D257" s="16" t="str">
        <x:v>Электрощетки</x:v>
      </x:c>
      <x:c r="E257" s="16" t="str">
        <x:v>ШТ</x:v>
      </x:c>
      <x:c r="F257" s="21" t="n">
        <x:v>14</x:v>
      </x:c>
      <x:c r="G257" s="17" t="n">
        <x:v>3355</x:v>
      </x:c>
      <x:c r="H257" s="17" t="n">
        <x:f>G257*F257</x:f>
        <x:v>46970</x:v>
      </x:c>
      <x:c r="I257" s="22" t="str">
        <x:f>HYPERLINK("https://etp-aktiv.ru/catalog/materialy/ehlektrotekhnicheskie-materialy/2000298574-U117/","Открыть позицию")</x:f>
        <x:v>Открыть позицию</x:v>
      </x:c>
    </x:row>
    <x:row r="258" ht="28" customHeight="1">
      <x:c r="A258" s="16" t="str">
        <x:v>Приморская ГРЭС</x:v>
      </x:c>
      <x:c r="B258" s="16" t="str">
        <x:v>5000057874-U117</x:v>
      </x:c>
      <x:c r="C258" s="16" t="str">
        <x:v>ЩИТ ОСВЕЩЕНИЯ ОЩВ-12 1*100А 12*25А 100А</x:v>
      </x:c>
      <x:c r="D258" s="16" t="str">
        <x:v>Шкаф/щит/пункт распределительный</x:v>
      </x:c>
      <x:c r="E258" s="16" t="str">
        <x:v>ШТ</x:v>
      </x:c>
      <x:c r="F258" s="21" t="n">
        <x:v>1</x:v>
      </x:c>
      <x:c r="G258" s="17" t="n">
        <x:v>6777.099999999999</x:v>
      </x:c>
      <x:c r="H258" s="17" t="n">
        <x:f>G258*F258</x:f>
        <x:v>6777.099999999999</x:v>
      </x:c>
      <x:c r="I258" s="22" t="str">
        <x:f>HYPERLINK("https://etp-aktiv.ru/catalog/oborudovanie/nizkovoltnoe-oborudovanie/5000057874-U117/","Открыть позицию")</x:f>
        <x:v>Открыть позицию</x:v>
      </x:c>
    </x:row>
    <x:row r="259" ht="28" customHeight="1">
      <x:c r="A259" s="16" t="str">
        <x:v>Приморская ГРЭС</x:v>
      </x:c>
      <x:c r="B259" s="16" t="str">
        <x:v>2000461941-U117</x:v>
      </x:c>
      <x:c r="C259" s="16" t="str">
        <x:v>ЩИТ ЩРН-М-2 IP54 500*400*220</x:v>
      </x:c>
      <x:c r="D259" s="16" t="str">
        <x:v>Низковольтная аппаратура и запасные части</x:v>
      </x:c>
      <x:c r="E259" s="16" t="str">
        <x:v>ШТ</x:v>
      </x:c>
      <x:c r="F259" s="21" t="n">
        <x:v>3</x:v>
      </x:c>
      <x:c r="G259" s="17" t="n">
        <x:v>2450.004</x:v>
      </x:c>
      <x:c r="H259" s="17" t="n">
        <x:f>G259*F259</x:f>
        <x:v>7350.012</x:v>
      </x:c>
      <x:c r="I259" s="22" t="str">
        <x:f>HYPERLINK("https://etp-aktiv.ru/catalog/materialy/nizkovoltnaya-apparatura-i-zapasnye-chasti/2000461941-U117/","Открыть позицию")</x:f>
        <x:v>Открыть позицию</x:v>
      </x:c>
    </x:row>
    <x:row r="260" ht="28" customHeight="1">
      <x:c r="A260" s="16" t="str">
        <x:v>Приморская ГРЭС</x:v>
      </x:c>
      <x:c r="B260" s="16" t="str">
        <x:v>2000716918-U117</x:v>
      </x:c>
      <x:c r="C260" s="16" t="str">
        <x:v>ЩУП ИЗМЕРИТЕЛЬНЫЙ FLUKE TL175E</x:v>
      </x:c>
      <x:c r="D260" s="16" t="str">
        <x:v>Запасные части и принадлежности для приборов КИПиА</x:v>
      </x:c>
      <x:c r="E260" s="16" t="str">
        <x:v>ШТ</x:v>
      </x:c>
      <x:c r="F260" s="21" t="n">
        <x:v>3</x:v>
      </x:c>
      <x:c r="G260" s="17" t="n">
        <x:v>2949.9966000000004</x:v>
      </x:c>
      <x:c r="H260" s="17" t="n">
        <x:f>G260*F260</x:f>
        <x:v>8849.989800000001</x:v>
      </x:c>
      <x:c r="I260" s="22" t="str">
        <x:f>HYPERLINK("https://etp-aktiv.ru/catalog/materialy/zapasnye-chasti-i-prinadlezhnosti-dlya-priborov-kipia/2000716918-U117/","Открыть позицию")</x:f>
        <x:v>Открыть позицию</x:v>
      </x:c>
    </x:row>
    <x:row r="261" ht="28" customHeight="1">
      <x:c r="A261" s="16" t="str">
        <x:v>Приморская ГРЭС</x:v>
      </x:c>
      <x:c r="B261" s="16" t="str">
        <x:v>2000552018-U117</x:v>
      </x:c>
      <x:c r="C261" s="16" t="str">
        <x:v>Э/ДВИГ 5АИ132М4 11/380/1500/IM1001</x:v>
      </x:c>
      <x:c r="D261" s="16" t="str">
        <x:v>Электродвигатели стандартные</x:v>
      </x:c>
      <x:c r="E261" s="16" t="str">
        <x:v>ШТ</x:v>
      </x:c>
      <x:c r="F261" s="21" t="n">
        <x:v>1</x:v>
      </x:c>
      <x:c r="G261" s="17" t="n">
        <x:v>16199.0746</x:v>
      </x:c>
      <x:c r="H261" s="17" t="n">
        <x:f>G261*F261</x:f>
        <x:v>16199.0746</x:v>
      </x:c>
      <x:c r="I261" s="22" t="str">
        <x:f>HYPERLINK("https://etp-aktiv.ru/catalog/materialy/ehlektrodvigateli/2000552018-U117/","Открыть позицию")</x:f>
        <x:v>Открыть позицию</x:v>
      </x:c>
    </x:row>
    <x:row r="262" ht="28" customHeight="1">
      <x:c r="A262" s="16" t="str">
        <x:v>Приморская ГРЭС</x:v>
      </x:c>
      <x:c r="B262" s="16" t="str">
        <x:v>2000211589-U117</x:v>
      </x:c>
      <x:c r="C262" s="16" t="str">
        <x:v>Э/ДВИГ АБ63А4ВУ1 0,25/220-380/1320/3281</x:v>
      </x:c>
      <x:c r="D262" s="16" t="str">
        <x:v>Электродвигатели по тех. заданию</x:v>
      </x:c>
      <x:c r="E262" s="16" t="str">
        <x:v>ШТ</x:v>
      </x:c>
      <x:c r="F262" s="21" t="n">
        <x:v>2</x:v>
      </x:c>
      <x:c r="G262" s="17" t="n">
        <x:v>5172.6048</x:v>
      </x:c>
      <x:c r="H262" s="17" t="n">
        <x:f>G262*F262</x:f>
        <x:v>10345.2096</x:v>
      </x:c>
      <x:c r="I262" s="22" t="str">
        <x:f>HYPERLINK("https://etp-aktiv.ru/catalog/materialy/ehlektrodvigateli/2000211589-U117/","Открыть позицию")</x:f>
        <x:v>Открыть позицию</x:v>
      </x:c>
    </x:row>
    <x:row r="263" ht="28" customHeight="1">
      <x:c r="A263" s="16" t="str">
        <x:v>Приморская ГРЭС</x:v>
      </x:c>
      <x:c r="B263" s="16" t="str">
        <x:v>2000147646-U117</x:v>
      </x:c>
      <x:c r="C263" s="16" t="str">
        <x:v>Э/ДВИГ АИР100L4У3 4/380/1500/IM3081</x:v>
      </x:c>
      <x:c r="D263" s="16" t="str">
        <x:v>Электродвигатели стандартные</x:v>
      </x:c>
      <x:c r="E263" s="16" t="str">
        <x:v>ШТ</x:v>
      </x:c>
      <x:c r="F263" s="21" t="n">
        <x:v>1</x:v>
      </x:c>
      <x:c r="G263" s="17" t="n">
        <x:v>8900.0098</x:v>
      </x:c>
      <x:c r="H263" s="17" t="n">
        <x:f>G263*F263</x:f>
        <x:v>8900.0098</x:v>
      </x:c>
      <x:c r="I263" s="22" t="str">
        <x:f>HYPERLINK("https://etp-aktiv.ru/catalog/materialy/ehlektrodvigateli/2000147646-U117/","Открыть позицию")</x:f>
        <x:v>Открыть позицию</x:v>
      </x:c>
    </x:row>
    <x:row r="264" ht="28" customHeight="1">
      <x:c r="A264" s="16" t="str">
        <x:v>Приморская ГРЭС</x:v>
      </x:c>
      <x:c r="B264" s="16" t="str">
        <x:v>2000552132-U117</x:v>
      </x:c>
      <x:c r="C264" s="16" t="str">
        <x:v>Э/ДВИГ АИР100S2 4/380/3000/IM1081</x:v>
      </x:c>
      <x:c r="D264" s="16" t="str">
        <x:v>Электродвигатели стандартные</x:v>
      </x:c>
      <x:c r="E264" s="16" t="str">
        <x:v>ШТ</x:v>
      </x:c>
      <x:c r="F264" s="21" t="n">
        <x:v>1</x:v>
      </x:c>
      <x:c r="G264" s="17" t="n">
        <x:v>7900.0001999999995</x:v>
      </x:c>
      <x:c r="H264" s="17" t="n">
        <x:f>G264*F264</x:f>
        <x:v>7900.0001999999995</x:v>
      </x:c>
      <x:c r="I264" s="22" t="str">
        <x:f>HYPERLINK("https://etp-aktiv.ru/catalog/materialy/ehlektrodvigateli/2000552132-U117/","Открыть позицию")</x:f>
        <x:v>Открыть позицию</x:v>
      </x:c>
    </x:row>
    <x:row r="265" ht="28" customHeight="1">
      <x:c r="A265" s="16" t="str">
        <x:v>Приморская ГРЭС</x:v>
      </x:c>
      <x:c r="B265" s="16" t="str">
        <x:v>2000552133-U117</x:v>
      </x:c>
      <x:c r="C265" s="16" t="str">
        <x:v>Э/ДВИГ АИР100S4 3/220/380/1500/IM1001</x:v>
      </x:c>
      <x:c r="D265" s="16" t="str">
        <x:v>Электродвигатели стандартные</x:v>
      </x:c>
      <x:c r="E265" s="16" t="str">
        <x:v>ШТ</x:v>
      </x:c>
      <x:c r="F265" s="21" t="n">
        <x:v>1</x:v>
      </x:c>
      <x:c r="G265" s="17" t="n">
        <x:v>7900.0001999999995</x:v>
      </x:c>
      <x:c r="H265" s="17" t="n">
        <x:f>G265*F265</x:f>
        <x:v>7900.0001999999995</x:v>
      </x:c>
      <x:c r="I265" s="22" t="str">
        <x:f>HYPERLINK("https://etp-aktiv.ru/catalog/materialy/ehlektrodvigateli/2000552133-U117/","Открыть позицию")</x:f>
        <x:v>Открыть позицию</x:v>
      </x:c>
    </x:row>
    <x:row r="266" ht="28" customHeight="1">
      <x:c r="A266" s="16" t="str">
        <x:v>Приморская ГРЭС</x:v>
      </x:c>
      <x:c r="B266" s="16" t="str">
        <x:v>2000712967-U117</x:v>
      </x:c>
      <x:c r="C266" s="16" t="str">
        <x:v>Э/ДВИГ АИР80А4У2 0,18/1500/IM1001</x:v>
      </x:c>
      <x:c r="D266" s="16" t="str">
        <x:v>Электродвигатели</x:v>
      </x:c>
      <x:c r="E266" s="16" t="str">
        <x:v>ШТ</x:v>
      </x:c>
      <x:c r="F266" s="21" t="n">
        <x:v>2</x:v>
      </x:c>
      <x:c r="G266" s="17" t="n">
        <x:v>545.2302</x:v>
      </x:c>
      <x:c r="H266" s="17" t="n">
        <x:f>G266*F266</x:f>
        <x:v>1090.4604</x:v>
      </x:c>
      <x:c r="I266" s="22" t="str">
        <x:f>HYPERLINK("https://etp-aktiv.ru/catalog/materialy/ehlektrodvigateli/2000712967-U117/","Открыть позицию")</x:f>
        <x:v>Открыть позицию</x:v>
      </x:c>
    </x:row>
    <x:row r="267" ht="28" customHeight="1">
      <x:c r="A267" s="16" t="str">
        <x:v>Приморская ГРЭС</x:v>
      </x:c>
      <x:c r="B267" s="16" t="str">
        <x:v>2000551888-U117</x:v>
      </x:c>
      <x:c r="C267" s="16" t="str">
        <x:v>Э/Щ ЭГ14 25*32*64 К1-7 ПЩ6*125 6П2-6 НК1</x:v>
      </x:c>
      <x:c r="D267" s="16" t="str">
        <x:v>Электрощетки</x:v>
      </x:c>
      <x:c r="E267" s="16" t="str">
        <x:v>ШТ</x:v>
      </x:c>
      <x:c r="F267" s="21" t="n">
        <x:v>100</x:v>
      </x:c>
      <x:c r="G267" s="17" t="n">
        <x:v>298.8512</x:v>
      </x:c>
      <x:c r="H267" s="17" t="n">
        <x:f>G267*F267</x:f>
        <x:v>29885.12</x:v>
      </x:c>
      <x:c r="I267" s="22" t="str">
        <x:f>HYPERLINK("https://etp-aktiv.ru/catalog/materialy/ehlektrotekhnicheskie-materialy/2000551888-U117/","Открыть позицию")</x:f>
        <x:v>Открыть позицию</x:v>
      </x:c>
    </x:row>
    <x:row r="268" ht="28" customHeight="1">
      <x:c r="A268" s="16" t="str">
        <x:v>Приморская ГРЭС</x:v>
      </x:c>
      <x:c r="B268" s="16" t="str">
        <x:v>2000551933-U117</x:v>
      </x:c>
      <x:c r="C268" s="16" t="str">
        <x:v>Э/ЩЕТКА ЭГ4 10*12,5*32 К4-2 ПЩ-6 L=112</x:v>
      </x:c>
      <x:c r="D268" s="16" t="str">
        <x:v>Электрощетки</x:v>
      </x:c>
      <x:c r="E268" s="16" t="str">
        <x:v>ШТ</x:v>
      </x:c>
      <x:c r="F268" s="21" t="n">
        <x:v>25</x:v>
      </x:c>
      <x:c r="G268" s="17" t="n">
        <x:v>220.12460000000002</x:v>
      </x:c>
      <x:c r="H268" s="17" t="n">
        <x:f>G268*F268</x:f>
        <x:v>5503.115000000001</x:v>
      </x:c>
      <x:c r="I268" s="22" t="str">
        <x:f>HYPERLINK("https://etp-aktiv.ru/catalog/materialy/ehlektrotekhnicheskie-materialy/2000551933-U117/","Открыть позицию")</x:f>
        <x:v>Открыть позицию</x:v>
      </x:c>
    </x:row>
    <x:row r="269" ht="28" customHeight="1">
      <x:c r="A269" s="16" t="str">
        <x:v>Приморская ГРЭС</x:v>
      </x:c>
      <x:c r="B269" s="16" t="str">
        <x:v>2000695108-U117</x:v>
      </x:c>
      <x:c r="C269" s="16" t="str">
        <x:v>ЭБОНИТ СТЕРЖЕНЬ А D20ММ ГОСТ2748-77</x:v>
      </x:c>
      <x:c r="D269" s="16" t="str">
        <x:v>Электроизоляционные материалы</x:v>
      </x:c>
      <x:c r="E269" s="16" t="str">
        <x:v>КГ</x:v>
      </x:c>
      <x:c r="F269" s="21" t="n">
        <x:v>5</x:v>
      </x:c>
      <x:c r="G269" s="17" t="n">
        <x:v>1718.37</x:v>
      </x:c>
      <x:c r="H269" s="17" t="n">
        <x:f>G269*F269</x:f>
        <x:v>8591.849999999999</x:v>
      </x:c>
      <x:c r="I269" s="22" t="str">
        <x:f>HYPERLINK("https://etp-aktiv.ru/catalog/materialy/ehlektroizolyacionnye-materialy/2000695108-U117/","Открыть позицию")</x:f>
        <x:v>Открыть позицию</x:v>
      </x:c>
    </x:row>
    <x:row r="270" ht="28" customHeight="1">
      <x:c r="A270" s="16" t="str">
        <x:v>Приморская ГРЭС</x:v>
      </x:c>
      <x:c r="B270" s="16" t="str">
        <x:v>2000982329-U117</x:v>
      </x:c>
      <x:c r="C270" s="16" t="str">
        <x:v>ЭЛ ПИТ ENERGIZER ULTIMATE LITHIUM AA 4ШТ</x:v>
      </x:c>
      <x:c r="D270" s="16" t="str">
        <x:v>Элементы питания</x:v>
      </x:c>
      <x:c r="E270" s="16" t="str">
        <x:v>УПК</x:v>
      </x:c>
      <x:c r="F270" s="21" t="n">
        <x:v>9</x:v>
      </x:c>
      <x:c r="G270" s="17" t="n">
        <x:v>50.324999999999996</x:v>
      </x:c>
      <x:c r="H270" s="17" t="n">
        <x:f>G270*F270</x:f>
        <x:v>452.92499999999995</x:v>
      </x:c>
      <x:c r="I270" s="22" t="str">
        <x:f>HYPERLINK("https://etp-aktiv.ru/catalog/materialy/akkumulyatory/2000982329-U117/","Открыть позицию")</x:f>
        <x:v>Открыть позицию</x:v>
      </x:c>
    </x:row>
    <x:row r="271" ht="28" customHeight="1">
      <x:c r="A271" s="16" t="str">
        <x:v>Приморская ГРЭС</x:v>
      </x:c>
      <x:c r="B271" s="16" t="str">
        <x:v>2000695509-U117</x:v>
      </x:c>
      <x:c r="C271" s="16" t="str">
        <x:v>ЭЛЕКТРОД СТЕКЛЯННЫЙ ЭС-10602/7 К80.2</x:v>
      </x:c>
      <x:c r="D271" s="16" t="str">
        <x:v>Запасные части и принадлежности для приборов КИПиА</x:v>
      </x:c>
      <x:c r="E271" s="16" t="str">
        <x:v>ШТ</x:v>
      </x:c>
      <x:c r="F271" s="21" t="n">
        <x:v>36</x:v>
      </x:c>
      <x:c r="G271" s="17" t="n">
        <x:v>2575.725</x:v>
      </x:c>
      <x:c r="H271" s="17" t="n">
        <x:f>G271*F271</x:f>
        <x:v>92726.09999999999</x:v>
      </x:c>
      <x:c r="I271" s="22" t="str">
        <x:f>HYPERLINK("https://etp-aktiv.ru/catalog/materialy/zapasnye-chasti-i-prinadlezhnosti-dlya-priborov-kipia/2000695509-U117/","Открыть позицию")</x:f>
        <x:v>Открыть позицию</x:v>
      </x:c>
    </x:row>
    <x:row r="272" ht="28" customHeight="1">
      <x:c r="A272" s="16" t="str">
        <x:v>Приморская ГРЭС</x:v>
      </x:c>
      <x:c r="B272" s="16" t="str">
        <x:v>2000560004-U117</x:v>
      </x:c>
      <x:c r="C272" s="16" t="str">
        <x:v>ЭЛЕКТРОД СТЕКЛЯННЫЙ ЭС-10602/7 К80.7</x:v>
      </x:c>
      <x:c r="D272" s="16" t="str">
        <x:v>Запасные части и принадлежности для приборов КИПиА</x:v>
      </x:c>
      <x:c r="E272" s="16" t="str">
        <x:v>ШТ</x:v>
      </x:c>
      <x:c r="F272" s="21" t="n">
        <x:v>4</x:v>
      </x:c>
      <x:c r="G272" s="17" t="n">
        <x:v>2038.1686000000002</x:v>
      </x:c>
      <x:c r="H272" s="17" t="n">
        <x:f>G272*F272</x:f>
        <x:v>8152.674400000001</x:v>
      </x:c>
      <x:c r="I272" s="22" t="str">
        <x:f>HYPERLINK("https://etp-aktiv.ru/catalog/materialy/zapasnye-chasti-i-prinadlezhnosti-dlya-priborov-kipia/2000560004-U117/","Открыть позицию")</x:f>
        <x:v>Открыть позицию</x:v>
      </x:c>
    </x:row>
    <x:row r="273" ht="28" customHeight="1">
      <x:c r="A273" s="16" t="str">
        <x:v>Приморская ГРЭС</x:v>
      </x:c>
      <x:c r="B273" s="16" t="str">
        <x:v>2000557507-U117</x:v>
      </x:c>
      <x:c r="C273" s="16" t="str">
        <x:v>ЭЛЕКТРОД СТЕКЛЯННЫЙ ЭСК-10617/7 К80.1</x:v>
      </x:c>
      <x:c r="D273" s="16" t="str">
        <x:v>Запасные части и принадлежности для приборов КИПиА</x:v>
      </x:c>
      <x:c r="E273" s="16" t="str">
        <x:v>ШТ</x:v>
      </x:c>
      <x:c r="F273" s="21" t="n">
        <x:v>20</x:v>
      </x:c>
      <x:c r="G273" s="17" t="n">
        <x:v>3077.8282</x:v>
      </x:c>
      <x:c r="H273" s="17" t="n">
        <x:f>G273*F273</x:f>
        <x:v>61556.564</x:v>
      </x:c>
      <x:c r="I273" s="22" t="str">
        <x:f>HYPERLINK("https://etp-aktiv.ru/catalog/materialy/zapasnye-chasti-i-prinadlezhnosti-dlya-priborov-kipia/2000557507-U117/","Открыть позицию")</x:f>
        <x:v>Открыть позицию</x:v>
      </x:c>
    </x:row>
    <x:row r="274" ht="28" customHeight="1">
      <x:c r="A274" s="16" t="str">
        <x:v>Приморская ГРЭС</x:v>
      </x:c>
      <x:c r="B274" s="16" t="str">
        <x:v>2000151345-U117</x:v>
      </x:c>
      <x:c r="C274" s="16" t="str">
        <x:v>ЭЛЕКТРОД ЭСР-10103/3,5 К80.4</x:v>
      </x:c>
      <x:c r="D274" s="16" t="str">
        <x:v>Запасные части и принадлежности для приборов КИПиА</x:v>
      </x:c>
      <x:c r="E274" s="16" t="str">
        <x:v>ШТ</x:v>
      </x:c>
      <x:c r="F274" s="21" t="n">
        <x:v>18</x:v>
      </x:c>
      <x:c r="G274" s="17" t="n">
        <x:v>1961.4062</x:v>
      </x:c>
      <x:c r="H274" s="17" t="n">
        <x:f>G274*F274</x:f>
        <x:v>35305.3116</x:v>
      </x:c>
      <x:c r="I274" s="22" t="str">
        <x:f>HYPERLINK("https://etp-aktiv.ru/catalog/materialy/zapasnye-chasti-i-prinadlezhnosti-dlya-priborov-kipia/2000151345-U117/","Открыть позицию")</x:f>
        <x:v>Открыть позицию</x:v>
      </x:c>
    </x:row>
    <x:row r="275" ht="28" customHeight="1">
      <x:c r="A275" s="16" t="str">
        <x:v>Приморская ГРЭС</x:v>
      </x:c>
      <x:c r="B275" s="16" t="str">
        <x:v>5000000302-U117</x:v>
      </x:c>
      <x:c r="C275" s="16" t="str">
        <x:v>ЭЛЕКТРОКАЛОРИФЕР СФО-25</x:v>
      </x:c>
      <x:c r="D275" s="16" t="str">
        <x:v>Электронагревательные и отопительные агрегаты</x:v>
      </x:c>
      <x:c r="E275" s="16" t="str">
        <x:v>ШТ</x:v>
      </x:c>
      <x:c r="F275" s="21" t="n">
        <x:v>2</x:v>
      </x:c>
      <x:c r="G275" s="17" t="n">
        <x:v>32330</x:v>
      </x:c>
      <x:c r="H275" s="17" t="n">
        <x:f>G275*F275</x:f>
        <x:v>64660</x:v>
      </x:c>
      <x:c r="I275" s="22" t="str">
        <x:f>HYPERLINK("https://etp-aktiv.ru/catalog/materialy/prochie-materialy/5000000302-U117/","Открыть позицию")</x:f>
        <x:v>Открыть позицию</x:v>
      </x:c>
    </x:row>
    <x:row r="276" ht="28" customHeight="1">
      <x:c r="A276" s="16" t="str">
        <x:v>Приморская ГРЭС</x:v>
      </x:c>
      <x:c r="B276" s="16" t="str">
        <x:v>2000046876-U117</x:v>
      </x:c>
      <x:c r="C276" s="16" t="str">
        <x:v>ЭЛЕКТРОКАРТОН ЭВ 0,3ММ</x:v>
      </x:c>
      <x:c r="D276" s="16" t="str">
        <x:v>Электроизоляционные материалы</x:v>
      </x:c>
      <x:c r="E276" s="16" t="str">
        <x:v>КГ</x:v>
      </x:c>
      <x:c r="F276" s="30" t="n">
        <x:v>15.5</x:v>
      </x:c>
      <x:c r="G276" s="17" t="n">
        <x:v>120.1456</x:v>
      </x:c>
      <x:c r="H276" s="17" t="n">
        <x:f>G276*F276</x:f>
        <x:v>1862.2568</x:v>
      </x:c>
      <x:c r="I276" s="22" t="str">
        <x:f>HYPERLINK("https://etp-aktiv.ru/catalog/materialy/ehlektroizolyacionnye-materialy/2000046876-U117/","Открыть позицию")</x:f>
        <x:v>Открыть позицию</x:v>
      </x:c>
    </x:row>
    <x:row r="277" ht="28" customHeight="1">
      <x:c r="A277" s="16" t="str">
        <x:v>Приморская ГРЭС</x:v>
      </x:c>
      <x:c r="B277" s="16" t="str">
        <x:v>2000046878-U117</x:v>
      </x:c>
      <x:c r="C277" s="16" t="str">
        <x:v>ЭЛЕКТРОКАРТОН ЭВ 0,5ММ</x:v>
      </x:c>
      <x:c r="D277" s="16" t="str">
        <x:v>Электроизоляционные материалы</x:v>
      </x:c>
      <x:c r="E277" s="16" t="str">
        <x:v>КГ</x:v>
      </x:c>
      <x:c r="F277" s="30" t="n">
        <x:v>6.2</x:v>
      </x:c>
      <x:c r="G277" s="17" t="n">
        <x:v>210.45</x:v>
      </x:c>
      <x:c r="H277" s="17" t="n">
        <x:f>G277*F277</x:f>
        <x:v>1304.79</x:v>
      </x:c>
      <x:c r="I277" s="22" t="str">
        <x:f>HYPERLINK("https://etp-aktiv.ru/catalog/materialy/ehlektroizolyacionnye-materialy/2000046878-U117/","Открыть позицию")</x:f>
        <x:v>Открыть позицию</x:v>
      </x:c>
    </x:row>
    <x:row r="278" ht="28" customHeight="1">
      <x:c r="A278" s="16" t="str">
        <x:v>Приморская ГРЭС</x:v>
      </x:c>
      <x:c r="B278" s="16" t="str">
        <x:v>2000162946-U117</x:v>
      </x:c>
      <x:c r="C278" s="16" t="str">
        <x:v>ЭЛЕКТРОКАРТОН ЭВ 1ММ</x:v>
      </x:c>
      <x:c r="D278" s="16" t="str">
        <x:v>Электроизоляционные материалы</x:v>
      </x:c>
      <x:c r="E278" s="16" t="str">
        <x:v>КГ</x:v>
      </x:c>
      <x:c r="F278" s="30" t="n">
        <x:v>3.2</x:v>
      </x:c>
      <x:c r="G278" s="17" t="n">
        <x:v>245.525</x:v>
      </x:c>
      <x:c r="H278" s="17" t="n">
        <x:f>G278*F278</x:f>
        <x:v>785.6800000000001</x:v>
      </x:c>
      <x:c r="I278" s="22" t="str">
        <x:f>HYPERLINK("https://etp-aktiv.ru/catalog/materialy/ehlektroizolyacionnye-materialy/2000162946-U117/","Открыть позицию")</x:f>
        <x:v>Открыть позицию</x:v>
      </x:c>
    </x:row>
    <x:row r="279" ht="28" customHeight="1">
      <x:c r="A279" s="16" t="str">
        <x:v>Приморская ГРЭС</x:v>
      </x:c>
      <x:c r="B279" s="16" t="str">
        <x:v>2000716998-U117</x:v>
      </x:c>
      <x:c r="C279" s="16" t="str">
        <x:v>ЭЛЕКТРОМАГНИТ ЭД-11102 380В</x:v>
      </x:c>
      <x:c r="D279" s="16" t="str">
        <x:v>Прочие электротехнические материалы</x:v>
      </x:c>
      <x:c r="E279" s="16" t="str">
        <x:v>ШТ</x:v>
      </x:c>
      <x:c r="F279" s="21" t="n">
        <x:v>1</x:v>
      </x:c>
      <x:c r="G279" s="17" t="n">
        <x:v>9095.893</x:v>
      </x:c>
      <x:c r="H279" s="17" t="n">
        <x:f>G279*F279</x:f>
        <x:v>9095.893</x:v>
      </x:c>
      <x:c r="I279" s="22" t="str">
        <x:f>HYPERLINK("https://etp-aktiv.ru/catalog/materialy/ehlektrotekhnicheskie-materialy/2000716998-U117/","Открыть позицию")</x:f>
        <x:v>Открыть позицию</x:v>
      </x:c>
    </x:row>
    <x:row r="280" ht="28" customHeight="1">
      <x:c r="A280" s="16" t="str">
        <x:v>Приморская ГРЭС</x:v>
      </x:c>
      <x:c r="B280" s="16" t="str">
        <x:v>2000012111-U117</x:v>
      </x:c>
      <x:c r="C280" s="16" t="str">
        <x:v>ЭЛЕКТРОМАНОМЕТР ЭДМУ-6 СБ</x:v>
      </x:c>
      <x:c r="D280" s="16" t="str">
        <x:v>Запасные части к локомотивам</x:v>
      </x:c>
      <x:c r="E280" s="16" t="str">
        <x:v>ШТ</x:v>
      </x:c>
      <x:c r="F280" s="21" t="n">
        <x:v>1</x:v>
      </x:c>
      <x:c r="G280" s="17" t="n">
        <x:v>6232.406599999999</x:v>
      </x:c>
      <x:c r="H280" s="17" t="n">
        <x:f>G280*F280</x:f>
        <x:v>6232.406599999999</x:v>
      </x:c>
      <x:c r="I280" s="22" t="str">
        <x:f>HYPERLINK("https://etp-aktiv.ru/catalog/materialy/zapasnye-chasti-k-zhd-oborudovaniyu-i-podvizhnomu-sostavu/2000012111-U117/","Открыть позицию")</x:f>
        <x:v>Открыть позицию</x:v>
      </x:c>
    </x:row>
    <x:row r="281" ht="28" customHeight="1">
      <x:c r="A281" s="16" t="str">
        <x:v>Приморская ГРЭС</x:v>
      </x:c>
      <x:c r="B281" s="16" t="str">
        <x:v>5000071647-U117</x:v>
      </x:c>
      <x:c r="C281" s="16" t="str">
        <x:v>ЭЛЕКТРОПАЯЛЬНИК 40ВТ 220В</x:v>
      </x:c>
      <x:c r="D281" s="16" t="str">
        <x:v>Средства малой механизации</x:v>
      </x:c>
      <x:c r="E281" s="16" t="str">
        <x:v>ШТ</x:v>
      </x:c>
      <x:c r="F281" s="21" t="n">
        <x:v>1</x:v>
      </x:c>
      <x:c r="G281" s="17" t="n">
        <x:v>54.8878</x:v>
      </x:c>
      <x:c r="H281" s="17" t="n">
        <x:f>G281*F281</x:f>
        <x:v>54.8878</x:v>
      </x:c>
      <x:c r="I281" s="22" t="str">
        <x:f>HYPERLINK("https://etp-aktiv.ru/catalog/materialy/prochie-materialy/5000071647-U117/","Открыть позицию")</x:f>
        <x:v>Открыть позицию</x:v>
      </x:c>
    </x:row>
    <x:row r="282" ht="28" customHeight="1">
      <x:c r="A282" s="16" t="str">
        <x:v>Приморская ГРЭС</x:v>
      </x:c>
      <x:c r="B282" s="16" t="str">
        <x:v>2000549989-U117</x:v>
      </x:c>
      <x:c r="C282" s="16" t="str">
        <x:v>ЭЛЕМЕНТ ПИТАНИЯ LR03-12BL AAA 1,5В 12ШТ</x:v>
      </x:c>
      <x:c r="D282" s="16" t="str">
        <x:v>Элементы питания</x:v>
      </x:c>
      <x:c r="E282" s="16" t="str">
        <x:v>УПК</x:v>
      </x:c>
      <x:c r="F282" s="21" t="n">
        <x:v>1</x:v>
      </x:c>
      <x:c r="G282" s="17" t="n">
        <x:v>596.275</x:v>
      </x:c>
      <x:c r="H282" s="17" t="n">
        <x:f>G282*F282</x:f>
        <x:v>596.275</x:v>
      </x:c>
      <x:c r="I282" s="22" t="str">
        <x:f>HYPERLINK("https://etp-aktiv.ru/catalog/materialy/akkumulyatory/2000549989-U117/","Открыть позицию")</x:f>
        <x:v>Открыть позицию</x:v>
      </x:c>
    </x:row>
    <x:row r="283" ht="28" customHeight="1">
      <x:c r="A283" s="16" t="str">
        <x:v>Приморская ГРЭС</x:v>
      </x:c>
      <x:c r="B283" s="16" t="str">
        <x:v>2000145648-U117</x:v>
      </x:c>
      <x:c r="C283" s="16" t="str">
        <x:v>ЭЛЕМЕНТ ПИТАНИЯ ОРИОН 373 R20</x:v>
      </x:c>
      <x:c r="D283" s="16" t="str">
        <x:v>Элементы питания</x:v>
      </x:c>
      <x:c r="E283" s="16" t="str">
        <x:v>ШТ</x:v>
      </x:c>
      <x:c r="F283" s="21" t="n">
        <x:v>10</x:v>
      </x:c>
      <x:c r="G283" s="17" t="n">
        <x:v>28.206400000000002</x:v>
      </x:c>
      <x:c r="H283" s="17" t="n">
        <x:f>G283*F283</x:f>
        <x:v>282.064</x:v>
      </x:c>
      <x:c r="I283" s="22" t="str">
        <x:f>HYPERLINK("https://etp-aktiv.ru/catalog/materialy/akkumulyatory/2000145648-U117/","Открыть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d2da430c798e4e08"/>
  </x:tableParts>
</x:worksheet>
</file>

<file path=xl/worksheets/sheet12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Приморье: МРО, механическое оборудование и ЗИП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Приморская ГРЭС</x:v>
      </x:c>
      <x:c r="B5" s="16" t="str">
        <x:v>2000544225-U117</x:v>
      </x:c>
      <x:c r="C5" s="16" t="str">
        <x:v>АБРАЗИВНЫЕ КРУГИ 150*20*32 14А25ПС</x:v>
      </x:c>
      <x:c r="D5" s="16" t="str">
        <x:v>Инструмент и спецоснастка</x:v>
      </x:c>
      <x:c r="E5" s="16" t="str">
        <x:v>ШТ</x:v>
      </x:c>
      <x:c r="F5" s="21" t="n">
        <x:v>20</x:v>
      </x:c>
      <x:c r="G5" s="17" t="n">
        <x:v>173.85</x:v>
      </x:c>
      <x:c r="H5" s="17" t="n">
        <x:f>G5*F5</x:f>
        <x:v>3477</x:v>
      </x:c>
      <x:c r="I5" s="22" t="str">
        <x:f>HYPERLINK("https://etp-aktiv.ru/catalog/materialy/instrument-i-specosnastka/2000544225-U117/","Открыть позицию")</x:f>
        <x:v>Открыть позицию</x:v>
      </x:c>
    </x:row>
    <x:row r="6" ht="28" customHeight="1">
      <x:c r="A6" s="16" t="str">
        <x:v>Приморская ГРЭС</x:v>
      </x:c>
      <x:c r="B6" s="16" t="str">
        <x:v>5000061037-U117</x:v>
      </x:c>
      <x:c r="C6" s="16" t="str">
        <x:v>АГР НАС 1Д1250-63Б 200/380/1450</x:v>
      </x:c>
      <x:c r="D6" s="16" t="str">
        <x:v>Насосы одноступенчатые энергетические</x:v>
      </x:c>
      <x:c r="E6" s="16" t="str">
        <x:v>ШТ</x:v>
      </x:c>
      <x:c r="F6" s="21" t="n">
        <x:v>1</x:v>
      </x:c>
      <x:c r="G6" s="17" t="n">
        <x:v>904013.9</x:v>
      </x:c>
      <x:c r="H6" s="17" t="n">
        <x:f>G6*F6</x:f>
        <x:v>904013.9</x:v>
      </x:c>
      <x:c r="I6" s="22" t="str">
        <x:f>HYPERLINK("https://etp-aktiv.ru/catalog/materialy/nasosno-kompressornoe-oborudovanie/5000061037-U117/","Открыть позицию")</x:f>
        <x:v>Открыть позицию</x:v>
      </x:c>
    </x:row>
    <x:row r="7" ht="28" customHeight="1">
      <x:c r="A7" s="16" t="str">
        <x:v>Приморская ГРЭС</x:v>
      </x:c>
      <x:c r="B7" s="16" t="str">
        <x:v>5000063770-U117</x:v>
      </x:c>
      <x:c r="C7" s="16" t="str">
        <x:v>АГР НАС 1Д315-50А С А225М2 +РАМ+МУФ+КОФ</x:v>
      </x:c>
      <x:c r="D7" s="16" t="str">
        <x:v>Насосы одноступенчатые энергетические</x:v>
      </x:c>
      <x:c r="E7" s="16" t="str">
        <x:v>КМП</x:v>
      </x:c>
      <x:c r="F7" s="21" t="n">
        <x:v>1</x:v>
      </x:c>
      <x:c r="G7" s="17" t="n">
        <x:v>358680</x:v>
      </x:c>
      <x:c r="H7" s="17" t="n">
        <x:f>G7*F7</x:f>
        <x:v>358680</x:v>
      </x:c>
      <x:c r="I7" s="22" t="str">
        <x:f>HYPERLINK("https://etp-aktiv.ru/catalog/materialy/nasosno-kompressornoe-oborudovanie/5000063770-U117/","Открыть позицию")</x:f>
        <x:v>Открыть позицию</x:v>
      </x:c>
    </x:row>
    <x:row r="8" ht="28" customHeight="1">
      <x:c r="A8" s="16" t="str">
        <x:v>Приморская ГРЭС</x:v>
      </x:c>
      <x:c r="B8" s="16" t="str">
        <x:v>5000082820-U117</x:v>
      </x:c>
      <x:c r="C8" s="16" t="str">
        <x:v>АГР НАС 6Ш8-2 45/380/1500 150 30</x:v>
      </x:c>
      <x:c r="D8" s="16" t="str">
        <x:v>Насосы одноступенчатые шламовые</x:v>
      </x:c>
      <x:c r="E8" s="16" t="str">
        <x:v>ШТ</x:v>
      </x:c>
      <x:c r="F8" s="21" t="n">
        <x:v>1</x:v>
      </x:c>
      <x:c r="G8" s="17" t="n">
        <x:v>244000</x:v>
      </x:c>
      <x:c r="H8" s="17" t="n">
        <x:f>G8*F8</x:f>
        <x:v>244000</x:v>
      </x:c>
      <x:c r="I8" s="22" t="str">
        <x:f>HYPERLINK("https://etp-aktiv.ru/catalog/materialy/nasosno-kompressornoe-oborudovanie/5000082820-U117/","Открыть позицию")</x:f>
        <x:v>Открыть позицию</x:v>
      </x:c>
    </x:row>
    <x:row r="9" ht="28" customHeight="1">
      <x:c r="A9" s="16" t="str">
        <x:v>Приморская ГРЭС</x:v>
      </x:c>
      <x:c r="B9" s="16" t="str">
        <x:v>5000075309-U117</x:v>
      </x:c>
      <x:c r="C9" s="16" t="str">
        <x:v>АГР НАС КС 80-155-2-Т 55/380-660/3000</x:v>
      </x:c>
      <x:c r="D9" s="16" t="str">
        <x:v>Насосы многоступенчатые энергетические</x:v>
      </x:c>
      <x:c r="E9" s="16" t="str">
        <x:v>ШТ</x:v>
      </x:c>
      <x:c r="F9" s="21" t="n">
        <x:v>1</x:v>
      </x:c>
      <x:c r="G9" s="17" t="n">
        <x:v>873926.6625999999</x:v>
      </x:c>
      <x:c r="H9" s="17" t="n">
        <x:f>G9*F9</x:f>
        <x:v>873926.6625999999</x:v>
      </x:c>
      <x:c r="I9" s="22" t="str">
        <x:f>HYPERLINK("https://etp-aktiv.ru/catalog/materialy/nasosno-kompressornoe-oborudovanie/5000075309-U117/","Открыть позицию")</x:f>
        <x:v>Открыть позицию</x:v>
      </x:c>
    </x:row>
    <x:row r="10" ht="28" customHeight="1">
      <x:c r="A10" s="16" t="str">
        <x:v>Приморская ГРЭС</x:v>
      </x:c>
      <x:c r="B10" s="16" t="str">
        <x:v>5000057664-U117</x:v>
      </x:c>
      <x:c r="C10" s="16" t="str">
        <x:v>АГР НАС НМШ 8-25-6,3/2,5 Э/Д 2,2/1500</x:v>
      </x:c>
      <x:c r="D10" s="16" t="str">
        <x:v>Насосы гидравлические</x:v>
      </x:c>
      <x:c r="E10" s="16" t="str">
        <x:v>ШТ</x:v>
      </x:c>
      <x:c r="F10" s="21" t="n">
        <x:v>1</x:v>
      </x:c>
      <x:c r="G10" s="17" t="n">
        <x:v>64354.146</x:v>
      </x:c>
      <x:c r="H10" s="17" t="n">
        <x:f>G10*F10</x:f>
        <x:v>64354.146</x:v>
      </x:c>
      <x:c r="I10" s="22" t="str">
        <x:f>HYPERLINK("https://etp-aktiv.ru/catalog/materialy/nasosno-kompressornoe-oborudovanie/5000057664-U117/","Открыть позицию")</x:f>
        <x:v>Открыть позицию</x:v>
      </x:c>
    </x:row>
    <x:row r="11" ht="28" customHeight="1">
      <x:c r="A11" s="16" t="str">
        <x:v>Приморская ГРЭС</x:v>
      </x:c>
      <x:c r="B11" s="16" t="str">
        <x:v>5000075262-U117</x:v>
      </x:c>
      <x:c r="C11" s="16" t="str">
        <x:v>АГР НАС ЦНСГ 105-147 75/380/2950</x:v>
      </x:c>
      <x:c r="D11" s="16" t="str">
        <x:v>Насосы многоступенчатые энергетические</x:v>
      </x:c>
      <x:c r="E11" s="16" t="str">
        <x:v>ШТ</x:v>
      </x:c>
      <x:c r="F11" s="21" t="n">
        <x:v>1</x:v>
      </x:c>
      <x:c r="G11" s="17" t="n">
        <x:v>335500</x:v>
      </x:c>
      <x:c r="H11" s="17" t="n">
        <x:f>G11*F11</x:f>
        <x:v>335500</x:v>
      </x:c>
      <x:c r="I11" s="22" t="str">
        <x:f>HYPERLINK("https://etp-aktiv.ru/catalog/materialy/nasosno-kompressornoe-oborudovanie/5000075262-U117/","Открыть позицию")</x:f>
        <x:v>Открыть позицию</x:v>
      </x:c>
    </x:row>
    <x:row r="12" ht="28" customHeight="1">
      <x:c r="A12" s="16" t="str">
        <x:v>Приморская ГРЭС</x:v>
      </x:c>
      <x:c r="B12" s="16" t="str">
        <x:v>2000920794-U117</x:v>
      </x:c>
      <x:c r="C12" s="16" t="str">
        <x:v>АППАРАТ ВЫПРАВЛЯЮЩИЙ ОПВ16-110КЭ Б-27718</x:v>
      </x:c>
      <x:c r="D12" s="16" t="str">
        <x:v>Запасные части к энергетическим насосам</x:v>
      </x:c>
      <x:c r="E12" s="16" t="str">
        <x:v>ШТ</x:v>
      </x:c>
      <x:c r="F12" s="21" t="n">
        <x:v>1</x:v>
      </x:c>
      <x:c r="G12" s="17" t="n">
        <x:v>816716.4217999999</x:v>
      </x:c>
      <x:c r="H12" s="17" t="n">
        <x:f>G12*F12</x:f>
        <x:v>816716.4217999999</x:v>
      </x:c>
      <x:c r="I12" s="22" t="str">
        <x:f>HYPERLINK("https://etp-aktiv.ru/catalog/materialy/zapasnye-chasti-promyshlennogo-oborudovaniya/2000920794-U117/","Открыть позицию")</x:f>
        <x:v>Открыть позицию</x:v>
      </x:c>
    </x:row>
    <x:row r="13" ht="28" customHeight="1">
      <x:c r="A13" s="16" t="str">
        <x:v>Приморская ГРЭС</x:v>
      </x:c>
      <x:c r="B13" s="16" t="str">
        <x:v>2000120744-U117</x:v>
      </x:c>
      <x:c r="C13" s="16" t="str">
        <x:v>АППАРАТ НАПРАВЛ ЦНС-60 165-1.01.026-1</x:v>
      </x:c>
      <x:c r="D13" s="16" t="str">
        <x:v>Запасные части к энергетическим насосам</x:v>
      </x:c>
      <x:c r="E13" s="16" t="str">
        <x:v>ШТ</x:v>
      </x:c>
      <x:c r="F13" s="21" t="n">
        <x:v>4</x:v>
      </x:c>
      <x:c r="G13" s="17" t="n">
        <x:v>11224</x:v>
      </x:c>
      <x:c r="H13" s="17" t="n">
        <x:f>G13*F13</x:f>
        <x:v>44896</x:v>
      </x:c>
      <x:c r="I13" s="22" t="str">
        <x:f>HYPERLINK("https://etp-aktiv.ru/catalog/materialy/zapasnye-chasti-promyshlennogo-oborudovaniya/2000120744-U117/","Открыть позицию")</x:f>
        <x:v>Открыть позицию</x:v>
      </x:c>
    </x:row>
    <x:row r="14" ht="28" customHeight="1">
      <x:c r="A14" s="16" t="str">
        <x:v>Приморская ГРЭС</x:v>
      </x:c>
      <x:c r="B14" s="16" t="str">
        <x:v>2000728674-U117</x:v>
      </x:c>
      <x:c r="C14" s="16" t="str">
        <x:v>БАЛАНСИР КАЧАЮЩЕГО ПИТАТЕЛЯ Т-5038.00.00</x:v>
      </x:c>
      <x:c r="D14" s="16" t="str">
        <x:v>Запасные части к обогатительному оборудованию</x:v>
      </x:c>
      <x:c r="E14" s="16" t="str">
        <x:v>ШТ</x:v>
      </x:c>
      <x:c r="F14" s="21" t="n">
        <x:v>5</x:v>
      </x:c>
      <x:c r="G14" s="17" t="n">
        <x:v>121268</x:v>
      </x:c>
      <x:c r="H14" s="17" t="n">
        <x:f>G14*F14</x:f>
        <x:v>606340</x:v>
      </x:c>
      <x:c r="I14" s="22" t="str">
        <x:f>HYPERLINK("https://etp-aktiv.ru/catalog/materialy/zapasnye-chasti-k-drobilno-sortirovochnomu-oborudovaniyu/2000728674-U117/","Открыть позицию")</x:f>
        <x:v>Открыть позицию</x:v>
      </x:c>
    </x:row>
    <x:row r="15" ht="28" customHeight="1">
      <x:c r="A15" s="16" t="str">
        <x:v>Приморская ГРЭС</x:v>
      </x:c>
      <x:c r="B15" s="16" t="str">
        <x:v>2000533359-U117</x:v>
      </x:c>
      <x:c r="C15" s="16" t="str">
        <x:v>БАРАБАН Н18.38.30.05 КСВ 320-160-2</x:v>
      </x:c>
      <x:c r="D15" s="16" t="str">
        <x:v>Запасные части к энергетическим насосам</x:v>
      </x:c>
      <x:c r="E15" s="16" t="str">
        <x:v>ШТ</x:v>
      </x:c>
      <x:c r="F15" s="21" t="n">
        <x:v>6</x:v>
      </x:c>
      <x:c r="G15" s="17" t="n">
        <x:v>53932.393599999996</x:v>
      </x:c>
      <x:c r="H15" s="17" t="n">
        <x:f>G15*F15</x:f>
        <x:v>323594.36159999995</x:v>
      </x:c>
      <x:c r="I15" s="22" t="str">
        <x:f>HYPERLINK("https://etp-aktiv.ru/catalog/materialy/zapasnye-chasti-promyshlennogo-oborudovaniya/2000533359-U117/","Открыть позицию")</x:f>
        <x:v>Открыть позицию</x:v>
      </x:c>
    </x:row>
    <x:row r="16" ht="28" customHeight="1">
      <x:c r="A16" s="16" t="str">
        <x:v>Приморская ГРЭС</x:v>
      </x:c>
      <x:c r="B16" s="16" t="str">
        <x:v>2000736665-U117</x:v>
      </x:c>
      <x:c r="C16" s="16" t="str">
        <x:v>БОЛТ АНКЕР К-5312.00.00 МВ 3300/800/490</x:v>
      </x:c>
      <x:c r="D16" s="16" t="str">
        <x:v>Запасные части к мельницам</x:v>
      </x:c>
      <x:c r="E16" s="16" t="str">
        <x:v>ШТ</x:v>
      </x:c>
      <x:c r="F16" s="21" t="n">
        <x:v>10</x:v>
      </x:c>
      <x:c r="G16" s="17" t="n">
        <x:v>21576.188000000002</x:v>
      </x:c>
      <x:c r="H16" s="17" t="n">
        <x:f>G16*F16</x:f>
        <x:v>215761.88</x:v>
      </x:c>
      <x:c r="I16" s="22" t="str">
        <x:f>HYPERLINK("https://etp-aktiv.ru/catalog/materialy/zapasnye-chasti-promyshlennogo-oborudovaniya/2000736665-U117/","Открыть позицию")</x:f>
        <x:v>Открыть позицию</x:v>
      </x:c>
    </x:row>
    <x:row r="17" ht="28" customHeight="1">
      <x:c r="A17" s="16" t="str">
        <x:v>Приморская ГРЭС</x:v>
      </x:c>
      <x:c r="B17" s="16" t="str">
        <x:v>2000705308-U117</x:v>
      </x:c>
      <x:c r="C17" s="16" t="str">
        <x:v>БОЛТ ВНУТР КОРПУСА ПЭ380-185 ОРЦ.32.228</x:v>
      </x:c>
      <x:c r="D17" s="16" t="str">
        <x:v>Запасные части к энергетическим насосам</x:v>
      </x:c>
      <x:c r="E17" s="16" t="str">
        <x:v>ШТ</x:v>
      </x:c>
      <x:c r="F17" s="21" t="n">
        <x:v>24</x:v>
      </x:c>
      <x:c r="G17" s="17" t="n">
        <x:v>771.0034</x:v>
      </x:c>
      <x:c r="H17" s="17" t="n">
        <x:f>G17*F17</x:f>
        <x:v>18504.0816</x:v>
      </x:c>
      <x:c r="I17" s="22" t="str">
        <x:f>HYPERLINK("https://etp-aktiv.ru/catalog/materialy/zapasnye-chasti-promyshlennogo-oborudovaniya/2000705308-U117/","Открыть позицию")</x:f>
        <x:v>Открыть позицию</x:v>
      </x:c>
    </x:row>
    <x:row r="18" ht="28" customHeight="1">
      <x:c r="A18" s="16" t="str">
        <x:v>Приморская ГРЭС</x:v>
      </x:c>
      <x:c r="B18" s="16" t="str">
        <x:v>2000705300-U117</x:v>
      </x:c>
      <x:c r="C18" s="16" t="str">
        <x:v>БОЛТ КРЕП СЕКЦИЙ ПЭ-380-200-2 ОРЦ.32.218</x:v>
      </x:c>
      <x:c r="D18" s="16" t="str">
        <x:v>Запасные части к энергетическим насосам</x:v>
      </x:c>
      <x:c r="E18" s="16" t="str">
        <x:v>ШТ</x:v>
      </x:c>
      <x:c r="F18" s="21" t="n">
        <x:v>48</x:v>
      </x:c>
      <x:c r="G18" s="17" t="n">
        <x:v>822.402</x:v>
      </x:c>
      <x:c r="H18" s="17" t="n">
        <x:f>G18*F18</x:f>
        <x:v>39475.296</x:v>
      </x:c>
      <x:c r="I18" s="22" t="str">
        <x:f>HYPERLINK("https://etp-aktiv.ru/catalog/materialy/zapasnye-chasti-promyshlennogo-oborudovaniya/2000705300-U117/","Открыть позицию")</x:f>
        <x:v>Открыть позицию</x:v>
      </x:c>
    </x:row>
    <x:row r="19" ht="28" customHeight="1">
      <x:c r="A19" s="16" t="str">
        <x:v>Приморская ГРЭС</x:v>
      </x:c>
      <x:c r="B19" s="16" t="str">
        <x:v>2000705302-U117</x:v>
      </x:c>
      <x:c r="C19" s="16" t="str">
        <x:v>БОЛТ КРЕП СЕКЦИЙ ПЭ380-185 ОРЦ.32.219</x:v>
      </x:c>
      <x:c r="D19" s="16" t="str">
        <x:v>Запасные части к энергетическим насосам</x:v>
      </x:c>
      <x:c r="E19" s="16" t="str">
        <x:v>ШТ</x:v>
      </x:c>
      <x:c r="F19" s="21" t="n">
        <x:v>24</x:v>
      </x:c>
      <x:c r="G19" s="17" t="n">
        <x:v>771.0034</x:v>
      </x:c>
      <x:c r="H19" s="17" t="n">
        <x:f>G19*F19</x:f>
        <x:v>18504.0816</x:v>
      </x:c>
      <x:c r="I19" s="22" t="str">
        <x:f>HYPERLINK("https://etp-aktiv.ru/catalog/materialy/zapasnye-chasti-promyshlennogo-oborudovaniya/2000705302-U117/","Открыть позицию")</x:f>
        <x:v>Открыть позицию</x:v>
      </x:c>
    </x:row>
    <x:row r="20" ht="28" customHeight="1">
      <x:c r="A20" s="16" t="str">
        <x:v>Приморская ГРЭС</x:v>
      </x:c>
      <x:c r="B20" s="16" t="str">
        <x:v>2000738547-U117</x:v>
      </x:c>
      <x:c r="C20" s="16" t="str">
        <x:v>БОЛТ КРЕПЛЕНИЯ РОТОРА ПГ 300.412.00</x:v>
      </x:c>
      <x:c r="D20" s="16" t="str">
        <x:v>Запасные части к мельницам</x:v>
      </x:c>
      <x:c r="E20" s="16" t="str">
        <x:v>ШТ</x:v>
      </x:c>
      <x:c r="F20" s="21" t="n">
        <x:v>123</x:v>
      </x:c>
      <x:c r="G20" s="17" t="n">
        <x:v>4501.9098</x:v>
      </x:c>
      <x:c r="H20" s="17" t="n">
        <x:f>G20*F20</x:f>
        <x:v>553734.9054</x:v>
      </x:c>
      <x:c r="I20" s="22" t="str">
        <x:f>HYPERLINK("https://etp-aktiv.ru/catalog/materialy/zapasnye-chasti-promyshlennogo-oborudovaniya/2000738547-U117/","Открыть позицию")</x:f>
        <x:v>Открыть позицию</x:v>
      </x:c>
    </x:row>
    <x:row r="21" ht="28" customHeight="1">
      <x:c r="A21" s="16" t="str">
        <x:v>Приморская ГРЭС</x:v>
      </x:c>
      <x:c r="B21" s="16" t="str">
        <x:v>2000705275-U117</x:v>
      </x:c>
      <x:c r="C21" s="16" t="str">
        <x:v>БОЛТ М16 ПЭ380-185 ОРЦ.32.220</x:v>
      </x:c>
      <x:c r="D21" s="16" t="str">
        <x:v>Запасные части к энергетическим насосам</x:v>
      </x:c>
      <x:c r="E21" s="16" t="str">
        <x:v>ШТ</x:v>
      </x:c>
      <x:c r="F21" s="21" t="n">
        <x:v>360</x:v>
      </x:c>
      <x:c r="G21" s="17" t="n">
        <x:v>865.8706</x:v>
      </x:c>
      <x:c r="H21" s="17" t="n">
        <x:f>G21*F21</x:f>
        <x:v>311713.41599999997</x:v>
      </x:c>
      <x:c r="I21" s="22" t="str">
        <x:f>HYPERLINK("https://etp-aktiv.ru/catalog/materialy/zapasnye-chasti-promyshlennogo-oborudovaniya/2000705275-U117/","Открыть позицию")</x:f>
        <x:v>Открыть позицию</x:v>
      </x:c>
    </x:row>
    <x:row r="22" ht="28" customHeight="1">
      <x:c r="A22" s="16" t="str">
        <x:v>Приморская ГРЭС</x:v>
      </x:c>
      <x:c r="B22" s="16" t="str">
        <x:v>2000705309-U117</x:v>
      </x:c>
      <x:c r="C22" s="16" t="str">
        <x:v>БОЛТ М16 ПЭ380-185 ОРЦ.32.229</x:v>
      </x:c>
      <x:c r="D22" s="16" t="str">
        <x:v>Запасные части к энергетическим насосам</x:v>
      </x:c>
      <x:c r="E22" s="16" t="str">
        <x:v>ШТ</x:v>
      </x:c>
      <x:c r="F22" s="21" t="n">
        <x:v>24</x:v>
      </x:c>
      <x:c r="G22" s="17" t="n">
        <x:v>682.8828</x:v>
      </x:c>
      <x:c r="H22" s="17" t="n">
        <x:f>G22*F22</x:f>
        <x:v>16389.1872</x:v>
      </x:c>
      <x:c r="I22" s="22" t="str">
        <x:f>HYPERLINK("https://etp-aktiv.ru/catalog/materialy/zapasnye-chasti-promyshlennogo-oborudovaniya/2000705309-U117/","Открыть позицию")</x:f>
        <x:v>Открыть позицию</x:v>
      </x:c>
    </x:row>
    <x:row r="23" ht="28" customHeight="1">
      <x:c r="A23" s="16" t="str">
        <x:v>Приморская ГРЭС</x:v>
      </x:c>
      <x:c r="B23" s="16" t="str">
        <x:v>2000905130-U117</x:v>
      </x:c>
      <x:c r="C23" s="16" t="str">
        <x:v>БОРФРЕЗА А 6*16*61*6ММ 860160616610</x:v>
      </x:c>
      <x:c r="D23" s="16" t="str">
        <x:v>Инструмент и спецоснастка</x:v>
      </x:c>
      <x:c r="E23" s="16" t="str">
        <x:v>ШТ</x:v>
      </x:c>
      <x:c r="F23" s="21" t="n">
        <x:v>2</x:v>
      </x:c>
      <x:c r="G23" s="17" t="n">
        <x:v>293.7028</x:v>
      </x:c>
      <x:c r="H23" s="17" t="n">
        <x:f>G23*F23</x:f>
        <x:v>587.4056</x:v>
      </x:c>
      <x:c r="I23" s="22" t="str">
        <x:f>HYPERLINK("https://etp-aktiv.ru/catalog/materialy/instrument-i-specosnastka/2000905130-U117/","Открыть позицию")</x:f>
        <x:v>Открыть позицию</x:v>
      </x:c>
    </x:row>
    <x:row r="24" ht="28" customHeight="1">
      <x:c r="A24" s="16" t="str">
        <x:v>Приморская ГРЭС</x:v>
      </x:c>
      <x:c r="B24" s="16" t="str">
        <x:v>2000484185-U117</x:v>
      </x:c>
      <x:c r="C24" s="16" t="str">
        <x:v>БУМАГА НАЖДАЧНАЯ А4 Р1000</x:v>
      </x:c>
      <x:c r="D24" s="16" t="str">
        <x:v>Инструмент и спецоснастка</x:v>
      </x:c>
      <x:c r="E24" s="16" t="str">
        <x:v>ШТ</x:v>
      </x:c>
      <x:c r="F24" s="21" t="n">
        <x:v>80</x:v>
      </x:c>
      <x:c r="G24" s="17" t="n">
        <x:v>83.8384</x:v>
      </x:c>
      <x:c r="H24" s="17" t="n">
        <x:f>G24*F24</x:f>
        <x:v>6707.071999999999</x:v>
      </x:c>
      <x:c r="I24" s="22" t="str">
        <x:f>HYPERLINK("https://etp-aktiv.ru/catalog/materialy/instrument-i-specosnastka/2000484185-U117/","Открыть позицию")</x:f>
        <x:v>Открыть позицию</x:v>
      </x:c>
    </x:row>
    <x:row r="25" ht="28" customHeight="1">
      <x:c r="A25" s="16" t="str">
        <x:v>Приморская ГРЭС</x:v>
      </x:c>
      <x:c r="B25" s="16" t="str">
        <x:v>2000484184-U117</x:v>
      </x:c>
      <x:c r="C25" s="16" t="str">
        <x:v>БУМАГА НАЖДАЧНАЯ А4 Р200</x:v>
      </x:c>
      <x:c r="D25" s="16" t="str">
        <x:v>Инструмент и спецоснастка</x:v>
      </x:c>
      <x:c r="E25" s="16" t="str">
        <x:v>ШТ</x:v>
      </x:c>
      <x:c r="F25" s="21" t="n">
        <x:v>118</x:v>
      </x:c>
      <x:c r="G25" s="17" t="n">
        <x:v>134.0414</x:v>
      </x:c>
      <x:c r="H25" s="17" t="n">
        <x:f>G25*F25</x:f>
        <x:v>15816.8852</x:v>
      </x:c>
      <x:c r="I25" s="22" t="str">
        <x:f>HYPERLINK("https://etp-aktiv.ru/catalog/materialy/instrument-i-specosnastka/2000484184-U117/","Открыть позицию")</x:f>
        <x:v>Открыть позицию</x:v>
      </x:c>
    </x:row>
    <x:row r="26" ht="28" customHeight="1">
      <x:c r="A26" s="16" t="str">
        <x:v>Приморская ГРЭС</x:v>
      </x:c>
      <x:c r="B26" s="16" t="str">
        <x:v>2000484282-U117</x:v>
      </x:c>
      <x:c r="C26" s="16" t="str">
        <x:v>БУМАГА НАЖДАЧНАЯ А4 Р400</x:v>
      </x:c>
      <x:c r="D26" s="16" t="str">
        <x:v>Инструмент и спецоснастка</x:v>
      </x:c>
      <x:c r="E26" s="16" t="str">
        <x:v>ШТ</x:v>
      </x:c>
      <x:c r="F26" s="21" t="n">
        <x:v>24</x:v>
      </x:c>
      <x:c r="G26" s="17" t="n">
        <x:v>134.09019999999998</x:v>
      </x:c>
      <x:c r="H26" s="17" t="n">
        <x:f>G26*F26</x:f>
        <x:v>3218.1647999999996</x:v>
      </x:c>
      <x:c r="I26" s="22" t="str">
        <x:f>HYPERLINK("https://etp-aktiv.ru/catalog/materialy/instrument-i-specosnastka/2000484282-U117/","Открыть позицию")</x:f>
        <x:v>Открыть позицию</x:v>
      </x:c>
    </x:row>
    <x:row r="27" ht="28" customHeight="1">
      <x:c r="A27" s="16" t="str">
        <x:v>Приморская ГРЭС</x:v>
      </x:c>
      <x:c r="B27" s="16" t="str">
        <x:v>2000267974-U117</x:v>
      </x:c>
      <x:c r="C27" s="16" t="str">
        <x:v>БУР 14*460ММ 29314-460-14</x:v>
      </x:c>
      <x:c r="D27" s="16" t="str">
        <x:v>Инструмент и спецоснастка</x:v>
      </x:c>
      <x:c r="E27" s="16" t="str">
        <x:v>ШТ</x:v>
      </x:c>
      <x:c r="F27" s="21" t="n">
        <x:v>1</x:v>
      </x:c>
      <x:c r="G27" s="17" t="n">
        <x:v>192.8942</x:v>
      </x:c>
      <x:c r="H27" s="17" t="n">
        <x:f>G27*F27</x:f>
        <x:v>192.8942</x:v>
      </x:c>
      <x:c r="I27" s="22" t="str">
        <x:f>HYPERLINK("https://etp-aktiv.ru/catalog/materialy/instrument-i-specosnastka/2000267974-U117/","Открыть позицию")</x:f>
        <x:v>Открыть позицию</x:v>
      </x:c>
    </x:row>
    <x:row r="28" ht="28" customHeight="1">
      <x:c r="A28" s="16" t="str">
        <x:v>Приморская ГРЭС</x:v>
      </x:c>
      <x:c r="B28" s="16" t="str">
        <x:v>2000542468-U117</x:v>
      </x:c>
      <x:c r="C28" s="16" t="str">
        <x:v>БУР SDS+ 12*460 39-12674</x:v>
      </x:c>
      <x:c r="D28" s="16" t="str">
        <x:v>Инструмент и спецоснастка</x:v>
      </x:c>
      <x:c r="E28" s="16" t="str">
        <x:v>ШТ</x:v>
      </x:c>
      <x:c r="F28" s="21" t="n">
        <x:v>1</x:v>
      </x:c>
      <x:c r="G28" s="17" t="n">
        <x:v>389.9974</x:v>
      </x:c>
      <x:c r="H28" s="17" t="n">
        <x:f>G28*F28</x:f>
        <x:v>389.9974</x:v>
      </x:c>
      <x:c r="I28" s="22" t="str">
        <x:f>HYPERLINK("https://etp-aktiv.ru/catalog/materialy/instrument-i-specosnastka/2000542468-U117/","Открыть позицию")</x:f>
        <x:v>Открыть позицию</x:v>
      </x:c>
    </x:row>
    <x:row r="29" ht="28" customHeight="1">
      <x:c r="A29" s="16" t="str">
        <x:v>Приморская ГРЭС</x:v>
      </x:c>
      <x:c r="B29" s="16" t="str">
        <x:v>2000542408-U117</x:v>
      </x:c>
      <x:c r="C29" s="16" t="str">
        <x:v>БУР SDS+ 18*460 29314-460-18</x:v>
      </x:c>
      <x:c r="D29" s="16" t="str">
        <x:v>Инструмент и спецоснастка</x:v>
      </x:c>
      <x:c r="E29" s="16" t="str">
        <x:v>ШТ</x:v>
      </x:c>
      <x:c r="F29" s="21" t="n">
        <x:v>1</x:v>
      </x:c>
      <x:c r="G29" s="17" t="n">
        <x:v>242.7678</x:v>
      </x:c>
      <x:c r="H29" s="17" t="n">
        <x:f>G29*F29</x:f>
        <x:v>242.7678</x:v>
      </x:c>
      <x:c r="I29" s="22" t="str">
        <x:f>HYPERLINK("https://etp-aktiv.ru/catalog/materialy/instrument-i-specosnastka/2000542408-U117/","Открыть позицию")</x:f>
        <x:v>Открыть позицию</x:v>
      </x:c>
    </x:row>
    <x:row r="30" ht="28" customHeight="1">
      <x:c r="A30" s="16" t="str">
        <x:v>Приморская ГРЭС</x:v>
      </x:c>
      <x:c r="B30" s="16" t="str">
        <x:v>2000903897-U117</x:v>
      </x:c>
      <x:c r="C30" s="16" t="str">
        <x:v>ВАЛ КСВ 320-160 Н18.77.30.01-01</x:v>
      </x:c>
      <x:c r="D30" s="16" t="str">
        <x:v>Запасные части к энергетическим насосам</x:v>
      </x:c>
      <x:c r="E30" s="16" t="str">
        <x:v>ШТ</x:v>
      </x:c>
      <x:c r="F30" s="21" t="n">
        <x:v>3</x:v>
      </x:c>
      <x:c r="G30" s="17" t="n">
        <x:v>140716.8374</x:v>
      </x:c>
      <x:c r="H30" s="17" t="n">
        <x:f>G30*F30</x:f>
        <x:v>422150.5122</x:v>
      </x:c>
      <x:c r="I30" s="22" t="str">
        <x:f>HYPERLINK("https://etp-aktiv.ru/catalog/materialy/zapasnye-chasti-promyshlennogo-oborudovaniya/2000903897-U117/","Открыть позицию")</x:f>
        <x:v>Открыть позицию</x:v>
      </x:c>
    </x:row>
    <x:row r="31" ht="28" customHeight="1">
      <x:c r="A31" s="16" t="str">
        <x:v>Приморская ГРЭС</x:v>
      </x:c>
      <x:c r="B31" s="16" t="str">
        <x:v>2000722276-U117</x:v>
      </x:c>
      <x:c r="C31" s="16" t="str">
        <x:v>ВАЛ ОПОРНОГО РОЛИКА Т-5390.00.00</x:v>
      </x:c>
      <x:c r="D31" s="16" t="str">
        <x:v>Запасные части к обогатительному оборудованию</x:v>
      </x:c>
      <x:c r="E31" s="16" t="str">
        <x:v>ШТ</x:v>
      </x:c>
      <x:c r="F31" s="21" t="n">
        <x:v>9</x:v>
      </x:c>
      <x:c r="G31" s="17" t="n">
        <x:v>15566.6388</x:v>
      </x:c>
      <x:c r="H31" s="17" t="n">
        <x:f>G31*F31</x:f>
        <x:v>140099.74920000002</x:v>
      </x:c>
      <x:c r="I31" s="22" t="str">
        <x:f>HYPERLINK("https://etp-aktiv.ru/catalog/materialy/zapasnye-chasti-k-drobilno-sortirovochnomu-oborudovaniyu/2000722276-U117/","Открыть позицию")</x:f>
        <x:v>Открыть позицию</x:v>
      </x:c>
    </x:row>
    <x:row r="32" ht="28" customHeight="1">
      <x:c r="A32" s="16" t="str">
        <x:v>Приморская ГРЭС</x:v>
      </x:c>
      <x:c r="B32" s="16" t="str">
        <x:v>2000185081-U117</x:v>
      </x:c>
      <x:c r="C32" s="16" t="str">
        <x:v>ВАЛИК 230ММ БИБЕР 038509</x:v>
      </x:c>
      <x:c r="D32" s="16" t="str">
        <x:v>Инструмент и спецоснастка</x:v>
      </x:c>
      <x:c r="E32" s="16" t="str">
        <x:v>ШТ</x:v>
      </x:c>
      <x:c r="F32" s="21" t="n">
        <x:v>10</x:v>
      </x:c>
      <x:c r="G32" s="17" t="n">
        <x:v>301.95</x:v>
      </x:c>
      <x:c r="H32" s="17" t="n">
        <x:f>G32*F32</x:f>
        <x:v>3019.5</x:v>
      </x:c>
      <x:c r="I32" s="22" t="str">
        <x:f>HYPERLINK("https://etp-aktiv.ru/catalog/materialy/instrument-i-specosnastka/2000185081-U117/","Открыть позицию")</x:f>
        <x:v>Открыть позицию</x:v>
      </x:c>
    </x:row>
    <x:row r="33" ht="28" customHeight="1">
      <x:c r="A33" s="16" t="str">
        <x:v>Приморская ГРЭС</x:v>
      </x:c>
      <x:c r="B33" s="16" t="str">
        <x:v>2000544417-U117</x:v>
      </x:c>
      <x:c r="C33" s="16" t="str">
        <x:v>ВАЛИК МАЛЯРН ПОЛИАКРИЛ 250*40*12 80881</x:v>
      </x:c>
      <x:c r="D33" s="16" t="str">
        <x:v>Инструмент и спецоснастка</x:v>
      </x:c>
      <x:c r="E33" s="16" t="str">
        <x:v>ШТ</x:v>
      </x:c>
      <x:c r="F33" s="21" t="n">
        <x:v>1</x:v>
      </x:c>
      <x:c r="G33" s="17" t="n">
        <x:v>164.7</x:v>
      </x:c>
      <x:c r="H33" s="17" t="n">
        <x:f>G33*F33</x:f>
        <x:v>164.7</x:v>
      </x:c>
      <x:c r="I33" s="22" t="str">
        <x:f>HYPERLINK("https://etp-aktiv.ru/catalog/materialy/instrument-i-specosnastka/2000544417-U117/","Открыть позицию")</x:f>
        <x:v>Открыть позицию</x:v>
      </x:c>
    </x:row>
    <x:row r="34" ht="28" customHeight="1">
      <x:c r="A34" s="16" t="str">
        <x:v>Приморская ГРЭС</x:v>
      </x:c>
      <x:c r="B34" s="16" t="str">
        <x:v>2000972254-U117</x:v>
      </x:c>
      <x:c r="C34" s="16" t="str">
        <x:v>ВЕНЕЦ ЗУБЧАТЫЙ GET90-100 96/98 КРАСНЫЙ</x:v>
      </x:c>
      <x:c r="D34" s="16" t="str">
        <x:v>Детали редукторов, муфт и элементов муфт</x:v>
      </x:c>
      <x:c r="E34" s="16" t="str">
        <x:v>ШТ</x:v>
      </x:c>
      <x:c r="F34" s="21" t="n">
        <x:v>7</x:v>
      </x:c>
      <x:c r="G34" s="17" t="n">
        <x:v>7991</x:v>
      </x:c>
      <x:c r="H34" s="17" t="n">
        <x:f>G34*F34</x:f>
        <x:v>55937</x:v>
      </x:c>
      <x:c r="I34" s="22" t="str">
        <x:f>HYPERLINK("https://etp-aktiv.ru/catalog/materialy/reduktory/2000972254-U117/","Открыть позицию")</x:f>
        <x:v>Открыть позицию</x:v>
      </x:c>
    </x:row>
    <x:row r="35" ht="28" customHeight="1">
      <x:c r="A35" s="16" t="str">
        <x:v>Приморская ГРЭС</x:v>
      </x:c>
      <x:c r="B35" s="16" t="str">
        <x:v>5000093558-U117</x:v>
      </x:c>
      <x:c r="C35" s="16" t="str">
        <x:v>ВЕНТИЛЯТОР ВО-25-188-8-01-03 АИР132S4</x:v>
      </x:c>
      <x:c r="D35" s="16" t="str">
        <x:v>Вентиляционное оборудование</x:v>
      </x:c>
      <x:c r="E35" s="16" t="str">
        <x:v>ШТ</x:v>
      </x:c>
      <x:c r="F35" s="21" t="n">
        <x:v>1</x:v>
      </x:c>
      <x:c r="G35" s="17" t="n">
        <x:v>97770.8</x:v>
      </x:c>
      <x:c r="H35" s="17" t="n">
        <x:f>G35*F35</x:f>
        <x:v>97770.8</x:v>
      </x:c>
      <x:c r="I35" s="22" t="str">
        <x:f>HYPERLINK("https://etp-aktiv.ru/catalog/materialy/zapasnye-chasti-promyshlennogo-oborudovaniya/5000093558-U117/","Открыть позицию")</x:f>
        <x:v>Открыть позицию</x:v>
      </x:c>
    </x:row>
    <x:row r="36" ht="28" customHeight="1">
      <x:c r="A36" s="16" t="str">
        <x:v>Приморская ГРЭС</x:v>
      </x:c>
      <x:c r="B36" s="16" t="str">
        <x:v>5000049977-U117</x:v>
      </x:c>
      <x:c r="C36" s="16" t="str">
        <x:v>ВЕНТИЛЯТОР ВР120-45 АИР160S4 15/380/1500</x:v>
      </x:c>
      <x:c r="D36" s="16" t="str">
        <x:v>Вентиляционное оборудование</x:v>
      </x:c>
      <x:c r="E36" s="16" t="str">
        <x:v>ШТ</x:v>
      </x:c>
      <x:c r="F36" s="21" t="n">
        <x:v>1</x:v>
      </x:c>
      <x:c r="G36" s="17" t="n">
        <x:v>124807.5006</x:v>
      </x:c>
      <x:c r="H36" s="17" t="n">
        <x:f>G36*F36</x:f>
        <x:v>124807.5006</x:v>
      </x:c>
      <x:c r="I36" s="22" t="str">
        <x:f>HYPERLINK("https://etp-aktiv.ru/catalog/materialy/zapasnye-chasti-promyshlennogo-oborudovaniya/5000049977-U117/","Открыть позицию")</x:f>
        <x:v>Открыть позицию</x:v>
      </x:c>
    </x:row>
    <x:row r="37" ht="28" customHeight="1">
      <x:c r="A37" s="16" t="str">
        <x:v>Приморская ГРЭС</x:v>
      </x:c>
      <x:c r="B37" s="16" t="str">
        <x:v>2000533458-U117</x:v>
      </x:c>
      <x:c r="C37" s="16" t="str">
        <x:v>ВИНТ 7.00.154.06 НАСОСА КСВ-320</x:v>
      </x:c>
      <x:c r="D37" s="16" t="str">
        <x:v>Запасные части к энергетическим насосам</x:v>
      </x:c>
      <x:c r="E37" s="16" t="str">
        <x:v>ШТ</x:v>
      </x:c>
      <x:c r="F37" s="21" t="n">
        <x:v>6</x:v>
      </x:c>
      <x:c r="G37" s="17" t="n">
        <x:v>279.0262</x:v>
      </x:c>
      <x:c r="H37" s="17" t="n">
        <x:f>G37*F37</x:f>
        <x:v>1674.1572</x:v>
      </x:c>
      <x:c r="I37" s="22" t="str">
        <x:f>HYPERLINK("https://etp-aktiv.ru/catalog/materialy/zapasnye-chasti-promyshlennogo-oborudovaniya/2000533458-U117/","Открыть позицию")</x:f>
        <x:v>Открыть позицию</x:v>
      </x:c>
    </x:row>
    <x:row r="38" ht="28" customHeight="1">
      <x:c r="A38" s="16" t="str">
        <x:v>Приморская ГРЭС</x:v>
      </x:c>
      <x:c r="B38" s="16" t="str">
        <x:v>2000021689-U117</x:v>
      </x:c>
      <x:c r="C38" s="16" t="str">
        <x:v>ВКЛАДЫШ С ЗАЛИВКОЙ 34.03.03.00-009 СБ</x:v>
      </x:c>
      <x:c r="D38" s="16" t="str">
        <x:v>Запасные части к компрессорам</x:v>
      </x:c>
      <x:c r="E38" s="16" t="str">
        <x:v>ШТ</x:v>
      </x:c>
      <x:c r="F38" s="21" t="n">
        <x:v>6</x:v>
      </x:c>
      <x:c r="G38" s="17" t="n">
        <x:v>4859.6748</x:v>
      </x:c>
      <x:c r="H38" s="17" t="n">
        <x:f>G38*F38</x:f>
        <x:v>29158.048799999997</x:v>
      </x:c>
      <x:c r="I38" s="22" t="str">
        <x:f>HYPERLINK("https://etp-aktiv.ru/catalog/materialy/zapasnye-chasti-promyshlennogo-oborudovaniya/2000021689-U117/","Открыть позицию")</x:f>
        <x:v>Открыть позицию</x:v>
      </x:c>
    </x:row>
    <x:row r="39" ht="28" customHeight="1">
      <x:c r="A39" s="16" t="str">
        <x:v>Приморская ГРЭС</x:v>
      </x:c>
      <x:c r="B39" s="16" t="str">
        <x:v>2000695117-U117</x:v>
      </x:c>
      <x:c r="C39" s="16" t="str">
        <x:v>ВТУЛКА ГИДРОП ПЭ380-200 Н17.59.108.02Р</x:v>
      </x:c>
      <x:c r="D39" s="16" t="str">
        <x:v>Запасные части к энергетическим насосам</x:v>
      </x:c>
      <x:c r="E39" s="16" t="str">
        <x:v>ШТ</x:v>
      </x:c>
      <x:c r="F39" s="21" t="n">
        <x:v>4</x:v>
      </x:c>
      <x:c r="G39" s="17" t="n">
        <x:v>19520</x:v>
      </x:c>
      <x:c r="H39" s="17" t="n">
        <x:f>G39*F39</x:f>
        <x:v>78080</x:v>
      </x:c>
      <x:c r="I39" s="22" t="str">
        <x:f>HYPERLINK("https://etp-aktiv.ru/catalog/materialy/zapasnye-chasti-promyshlennogo-oborudovaniya/2000695117-U117/","Открыть позицию")</x:f>
        <x:v>Открыть позицию</x:v>
      </x:c>
    </x:row>
    <x:row r="40" ht="28" customHeight="1">
      <x:c r="A40" s="16" t="str">
        <x:v>Приморская ГРЭС</x:v>
      </x:c>
      <x:c r="B40" s="16" t="str">
        <x:v>2000533497-U117</x:v>
      </x:c>
      <x:c r="C40" s="16" t="str">
        <x:v>ВТУЛКА ДИСТАНЦ 7.00.154.02 КСВ 320-160</x:v>
      </x:c>
      <x:c r="D40" s="16" t="str">
        <x:v>Запасные части к энергетическим насосам</x:v>
      </x:c>
      <x:c r="E40" s="16" t="str">
        <x:v>ШТ</x:v>
      </x:c>
      <x:c r="F40" s="21" t="n">
        <x:v>144</x:v>
      </x:c>
      <x:c r="G40" s="17" t="n">
        <x:v>14030</x:v>
      </x:c>
      <x:c r="H40" s="17" t="n">
        <x:f>G40*F40</x:f>
        <x:v>2020320</x:v>
      </x:c>
      <x:c r="I40" s="22" t="str">
        <x:f>HYPERLINK("https://etp-aktiv.ru/catalog/materialy/zapasnye-chasti-promyshlennogo-oborudovaniya/2000533497-U117/","Открыть позицию")</x:f>
        <x:v>Открыть позицию</x:v>
      </x:c>
    </x:row>
    <x:row r="41" ht="28" customHeight="1">
      <x:c r="A41" s="16" t="str">
        <x:v>Приморская ГРЭС</x:v>
      </x:c>
      <x:c r="B41" s="16" t="str">
        <x:v>2000766815-U117</x:v>
      </x:c>
      <x:c r="C41" s="16" t="str">
        <x:v>ВТУЛКА ЗАЩИТНАЯ ХII.00.002</x:v>
      </x:c>
      <x:c r="D41" s="16" t="str">
        <x:v>Запасные части к насосам</x:v>
      </x:c>
      <x:c r="E41" s="16" t="str">
        <x:v>ШТ</x:v>
      </x:c>
      <x:c r="F41" s="21" t="n">
        <x:v>11</x:v>
      </x:c>
      <x:c r="G41" s="17" t="n">
        <x:v>17694.9532</x:v>
      </x:c>
      <x:c r="H41" s="17" t="n">
        <x:f>G41*F41</x:f>
        <x:v>194644.4852</x:v>
      </x:c>
      <x:c r="I41" s="22" t="str">
        <x:f>HYPERLINK("https://etp-aktiv.ru/catalog/materialy/zapasnye-chasti-promyshlennogo-oborudovaniya/2000766815-U117/","Открыть позицию")</x:f>
        <x:v>Открыть позицию</x:v>
      </x:c>
    </x:row>
    <x:row r="42" ht="28" customHeight="1">
      <x:c r="A42" s="16" t="str">
        <x:v>Приморская ГРЭС</x:v>
      </x:c>
      <x:c r="B42" s="16" t="str">
        <x:v>2000533572-U117</x:v>
      </x:c>
      <x:c r="C42" s="16" t="str">
        <x:v>ВТУЛКА КОНЦ УПЛ 7.00.184.00 НАСОС ПЭ-380</x:v>
      </x:c>
      <x:c r="D42" s="16" t="str">
        <x:v>Запасные части к энергетическим насосам</x:v>
      </x:c>
      <x:c r="E42" s="16" t="str">
        <x:v>ШТ</x:v>
      </x:c>
      <x:c r="F42" s="21" t="n">
        <x:v>2</x:v>
      </x:c>
      <x:c r="G42" s="17" t="n">
        <x:v>22762.9186</x:v>
      </x:c>
      <x:c r="H42" s="17" t="n">
        <x:f>G42*F42</x:f>
        <x:v>45525.8372</x:v>
      </x:c>
      <x:c r="I42" s="22" t="str">
        <x:f>HYPERLINK("https://etp-aktiv.ru/catalog/materialy/zapasnye-chasti-promyshlennogo-oborudovaniya/2000533572-U117/","Открыть позицию")</x:f>
        <x:v>Открыть позицию</x:v>
      </x:c>
    </x:row>
    <x:row r="43" ht="28" customHeight="1">
      <x:c r="A43" s="16" t="str">
        <x:v>Приморская ГРЭС</x:v>
      </x:c>
      <x:c r="B43" s="16" t="str">
        <x:v>2000533571-U117</x:v>
      </x:c>
      <x:c r="C43" s="16" t="str">
        <x:v>ВТУЛКА КОНЦ УПЛ 7.00.184.00-01 НАСОС ПЭ</x:v>
      </x:c>
      <x:c r="D43" s="16" t="str">
        <x:v>Запасные части к энергетическим насосам</x:v>
      </x:c>
      <x:c r="E43" s="16" t="str">
        <x:v>ШТ</x:v>
      </x:c>
      <x:c r="F43" s="21" t="n">
        <x:v>2</x:v>
      </x:c>
      <x:c r="G43" s="17" t="n">
        <x:v>22762.9186</x:v>
      </x:c>
      <x:c r="H43" s="17" t="n">
        <x:f>G43*F43</x:f>
        <x:v>45525.8372</x:v>
      </x:c>
      <x:c r="I43" s="22" t="str">
        <x:f>HYPERLINK("https://etp-aktiv.ru/catalog/materialy/zapasnye-chasti-promyshlennogo-oborudovaniya/2000533571-U117/","Открыть позицию")</x:f>
        <x:v>Открыть позицию</x:v>
      </x:c>
    </x:row>
    <x:row r="44" ht="28" customHeight="1">
      <x:c r="A44" s="16" t="str">
        <x:v>Приморская ГРЭС</x:v>
      </x:c>
      <x:c r="B44" s="16" t="str">
        <x:v>2000642327-U117</x:v>
      </x:c>
      <x:c r="C44" s="16" t="str">
        <x:v>ВТУЛКА МУВП 1-100/4</x:v>
      </x:c>
      <x:c r="D44" s="16" t="str">
        <x:v>Детали редукторов, муфт и элементов муфт</x:v>
      </x:c>
      <x:c r="E44" s="16" t="str">
        <x:v>ШТ</x:v>
      </x:c>
      <x:c r="F44" s="21" t="n">
        <x:v>4</x:v>
      </x:c>
      <x:c r="G44" s="17" t="n">
        <x:v>286.2364</x:v>
      </x:c>
      <x:c r="H44" s="17" t="n">
        <x:f>G44*F44</x:f>
        <x:v>1144.9456</x:v>
      </x:c>
      <x:c r="I44" s="22" t="str">
        <x:f>HYPERLINK("https://etp-aktiv.ru/catalog/materialy/reduktory/2000642327-U117/","Открыть позицию")</x:f>
        <x:v>Открыть позицию</x:v>
      </x:c>
    </x:row>
    <x:row r="45" ht="28" customHeight="1">
      <x:c r="A45" s="16" t="str">
        <x:v>Приморская ГРЭС</x:v>
      </x:c>
      <x:c r="B45" s="16" t="str">
        <x:v>2000533581-U117</x:v>
      </x:c>
      <x:c r="C45" s="16" t="str">
        <x:v>ВТУЛКА Н17.59.108.02 ПЭ580-185/200-2</x:v>
      </x:c>
      <x:c r="D45" s="16" t="str">
        <x:v>Запасные части к энергетическим насосам</x:v>
      </x:c>
      <x:c r="E45" s="16" t="str">
        <x:v>ШТ</x:v>
      </x:c>
      <x:c r="F45" s="21" t="n">
        <x:v>2</x:v>
      </x:c>
      <x:c r="G45" s="17" t="n">
        <x:v>57274.424999999996</x:v>
      </x:c>
      <x:c r="H45" s="17" t="n">
        <x:f>G45*F45</x:f>
        <x:v>114548.84999999999</x:v>
      </x:c>
      <x:c r="I45" s="22" t="str">
        <x:f>HYPERLINK("https://etp-aktiv.ru/catalog/materialy/zapasnye-chasti-promyshlennogo-oborudovaniya/2000533581-U117/","Открыть позицию")</x:f>
        <x:v>Открыть позицию</x:v>
      </x:c>
    </x:row>
    <x:row r="46" ht="28" customHeight="1">
      <x:c r="A46" s="16" t="str">
        <x:v>Приморская ГРЭС</x:v>
      </x:c>
      <x:c r="B46" s="16" t="str">
        <x:v>2000533582-U117</x:v>
      </x:c>
      <x:c r="C46" s="16" t="str">
        <x:v>ВТУЛКА Н17.59.109.01Р НАСОСА ПЭ580-185</x:v>
      </x:c>
      <x:c r="D46" s="16" t="str">
        <x:v>Запасные части к энергетическим насосам</x:v>
      </x:c>
      <x:c r="E46" s="16" t="str">
        <x:v>ШТ</x:v>
      </x:c>
      <x:c r="F46" s="21" t="n">
        <x:v>3</x:v>
      </x:c>
      <x:c r="G46" s="17" t="n">
        <x:v>19520</x:v>
      </x:c>
      <x:c r="H46" s="17" t="n">
        <x:f>G46*F46</x:f>
        <x:v>58560</x:v>
      </x:c>
      <x:c r="I46" s="22" t="str">
        <x:f>HYPERLINK("https://etp-aktiv.ru/catalog/materialy/zapasnye-chasti-promyshlennogo-oborudovaniya/2000533582-U117/","Открыть позицию")</x:f>
        <x:v>Открыть позицию</x:v>
      </x:c>
    </x:row>
    <x:row r="47" ht="28" customHeight="1">
      <x:c r="A47" s="16" t="str">
        <x:v>Приморская ГРЭС</x:v>
      </x:c>
      <x:c r="B47" s="16" t="str">
        <x:v>2000533604-U117</x:v>
      </x:c>
      <x:c r="C47" s="16" t="str">
        <x:v>ВТУЛКА Н18.63.40.07 НАСОСА КСВ 320-160-2</x:v>
      </x:c>
      <x:c r="D47" s="16" t="str">
        <x:v>Запасные части к энергетическим насосам</x:v>
      </x:c>
      <x:c r="E47" s="16" t="str">
        <x:v>ШТ</x:v>
      </x:c>
      <x:c r="F47" s="21" t="n">
        <x:v>3</x:v>
      </x:c>
      <x:c r="G47" s="17" t="n">
        <x:v>59787.32</x:v>
      </x:c>
      <x:c r="H47" s="17" t="n">
        <x:f>G47*F47</x:f>
        <x:v>179361.96</x:v>
      </x:c>
      <x:c r="I47" s="22" t="str">
        <x:f>HYPERLINK("https://etp-aktiv.ru/catalog/materialy/zapasnye-chasti-promyshlennogo-oborudovaniya/2000533604-U117/","Открыть позицию")</x:f>
        <x:v>Открыть позицию</x:v>
      </x:c>
    </x:row>
    <x:row r="48" ht="28" customHeight="1">
      <x:c r="A48" s="16" t="str">
        <x:v>Приморская ГРЭС</x:v>
      </x:c>
      <x:c r="B48" s="16" t="str">
        <x:v>2000254701-U117</x:v>
      </x:c>
      <x:c r="C48" s="16" t="str">
        <x:v>ВТУЛКА НАСОСА Н17.183.102.03Р</x:v>
      </x:c>
      <x:c r="D48" s="16" t="str">
        <x:v>Запасные части к энергетическим насосам</x:v>
      </x:c>
      <x:c r="E48" s="16" t="str">
        <x:v>ШТ</x:v>
      </x:c>
      <x:c r="F48" s="21" t="n">
        <x:v>3</x:v>
      </x:c>
      <x:c r="G48" s="17" t="n">
        <x:v>15870.235799999999</x:v>
      </x:c>
      <x:c r="H48" s="17" t="n">
        <x:f>G48*F48</x:f>
        <x:v>47610.7074</x:v>
      </x:c>
      <x:c r="I48" s="22" t="str">
        <x:f>HYPERLINK("https://etp-aktiv.ru/catalog/materialy/zapasnye-chasti-promyshlennogo-oborudovaniya/2000254701-U117/","Открыть позицию")</x:f>
        <x:v>Открыть позицию</x:v>
      </x:c>
    </x:row>
    <x:row r="49" ht="28" customHeight="1">
      <x:c r="A49" s="16" t="str">
        <x:v>Приморская ГРЭС</x:v>
      </x:c>
      <x:c r="B49" s="16" t="str">
        <x:v>2000853125-U117</x:v>
      </x:c>
      <x:c r="C49" s="16" t="str">
        <x:v>ВТУЛКА ПГ ЦТП 11-1 ВРС-125</x:v>
      </x:c>
      <x:c r="D49" s="16" t="str">
        <x:v>Запасные части к вагоноопрокидывателям</x:v>
      </x:c>
      <x:c r="E49" s="16" t="str">
        <x:v>ШТ</x:v>
      </x:c>
      <x:c r="F49" s="21" t="n">
        <x:v>2</x:v>
      </x:c>
      <x:c r="G49" s="17" t="n">
        <x:v>14941.949999999999</x:v>
      </x:c>
      <x:c r="H49" s="17" t="n">
        <x:f>G49*F49</x:f>
        <x:v>29883.899999999998</x:v>
      </x:c>
      <x:c r="I49" s="22" t="str">
        <x:f>HYPERLINK("https://etp-aktiv.ru/catalog/materialy/zapasnye-chasti-k-drobilno-sortirovochnomu-oborudovaniyu/2000853125-U117/","Открыть позицию")</x:f>
        <x:v>Открыть позицию</x:v>
      </x:c>
    </x:row>
    <x:row r="50" ht="28" customHeight="1">
      <x:c r="A50" s="16" t="str">
        <x:v>Приморская ГРЭС</x:v>
      </x:c>
      <x:c r="B50" s="16" t="str">
        <x:v>2000533625-U117</x:v>
      </x:c>
      <x:c r="C50" s="16" t="str">
        <x:v>ВТУЛКА ПЯТЫ 5М.02.07 НАСОСА ПЭ270-150</x:v>
      </x:c>
      <x:c r="D50" s="16" t="str">
        <x:v>Запасные части к энергетическим насосам</x:v>
      </x:c>
      <x:c r="E50" s="16" t="str">
        <x:v>ШТ</x:v>
      </x:c>
      <x:c r="F50" s="21" t="n">
        <x:v>4</x:v>
      </x:c>
      <x:c r="G50" s="17" t="n">
        <x:v>47592.138999999996</x:v>
      </x:c>
      <x:c r="H50" s="17" t="n">
        <x:f>G50*F50</x:f>
        <x:v>190368.55599999998</x:v>
      </x:c>
      <x:c r="I50" s="22" t="str">
        <x:f>HYPERLINK("https://etp-aktiv.ru/catalog/materialy/zapasnye-chasti-promyshlennogo-oborudovaniya/2000533625-U117/","Открыть позицию")</x:f>
        <x:v>Открыть позицию</x:v>
      </x:c>
    </x:row>
    <x:row r="51" ht="28" customHeight="1">
      <x:c r="A51" s="16" t="str">
        <x:v>Приморская ГРЭС</x:v>
      </x:c>
      <x:c r="B51" s="16" t="str">
        <x:v>2000375398-U117</x:v>
      </x:c>
      <x:c r="C51" s="16" t="str">
        <x:v>ВТУЛКА РАЗГРУЗКИ ЦНС-60 165-1.01.033</x:v>
      </x:c>
      <x:c r="D51" s="16" t="str">
        <x:v>Запасные части к энергетическим насосам</x:v>
      </x:c>
      <x:c r="E51" s="16" t="str">
        <x:v>ШТ</x:v>
      </x:c>
      <x:c r="F51" s="21" t="n">
        <x:v>4</x:v>
      </x:c>
      <x:c r="G51" s="17" t="n">
        <x:v>4270</x:v>
      </x:c>
      <x:c r="H51" s="17" t="n">
        <x:f>G51*F51</x:f>
        <x:v>17080</x:v>
      </x:c>
      <x:c r="I51" s="22" t="str">
        <x:f>HYPERLINK("https://etp-aktiv.ru/catalog/materialy/zapasnye-chasti-promyshlennogo-oborudovaniya/2000375398-U117/","Открыть позицию")</x:f>
        <x:v>Открыть позицию</x:v>
      </x:c>
    </x:row>
    <x:row r="52" ht="28" customHeight="1">
      <x:c r="A52" s="16" t="str">
        <x:v>Приморская ГРЭС</x:v>
      </x:c>
      <x:c r="B52" s="16" t="str">
        <x:v>2000533629-U117</x:v>
      </x:c>
      <x:c r="C52" s="16" t="str">
        <x:v>ВТУЛКА РАЗГРУЗОЧНОЙ КАМЕРЫ ОРЦ.32.192</x:v>
      </x:c>
      <x:c r="D52" s="16" t="str">
        <x:v>Запасные части к энергетическим насосам</x:v>
      </x:c>
      <x:c r="E52" s="16" t="str">
        <x:v>ШТ</x:v>
      </x:c>
      <x:c r="F52" s="21" t="n">
        <x:v>2</x:v>
      </x:c>
      <x:c r="G52" s="17" t="n">
        <x:v>30105.7936</x:v>
      </x:c>
      <x:c r="H52" s="17" t="n">
        <x:f>G52*F52</x:f>
        <x:v>60211.5872</x:v>
      </x:c>
      <x:c r="I52" s="22" t="str">
        <x:f>HYPERLINK("https://etp-aktiv.ru/catalog/materialy/zapasnye-chasti-promyshlennogo-oborudovaniya/2000533629-U117/","Открыть позицию")</x:f>
        <x:v>Открыть позицию</x:v>
      </x:c>
    </x:row>
    <x:row r="53" ht="28" customHeight="1">
      <x:c r="A53" s="16" t="str">
        <x:v>Приморская ГРЭС</x:v>
      </x:c>
      <x:c r="B53" s="16" t="str">
        <x:v>2000559922-U117</x:v>
      </x:c>
      <x:c r="C53" s="16" t="str">
        <x:v>ВТУЛКА Т-19832-04 УПРУГОЙ МУФТЫ</x:v>
      </x:c>
      <x:c r="D53" s="16" t="str">
        <x:v>Детали редукторов, муфт и элементов муфт</x:v>
      </x:c>
      <x:c r="E53" s="16" t="str">
        <x:v>ШТ</x:v>
      </x:c>
      <x:c r="F53" s="21" t="n">
        <x:v>24</x:v>
      </x:c>
      <x:c r="G53" s="17" t="n">
        <x:v>78.8364</x:v>
      </x:c>
      <x:c r="H53" s="17" t="n">
        <x:f>G53*F53</x:f>
        <x:v>1892.0736</x:v>
      </x:c>
      <x:c r="I53" s="22" t="str">
        <x:f>HYPERLINK("https://etp-aktiv.ru/catalog/materialy/reduktory/2000559922-U117/","Открыть позицию")</x:f>
        <x:v>Открыть позицию</x:v>
      </x:c>
    </x:row>
    <x:row r="54" ht="28" customHeight="1">
      <x:c r="A54" s="16" t="str">
        <x:v>Приморская ГРЭС</x:v>
      </x:c>
      <x:c r="B54" s="16" t="str">
        <x:v>2000609620-U117</x:v>
      </x:c>
      <x:c r="C54" s="16" t="str">
        <x:v>ВТУЛКА УПРУГАЯ МУВП1-40/5 СТП1449-2007</x:v>
      </x:c>
      <x:c r="D54" s="16" t="str">
        <x:v>Запасные части к дробильно-сортировочному оборудованию</x:v>
      </x:c>
      <x:c r="E54" s="16" t="str">
        <x:v>ШТ</x:v>
      </x:c>
      <x:c r="F54" s="21" t="n">
        <x:v>22</x:v>
      </x:c>
      <x:c r="G54" s="17" t="n">
        <x:v>321.3236</x:v>
      </x:c>
      <x:c r="H54" s="17" t="n">
        <x:f>G54*F54</x:f>
        <x:v>7069.1192</x:v>
      </x:c>
      <x:c r="I54" s="22" t="str">
        <x:f>HYPERLINK("https://etp-aktiv.ru/catalog/materialy/zapasnye-chasti-k-drobilno-sortirovochnomu-oborudovaniyu/2000609620-U117/","Открыть позицию")</x:f>
        <x:v>Открыть позицию</x:v>
      </x:c>
    </x:row>
    <x:row r="55" ht="28" customHeight="1">
      <x:c r="A55" s="16" t="str">
        <x:v>Приморская ГРЭС</x:v>
      </x:c>
      <x:c r="B55" s="16" t="str">
        <x:v>2000533476-U117</x:v>
      </x:c>
      <x:c r="C55" s="16" t="str">
        <x:v>ВТУЛКА ЩЕЛЕВОГ УПЛОТ 806.15.133.01Р ПЭ</x:v>
      </x:c>
      <x:c r="D55" s="16" t="str">
        <x:v>Запасные части к энергетическим насосам</x:v>
      </x:c>
      <x:c r="E55" s="16" t="str">
        <x:v>ШТ</x:v>
      </x:c>
      <x:c r="F55" s="21" t="n">
        <x:v>2</x:v>
      </x:c>
      <x:c r="G55" s="17" t="n">
        <x:v>21129.8144</x:v>
      </x:c>
      <x:c r="H55" s="17" t="n">
        <x:f>G55*F55</x:f>
        <x:v>42259.6288</x:v>
      </x:c>
      <x:c r="I55" s="22" t="str">
        <x:f>HYPERLINK("https://etp-aktiv.ru/catalog/materialy/zapasnye-chasti-promyshlennogo-oborudovaniya/2000533476-U117/","Открыть позицию")</x:f>
        <x:v>Открыть позицию</x:v>
      </x:c>
    </x:row>
    <x:row r="56" ht="28" customHeight="1">
      <x:c r="A56" s="16" t="str">
        <x:v>Приморская ГРЭС</x:v>
      </x:c>
      <x:c r="B56" s="16" t="str">
        <x:v>2000533695-U117</x:v>
      </x:c>
      <x:c r="C56" s="16" t="str">
        <x:v>ГАЙКА ДИСКА РАЗГРУЗОЧНОГО 7.00.150.01</x:v>
      </x:c>
      <x:c r="D56" s="16" t="str">
        <x:v>Запасные части к энергетическим насосам</x:v>
      </x:c>
      <x:c r="E56" s="16" t="str">
        <x:v>ШТ</x:v>
      </x:c>
      <x:c r="F56" s="21" t="n">
        <x:v>2</x:v>
      </x:c>
      <x:c r="G56" s="17" t="n">
        <x:v>20560.05</x:v>
      </x:c>
      <x:c r="H56" s="17" t="n">
        <x:f>G56*F56</x:f>
        <x:v>41120.1</x:v>
      </x:c>
      <x:c r="I56" s="22" t="str">
        <x:f>HYPERLINK("https://etp-aktiv.ru/catalog/materialy/zapasnye-chasti-promyshlennogo-oborudovaniya/2000533695-U117/","Открыть позицию")</x:f>
        <x:v>Открыть позицию</x:v>
      </x:c>
    </x:row>
    <x:row r="57" ht="28" customHeight="1">
      <x:c r="A57" s="16" t="str">
        <x:v>Приморская ГРЭС</x:v>
      </x:c>
      <x:c r="B57" s="16" t="str">
        <x:v>2000806721-U117</x:v>
      </x:c>
      <x:c r="C57" s="16" t="str">
        <x:v>ГАЙКА ЗД71.44И-7 МВ3300/800/490</x:v>
      </x:c>
      <x:c r="D57" s="16" t="str">
        <x:v>Запасные части к мельницам</x:v>
      </x:c>
      <x:c r="E57" s="16" t="str">
        <x:v>ШТ</x:v>
      </x:c>
      <x:c r="F57" s="21" t="n">
        <x:v>26</x:v>
      </x:c>
      <x:c r="G57" s="17" t="n">
        <x:v>6460.705199999999</x:v>
      </x:c>
      <x:c r="H57" s="17" t="n">
        <x:f>G57*F57</x:f>
        <x:v>167978.33519999997</x:v>
      </x:c>
      <x:c r="I57" s="22" t="str">
        <x:f>HYPERLINK("https://etp-aktiv.ru/catalog/materialy/zapasnye-chasti-promyshlennogo-oborudovaniya/2000806721-U117/","Открыть позицию")</x:f>
        <x:v>Открыть позицию</x:v>
      </x:c>
    </x:row>
    <x:row r="58" ht="28" customHeight="1">
      <x:c r="A58" s="16" t="str">
        <x:v>Приморская ГРЭС</x:v>
      </x:c>
      <x:c r="B58" s="16" t="str">
        <x:v>2000705307-U117</x:v>
      </x:c>
      <x:c r="C58" s="16" t="str">
        <x:v>ГАЙКА М16 ПЭ380-185 ОРЦ.32.221</x:v>
      </x:c>
      <x:c r="D58" s="16" t="str">
        <x:v>Запасные части к энергетическим насосам</x:v>
      </x:c>
      <x:c r="E58" s="16" t="str">
        <x:v>ШТ</x:v>
      </x:c>
      <x:c r="F58" s="21" t="n">
        <x:v>180</x:v>
      </x:c>
      <x:c r="G58" s="17" t="n">
        <x:v>366</x:v>
      </x:c>
      <x:c r="H58" s="17" t="n">
        <x:f>G58*F58</x:f>
        <x:v>65880</x:v>
      </x:c>
      <x:c r="I58" s="22" t="str">
        <x:f>HYPERLINK("https://etp-aktiv.ru/catalog/materialy/zapasnye-chasti-promyshlennogo-oborudovaniya/2000705307-U117/","Открыть позицию")</x:f>
        <x:v>Открыть позицию</x:v>
      </x:c>
    </x:row>
    <x:row r="59" ht="28" customHeight="1">
      <x:c r="A59" s="16" t="str">
        <x:v>Приморская ГРЭС</x:v>
      </x:c>
      <x:c r="B59" s="16" t="str">
        <x:v>2000533723-U117</x:v>
      </x:c>
      <x:c r="C59" s="16" t="str">
        <x:v>ГАЙКА ОРЦ.32.110 НАСОСА ПЭН-1А</x:v>
      </x:c>
      <x:c r="D59" s="16" t="str">
        <x:v>Запасные части к энергетическим насосам</x:v>
      </x:c>
      <x:c r="E59" s="16" t="str">
        <x:v>ШТ</x:v>
      </x:c>
      <x:c r="F59" s="21" t="n">
        <x:v>32</x:v>
      </x:c>
      <x:c r="G59" s="17" t="n">
        <x:v>771.0034</x:v>
      </x:c>
      <x:c r="H59" s="17" t="n">
        <x:f>G59*F59</x:f>
        <x:v>24672.1088</x:v>
      </x:c>
      <x:c r="I59" s="22" t="str">
        <x:f>HYPERLINK("https://etp-aktiv.ru/catalog/materialy/zapasnye-chasti-promyshlennogo-oborudovaniya/2000533723-U117/","Открыть позицию")</x:f>
        <x:v>Открыть позицию</x:v>
      </x:c>
    </x:row>
    <x:row r="60" ht="28" customHeight="1">
      <x:c r="A60" s="16" t="str">
        <x:v>Приморская ГРЭС</x:v>
      </x:c>
      <x:c r="B60" s="16" t="str">
        <x:v>2000533724-U117</x:v>
      </x:c>
      <x:c r="C60" s="16" t="str">
        <x:v>ГАЙКА ПОДЖИМНАЯ 27.32.039 НАСОСА ПЭ-380</x:v>
      </x:c>
      <x:c r="D60" s="16" t="str">
        <x:v>Запасные части к энергетическим насосам</x:v>
      </x:c>
      <x:c r="E60" s="16" t="str">
        <x:v>ШТ</x:v>
      </x:c>
      <x:c r="F60" s="21" t="n">
        <x:v>2</x:v>
      </x:c>
      <x:c r="G60" s="17" t="n">
        <x:v>22762.9186</x:v>
      </x:c>
      <x:c r="H60" s="17" t="n">
        <x:f>G60*F60</x:f>
        <x:v>45525.8372</x:v>
      </x:c>
      <x:c r="I60" s="22" t="str">
        <x:f>HYPERLINK("https://etp-aktiv.ru/catalog/materialy/zapasnye-chasti-promyshlennogo-oborudovaniya/2000533724-U117/","Открыть позицию")</x:f>
        <x:v>Открыть позицию</x:v>
      </x:c>
    </x:row>
    <x:row r="61" ht="28" customHeight="1">
      <x:c r="A61" s="16" t="str">
        <x:v>Приморская ГРЭС</x:v>
      </x:c>
      <x:c r="B61" s="16" t="str">
        <x:v>2000533725-U117</x:v>
      </x:c>
      <x:c r="C61" s="16" t="str">
        <x:v>ГАЙКА ПОДУШКИ ПЯТЫ ОРЦ.32.212 ПЭН-1А</x:v>
      </x:c>
      <x:c r="D61" s="16" t="str">
        <x:v>Запасные части к энергетическим насосам</x:v>
      </x:c>
      <x:c r="E61" s="16" t="str">
        <x:v>ШТ</x:v>
      </x:c>
      <x:c r="F61" s="21" t="n">
        <x:v>16</x:v>
      </x:c>
      <x:c r="G61" s="17" t="n">
        <x:v>682.8828</x:v>
      </x:c>
      <x:c r="H61" s="17" t="n">
        <x:f>G61*F61</x:f>
        <x:v>10926.1248</x:v>
      </x:c>
      <x:c r="I61" s="22" t="str">
        <x:f>HYPERLINK("https://etp-aktiv.ru/catalog/materialy/zapasnye-chasti-promyshlennogo-oborudovaniya/2000533725-U117/","Открыть позицию")</x:f>
        <x:v>Открыть позицию</x:v>
      </x:c>
    </x:row>
    <x:row r="62" ht="28" customHeight="1">
      <x:c r="A62" s="16" t="str">
        <x:v>Приморская ГРЭС</x:v>
      </x:c>
      <x:c r="B62" s="16" t="str">
        <x:v>2000705320-U117</x:v>
      </x:c>
      <x:c r="C62" s="16" t="str">
        <x:v>ГАЙКА ПОЛУМУФТЫ ПЭ380-185 7.00.150.05</x:v>
      </x:c>
      <x:c r="D62" s="16" t="str">
        <x:v>Запасные части к энергетическим насосам</x:v>
      </x:c>
      <x:c r="E62" s="16" t="str">
        <x:v>ШТ</x:v>
      </x:c>
      <x:c r="F62" s="21" t="n">
        <x:v>2</x:v>
      </x:c>
      <x:c r="G62" s="17" t="n">
        <x:v>3010.5818</x:v>
      </x:c>
      <x:c r="H62" s="17" t="n">
        <x:f>G62*F62</x:f>
        <x:v>6021.1636</x:v>
      </x:c>
      <x:c r="I62" s="22" t="str">
        <x:f>HYPERLINK("https://etp-aktiv.ru/catalog/materialy/zapasnye-chasti-promyshlennogo-oborudovaniya/2000705320-U117/","Открыть позицию")</x:f>
        <x:v>Открыть позицию</x:v>
      </x:c>
    </x:row>
    <x:row r="63" ht="28" customHeight="1">
      <x:c r="A63" s="16" t="str">
        <x:v>Приморская ГРЭС</x:v>
      </x:c>
      <x:c r="B63" s="16" t="str">
        <x:v>2000738289-U117</x:v>
      </x:c>
      <x:c r="C63" s="16" t="str">
        <x:v>ГАЙКА ПРИЖИМНАЯ РОТОРА ПГ2.01.1471.00</x:v>
      </x:c>
      <x:c r="D63" s="16" t="str">
        <x:v>Запасные части к мельницам</x:v>
      </x:c>
      <x:c r="E63" s="16" t="str">
        <x:v>ШТ</x:v>
      </x:c>
      <x:c r="F63" s="21" t="n">
        <x:v>5</x:v>
      </x:c>
      <x:c r="G63" s="17" t="n">
        <x:v>30213.3</x:v>
      </x:c>
      <x:c r="H63" s="17" t="n">
        <x:f>G63*F63</x:f>
        <x:v>151066.5</x:v>
      </x:c>
      <x:c r="I63" s="22" t="str">
        <x:f>HYPERLINK("https://etp-aktiv.ru/catalog/materialy/zapasnye-chasti-promyshlennogo-oborudovaniya/2000738289-U117/","Открыть позицию")</x:f>
        <x:v>Открыть позицию</x:v>
      </x:c>
    </x:row>
    <x:row r="64" ht="28" customHeight="1">
      <x:c r="A64" s="16" t="str">
        <x:v>Приморская ГРЭС</x:v>
      </x:c>
      <x:c r="B64" s="16" t="str">
        <x:v>2000533742-U117</x:v>
      </x:c>
      <x:c r="C64" s="16" t="str">
        <x:v>ГИЛЬЗА РАЗГРУЗКИ 5М-02-02 ПЭ 270-150-3</x:v>
      </x:c>
      <x:c r="D64" s="16" t="str">
        <x:v>Запасные части к энергетическим насосам</x:v>
      </x:c>
      <x:c r="E64" s="16" t="str">
        <x:v>ШТ</x:v>
      </x:c>
      <x:c r="F64" s="21" t="n">
        <x:v>5</x:v>
      </x:c>
      <x:c r="G64" s="17" t="n">
        <x:v>68510.625</x:v>
      </x:c>
      <x:c r="H64" s="17" t="n">
        <x:f>G64*F64</x:f>
        <x:v>342553.125</x:v>
      </x:c>
      <x:c r="I64" s="22" t="str">
        <x:f>HYPERLINK("https://etp-aktiv.ru/catalog/materialy/zapasnye-chasti-promyshlennogo-oborudovaniya/2000533742-U117/","Открыть позицию")</x:f>
        <x:v>Открыть позицию</x:v>
      </x:c>
    </x:row>
    <x:row r="65" ht="28" customHeight="1">
      <x:c r="A65" s="16" t="str">
        <x:v>Приморская ГРЭС</x:v>
      </x:c>
      <x:c r="B65" s="16" t="str">
        <x:v>2000716158-U117</x:v>
      </x:c>
      <x:c r="C65" s="16" t="str">
        <x:v>ГИЛЬЗА РАЗГРУЗКИ ПЭ270-150 П01.103.02</x:v>
      </x:c>
      <x:c r="D65" s="16" t="str">
        <x:v>Запасные части к энергетическим насосам</x:v>
      </x:c>
      <x:c r="E65" s="16" t="str">
        <x:v>ШТ</x:v>
      </x:c>
      <x:c r="F65" s="21" t="n">
        <x:v>2</x:v>
      </x:c>
      <x:c r="G65" s="17" t="n">
        <x:v>165487.8516</x:v>
      </x:c>
      <x:c r="H65" s="17" t="n">
        <x:f>G65*F65</x:f>
        <x:v>330975.7032</x:v>
      </x:c>
      <x:c r="I65" s="22" t="str">
        <x:f>HYPERLINK("https://etp-aktiv.ru/catalog/materialy/zapasnye-chasti-promyshlennogo-oborudovaniya/2000716158-U117/","Открыть позицию")</x:f>
        <x:v>Открыть позицию</x:v>
      </x:c>
    </x:row>
    <x:row r="66" ht="28" customHeight="1">
      <x:c r="A66" s="16" t="str">
        <x:v>Приморская ГРЭС</x:v>
      </x:c>
      <x:c r="B66" s="16" t="str">
        <x:v>2000291908-U117</x:v>
      </x:c>
      <x:c r="C66" s="16" t="str">
        <x:v>ГРАБЛИ ВИТЫЕ 10 ЗУБЬЕВ 2284095</x:v>
      </x:c>
      <x:c r="D66" s="16" t="str">
        <x:v>Инструмент и спецоснастка</x:v>
      </x:c>
      <x:c r="E66" s="16" t="str">
        <x:v>ШТ</x:v>
      </x:c>
      <x:c r="F66" s="21" t="n">
        <x:v>2</x:v>
      </x:c>
      <x:c r="G66" s="17" t="n">
        <x:v>60.2924</x:v>
      </x:c>
      <x:c r="H66" s="17" t="n">
        <x:f>G66*F66</x:f>
        <x:v>120.5848</x:v>
      </x:c>
      <x:c r="I66" s="22" t="str">
        <x:f>HYPERLINK("https://etp-aktiv.ru/catalog/materialy/instrument-i-specosnastka/2000291908-U117/","Открыть позицию")</x:f>
        <x:v>Открыть позицию</x:v>
      </x:c>
    </x:row>
    <x:row r="67" ht="28" customHeight="1">
      <x:c r="A67" s="16" t="str">
        <x:v>Приморская ГРЭС</x:v>
      </x:c>
      <x:c r="B67" s="16" t="str">
        <x:v>2000563787-U117</x:v>
      </x:c>
      <x:c r="C67" s="16" t="str">
        <x:v>ГРАБЛИ П-1-12-1500 ГОСТ19597-94</x:v>
      </x:c>
      <x:c r="D67" s="16" t="str">
        <x:v>Инструмент и спецоснастка</x:v>
      </x:c>
      <x:c r="E67" s="16" t="str">
        <x:v>ШТ</x:v>
      </x:c>
      <x:c r="F67" s="21" t="n">
        <x:v>1</x:v>
      </x:c>
      <x:c r="G67" s="17" t="n">
        <x:v>91.256</x:v>
      </x:c>
      <x:c r="H67" s="17" t="n">
        <x:f>G67*F67</x:f>
        <x:v>91.256</x:v>
      </x:c>
      <x:c r="I67" s="22" t="str">
        <x:f>HYPERLINK("https://etp-aktiv.ru/catalog/materialy/instrument-i-specosnastka/2000563787-U117/","Открыть позицию")</x:f>
        <x:v>Открыть позицию</x:v>
      </x:c>
    </x:row>
    <x:row r="68" ht="28" customHeight="1">
      <x:c r="A68" s="16" t="str">
        <x:v>Приморская ГРЭС</x:v>
      </x:c>
      <x:c r="B68" s="16" t="str">
        <x:v>2000160248-U117</x:v>
      </x:c>
      <x:c r="C68" s="16" t="str">
        <x:v>ГРАБЛИ ПРЯМЫЕ ГП-12</x:v>
      </x:c>
      <x:c r="D68" s="16" t="str">
        <x:v>Инструмент и спецоснастка</x:v>
      </x:c>
      <x:c r="E68" s="16" t="str">
        <x:v>ШТ</x:v>
      </x:c>
      <x:c r="F68" s="21" t="n">
        <x:v>1</x:v>
      </x:c>
      <x:c r="G68" s="17" t="n">
        <x:v>126.58720000000001</x:v>
      </x:c>
      <x:c r="H68" s="17" t="n">
        <x:f>G68*F68</x:f>
        <x:v>126.58720000000001</x:v>
      </x:c>
      <x:c r="I68" s="22" t="str">
        <x:f>HYPERLINK("https://etp-aktiv.ru/catalog/materialy/instrument-i-specosnastka/2000160248-U117/","Открыть позицию")</x:f>
        <x:v>Открыть позицию</x:v>
      </x:c>
    </x:row>
    <x:row r="69" ht="28" customHeight="1">
      <x:c r="A69" s="16" t="str">
        <x:v>Приморская ГРЭС</x:v>
      </x:c>
      <x:c r="B69" s="16" t="str">
        <x:v>2000063691-U117</x:v>
      </x:c>
      <x:c r="C69" s="16" t="str">
        <x:v>ДИСК ГИДРАВЛИЧЕСК ПЯТЫ ЦНС-60 165.01.107</x:v>
      </x:c>
      <x:c r="D69" s="16" t="str">
        <x:v>Запасные части к энергетическим насосам</x:v>
      </x:c>
      <x:c r="E69" s="16" t="str">
        <x:v>ШТ</x:v>
      </x:c>
      <x:c r="F69" s="21" t="n">
        <x:v>6</x:v>
      </x:c>
      <x:c r="G69" s="17" t="n">
        <x:v>7198</x:v>
      </x:c>
      <x:c r="H69" s="17" t="n">
        <x:f>G69*F69</x:f>
        <x:v>43188</x:v>
      </x:c>
      <x:c r="I69" s="22" t="str">
        <x:f>HYPERLINK("https://etp-aktiv.ru/catalog/materialy/zapasnye-chasti-promyshlennogo-oborudovaniya/2000063691-U117/","Открыть позицию")</x:f>
        <x:v>Открыть позицию</x:v>
      </x:c>
    </x:row>
    <x:row r="70" ht="28" customHeight="1">
      <x:c r="A70" s="16" t="str">
        <x:v>Приморская ГРЭС</x:v>
      </x:c>
      <x:c r="B70" s="16" t="str">
        <x:v>2000001986-U117</x:v>
      </x:c>
      <x:c r="C70" s="16" t="str">
        <x:v>ДИСК МУФТЫ ТЭМ2.85.60.162</x:v>
      </x:c>
      <x:c r="D70" s="16" t="str">
        <x:v>Запасные части к локомотивам</x:v>
      </x:c>
      <x:c r="E70" s="16" t="str">
        <x:v>ШТ</x:v>
      </x:c>
      <x:c r="F70" s="21" t="n">
        <x:v>297</x:v>
      </x:c>
      <x:c r="G70" s="17" t="n">
        <x:v>59.475</x:v>
      </x:c>
      <x:c r="H70" s="17" t="n">
        <x:f>G70*F70</x:f>
        <x:v>17664.075</x:v>
      </x:c>
      <x:c r="I70" s="22" t="str">
        <x:f>HYPERLINK("https://etp-aktiv.ru/catalog/materialy/zapasnye-chasti-k-zhd-oborudovaniyu-i-podvizhnomu-sostavu/2000001986-U117/","Открыть позицию")</x:f>
        <x:v>Открыть позицию</x:v>
      </x:c>
    </x:row>
    <x:row r="71" ht="28" customHeight="1">
      <x:c r="A71" s="16" t="str">
        <x:v>Приморская ГРЭС</x:v>
      </x:c>
      <x:c r="B71" s="16" t="str">
        <x:v>2000533773-U117</x:v>
      </x:c>
      <x:c r="C71" s="16" t="str">
        <x:v>ДИСК Н17.59.101.04 ПЭ580-185/195-3</x:v>
      </x:c>
      <x:c r="D71" s="16" t="str">
        <x:v>Запасные части к энергетическим насосам</x:v>
      </x:c>
      <x:c r="E71" s="16" t="str">
        <x:v>ШТ</x:v>
      </x:c>
      <x:c r="F71" s="21" t="n">
        <x:v>2</x:v>
      </x:c>
      <x:c r="G71" s="17" t="n">
        <x:v>52268.46</x:v>
      </x:c>
      <x:c r="H71" s="17" t="n">
        <x:f>G71*F71</x:f>
        <x:v>104536.92</x:v>
      </x:c>
      <x:c r="I71" s="22" t="str">
        <x:f>HYPERLINK("https://etp-aktiv.ru/catalog/materialy/zapasnye-chasti-promyshlennogo-oborudovaniya/2000533773-U117/","Открыть позицию")</x:f>
        <x:v>Открыть позицию</x:v>
      </x:c>
    </x:row>
    <x:row r="72" ht="28" customHeight="1">
      <x:c r="A72" s="16" t="str">
        <x:v>Приморская ГРЭС</x:v>
      </x:c>
      <x:c r="B72" s="16" t="str">
        <x:v>2000010356-U117</x:v>
      </x:c>
      <x:c r="C72" s="16" t="str">
        <x:v>ДИСК РАЗГРУЗКИ 8МС 7-0109</x:v>
      </x:c>
      <x:c r="D72" s="16" t="str">
        <x:v>Запасные части к энергетическим насосам</x:v>
      </x:c>
      <x:c r="E72" s="16" t="str">
        <x:v>ШТ</x:v>
      </x:c>
      <x:c r="F72" s="21" t="n">
        <x:v>3</x:v>
      </x:c>
      <x:c r="G72" s="17" t="n">
        <x:v>16964.783199999998</x:v>
      </x:c>
      <x:c r="H72" s="17" t="n">
        <x:f>G72*F72</x:f>
        <x:v>50894.349599999994</x:v>
      </x:c>
      <x:c r="I72" s="22" t="str">
        <x:f>HYPERLINK("https://etp-aktiv.ru/catalog/materialy/zapasnye-chasti-promyshlennogo-oborudovaniya/2000010356-U117/","Открыть позицию")</x:f>
        <x:v>Открыть позицию</x:v>
      </x:c>
    </x:row>
    <x:row r="73" ht="28" customHeight="1">
      <x:c r="A73" s="16" t="str">
        <x:v>Приморская ГРЭС</x:v>
      </x:c>
      <x:c r="B73" s="16" t="str">
        <x:v>2000533772-U117</x:v>
      </x:c>
      <x:c r="C73" s="16" t="str">
        <x:v>ДИСК РАЗГРУЗОЧН Н17.59.101.04</x:v>
      </x:c>
      <x:c r="D73" s="16" t="str">
        <x:v>Запасные части к энергетическим насосам</x:v>
      </x:c>
      <x:c r="E73" s="16" t="str">
        <x:v>ШТ</x:v>
      </x:c>
      <x:c r="F73" s="21" t="n">
        <x:v>4</x:v>
      </x:c>
      <x:c r="G73" s="17" t="n">
        <x:v>33038.2344</x:v>
      </x:c>
      <x:c r="H73" s="17" t="n">
        <x:f>G73*F73</x:f>
        <x:v>132152.9376</x:v>
      </x:c>
      <x:c r="I73" s="22" t="str">
        <x:f>HYPERLINK("https://etp-aktiv.ru/catalog/materialy/zapasnye-chasti-promyshlennogo-oborudovaniya/2000533772-U117/","Открыть позицию")</x:f>
        <x:v>Открыть позицию</x:v>
      </x:c>
    </x:row>
    <x:row r="74" ht="28" customHeight="1">
      <x:c r="A74" s="16" t="str">
        <x:v>Приморская ГРЭС</x:v>
      </x:c>
      <x:c r="B74" s="16" t="str">
        <x:v>2000533766-U117</x:v>
      </x:c>
      <x:c r="C74" s="16" t="str">
        <x:v>ДИСК РАЗГРУЗОЧНЫЙ 5М-01-11У ПЭ270-150</x:v>
      </x:c>
      <x:c r="D74" s="16" t="str">
        <x:v>Запасные части к энергетическим насосам</x:v>
      </x:c>
      <x:c r="E74" s="16" t="str">
        <x:v>ШТ</x:v>
      </x:c>
      <x:c r="F74" s="21" t="n">
        <x:v>5</x:v>
      </x:c>
      <x:c r="G74" s="17" t="n">
        <x:v>97600</x:v>
      </x:c>
      <x:c r="H74" s="17" t="n">
        <x:f>G74*F74</x:f>
        <x:v>488000</x:v>
      </x:c>
      <x:c r="I74" s="22" t="str">
        <x:f>HYPERLINK("https://etp-aktiv.ru/catalog/materialy/zapasnye-chasti-promyshlennogo-oborudovaniya/2000533766-U117/","Открыть позицию")</x:f>
        <x:v>Открыть позицию</x:v>
      </x:c>
    </x:row>
    <x:row r="75" ht="28" customHeight="1">
      <x:c r="A75" s="16" t="str">
        <x:v>Приморская ГРЭС</x:v>
      </x:c>
      <x:c r="B75" s="16" t="str">
        <x:v>5000058000-U117</x:v>
      </x:c>
      <x:c r="C75" s="16" t="str">
        <x:v>ДОМКРАТ ГИДР ГП15Т H230-470ММ T91504</x:v>
      </x:c>
      <x:c r="D75" s="16" t="str">
        <x:v>Средства малой механизации</x:v>
      </x:c>
      <x:c r="E75" s="16" t="str">
        <x:v>ШТ</x:v>
      </x:c>
      <x:c r="F75" s="21" t="n">
        <x:v>5</x:v>
      </x:c>
      <x:c r="G75" s="17" t="n">
        <x:v>3355</x:v>
      </x:c>
      <x:c r="H75" s="17" t="n">
        <x:f>G75*F75</x:f>
        <x:v>16775</x:v>
      </x:c>
      <x:c r="I75" s="22" t="str">
        <x:f>HYPERLINK("https://etp-aktiv.ru/catalog/materialy/prochie-materialy/5000058000-U117/","Открыть позицию")</x:f>
        <x:v>Открыть позицию</x:v>
      </x:c>
    </x:row>
    <x:row r="76" ht="28" customHeight="1">
      <x:c r="A76" s="16" t="str">
        <x:v>Приморская ГРЭС</x:v>
      </x:c>
      <x:c r="B76" s="16" t="str">
        <x:v>2000617949-U117</x:v>
      </x:c>
      <x:c r="C76" s="16" t="str">
        <x:v>ЗАЖИМ ВИНТОВОЙ КАНАТНЫЙ D10ММ DIN741</x:v>
      </x:c>
      <x:c r="D76" s="16" t="str">
        <x:v>Такелажные изделия</x:v>
      </x:c>
      <x:c r="E76" s="16" t="str">
        <x:v>ШТ</x:v>
      </x:c>
      <x:c r="F76" s="21" t="n">
        <x:v>354</x:v>
      </x:c>
      <x:c r="G76" s="17" t="n">
        <x:v>18.056</x:v>
      </x:c>
      <x:c r="H76" s="17" t="n">
        <x:f>G76*F76</x:f>
        <x:v>6391.8240000000005</x:v>
      </x:c>
      <x:c r="I76" s="22" t="str">
        <x:f>HYPERLINK("https://etp-aktiv.ru/catalog/materialy/zapasnye-chasti-k-gruzopodemnoj-tekhnike-oborudovaniyu-i-mekhanizmam/2000617949-U117/","Открыть позицию")</x:f>
        <x:v>Открыть позицию</x:v>
      </x:c>
    </x:row>
    <x:row r="77" ht="28" customHeight="1">
      <x:c r="A77" s="16" t="str">
        <x:v>Приморская ГРЭС</x:v>
      </x:c>
      <x:c r="B77" s="16" t="str">
        <x:v>2000617950-U117</x:v>
      </x:c>
      <x:c r="C77" s="16" t="str">
        <x:v>ЗАЖИМ ВИНТОВОЙ КАНАТНЫЙ D19ММ DIN741</x:v>
      </x:c>
      <x:c r="D77" s="16" t="str">
        <x:v>Такелажные изделия</x:v>
      </x:c>
      <x:c r="E77" s="16" t="str">
        <x:v>ШТ</x:v>
      </x:c>
      <x:c r="F77" s="21" t="n">
        <x:v>17</x:v>
      </x:c>
      <x:c r="G77" s="17" t="n">
        <x:v>192.71120000000002</x:v>
      </x:c>
      <x:c r="H77" s="17" t="n">
        <x:f>G77*F77</x:f>
        <x:v>3276.0904000000005</x:v>
      </x:c>
      <x:c r="I77" s="22" t="str">
        <x:f>HYPERLINK("https://etp-aktiv.ru/catalog/materialy/zapasnye-chasti-k-gruzopodemnoj-tekhnike-oborudovaniyu-i-mekhanizmam/2000617950-U117/","Открыть позицию")</x:f>
        <x:v>Открыть позицию</x:v>
      </x:c>
    </x:row>
    <x:row r="78" ht="28" customHeight="1">
      <x:c r="A78" s="16" t="str">
        <x:v>Приморская ГРЭС</x:v>
      </x:c>
      <x:c r="B78" s="16" t="str">
        <x:v>2000720221-U117</x:v>
      </x:c>
      <x:c r="C78" s="16" t="str">
        <x:v>ЗВЕЗДОЧКА ТЛ-3000 490611.02</x:v>
      </x:c>
      <x:c r="D78" s="16" t="str">
        <x:v>Запасные части к энергетическим насосам</x:v>
      </x:c>
      <x:c r="E78" s="16" t="str">
        <x:v>ШТ</x:v>
      </x:c>
      <x:c r="F78" s="21" t="n">
        <x:v>1</x:v>
      </x:c>
      <x:c r="G78" s="17" t="n">
        <x:v>383118.796</x:v>
      </x:c>
      <x:c r="H78" s="17" t="n">
        <x:f>G78*F78</x:f>
        <x:v>383118.796</x:v>
      </x:c>
      <x:c r="I78" s="22" t="str">
        <x:f>HYPERLINK("https://etp-aktiv.ru/catalog/materialy/zapasnye-chasti-promyshlennogo-oborudovaniya/2000720221-U117/","Открыть позицию")</x:f>
        <x:v>Открыть позицию</x:v>
      </x:c>
    </x:row>
    <x:row r="79" ht="28" customHeight="1">
      <x:c r="A79" s="16" t="str">
        <x:v>Приморская ГРЭС</x:v>
      </x:c>
      <x:c r="B79" s="16" t="str">
        <x:v>2000716244-U117</x:v>
      </x:c>
      <x:c r="C79" s="16" t="str">
        <x:v>ЗВЕНО ДРОБЯЩЕГО ПОЛОТНА 3589.00.009</x:v>
      </x:c>
      <x:c r="D79" s="16" t="str">
        <x:v>Запасные части к дробильно-сортировочному оборудованию</x:v>
      </x:c>
      <x:c r="E79" s="16" t="str">
        <x:v>ШТ</x:v>
      </x:c>
      <x:c r="F79" s="21" t="n">
        <x:v>35</x:v>
      </x:c>
      <x:c r="G79" s="17" t="n">
        <x:v>23907.4494</x:v>
      </x:c>
      <x:c r="H79" s="17" t="n">
        <x:f>G79*F79</x:f>
        <x:v>836760.729</x:v>
      </x:c>
      <x:c r="I79" s="22" t="str">
        <x:f>HYPERLINK("https://etp-aktiv.ru/catalog/materialy/zapasnye-chasti-k-drobilno-sortirovochnomu-oborudovaniyu/2000716244-U117/","Открыть позицию")</x:f>
        <x:v>Открыть позицию</x:v>
      </x:c>
    </x:row>
    <x:row r="80" ht="28" customHeight="1">
      <x:c r="A80" s="16" t="str">
        <x:v>Приморская ГРЭС</x:v>
      </x:c>
      <x:c r="B80" s="16" t="str">
        <x:v>2000700728-U117</x:v>
      </x:c>
      <x:c r="C80" s="16" t="str">
        <x:v>ЗВЕНО РОЛИКО-ВТУЛОЧНОЙ ЦЕПИ 490430</x:v>
      </x:c>
      <x:c r="D80" s="16" t="str">
        <x:v>Запасные части к гидравлическим насосам</x:v>
      </x:c>
      <x:c r="E80" s="16" t="str">
        <x:v>ШТ</x:v>
      </x:c>
      <x:c r="F80" s="21" t="n">
        <x:v>108</x:v>
      </x:c>
      <x:c r="G80" s="17" t="n">
        <x:v>3914.2845999999995</x:v>
      </x:c>
      <x:c r="H80" s="17" t="n">
        <x:f>G80*F80</x:f>
        <x:v>422742.73679999996</x:v>
      </x:c>
      <x:c r="I80" s="22" t="str">
        <x:f>HYPERLINK("https://etp-aktiv.ru/catalog/materialy/nasosno-kompressornoe-oborudovanie/2000700728-U117/","Открыть позицию")</x:f>
        <x:v>Открыть позицию</x:v>
      </x:c>
    </x:row>
    <x:row r="81" ht="28" customHeight="1">
      <x:c r="A81" s="16" t="str">
        <x:v>Приморская ГРЭС</x:v>
      </x:c>
      <x:c r="B81" s="16" t="str">
        <x:v>2000700729-U117</x:v>
      </x:c>
      <x:c r="C81" s="16" t="str">
        <x:v>ЗВЕНО РОЛИКО-ВТУЛОЧНОЙ ЦЕПИ 490431</x:v>
      </x:c>
      <x:c r="D81" s="16" t="str">
        <x:v>Запасные части к гидравлическим насосам</x:v>
      </x:c>
      <x:c r="E81" s="16" t="str">
        <x:v>ШТ</x:v>
      </x:c>
      <x:c r="F81" s="21" t="n">
        <x:v>144</x:v>
      </x:c>
      <x:c r="G81" s="17" t="n">
        <x:v>3697.1002</x:v>
      </x:c>
      <x:c r="H81" s="17" t="n">
        <x:f>G81*F81</x:f>
        <x:v>532382.4288</x:v>
      </x:c>
      <x:c r="I81" s="22" t="str">
        <x:f>HYPERLINK("https://etp-aktiv.ru/catalog/materialy/nasosno-kompressornoe-oborudovanie/2000700729-U117/","Открыть позицию")</x:f>
        <x:v>Открыть позицию</x:v>
      </x:c>
    </x:row>
    <x:row r="82" ht="28" customHeight="1">
      <x:c r="A82" s="16" t="str">
        <x:v>Приморская ГРЭС</x:v>
      </x:c>
      <x:c r="B82" s="16" t="str">
        <x:v>2000716245-U117</x:v>
      </x:c>
      <x:c r="C82" s="16" t="str">
        <x:v>ЗВЕНО УСТРОЙСТВА ОЧИСТНОГО 3589.00.012</x:v>
      </x:c>
      <x:c r="D82" s="16" t="str">
        <x:v>Запасные части к дробильно-сортировочному оборудованию</x:v>
      </x:c>
      <x:c r="E82" s="16" t="str">
        <x:v>ШТ</x:v>
      </x:c>
      <x:c r="F82" s="21" t="n">
        <x:v>30</x:v>
      </x:c>
      <x:c r="G82" s="17" t="n">
        <x:v>10451.593599999998</x:v>
      </x:c>
      <x:c r="H82" s="17" t="n">
        <x:f>G82*F82</x:f>
        <x:v>313547.80799999996</x:v>
      </x:c>
      <x:c r="I82" s="22" t="str">
        <x:f>HYPERLINK("https://etp-aktiv.ru/catalog/materialy/zapasnye-chasti-k-drobilno-sortirovochnomu-oborudovaniyu/2000716245-U117/","Открыть позицию")</x:f>
        <x:v>Открыть позицию</x:v>
      </x:c>
    </x:row>
    <x:row r="83" ht="28" customHeight="1">
      <x:c r="A83" s="16" t="str">
        <x:v>Приморская ГРЭС</x:v>
      </x:c>
      <x:c r="B83" s="16" t="str">
        <x:v>2000879554-U117</x:v>
      </x:c>
      <x:c r="C83" s="16" t="str">
        <x:v>ЗИП ТОРЦЕВОГО УПЛОТНЕНИЯ 52.036.10.000</x:v>
      </x:c>
      <x:c r="D83" s="16" t="str">
        <x:v>Запасные части к химическим насосам</x:v>
      </x:c>
      <x:c r="E83" s="16" t="str">
        <x:v>ШТ</x:v>
      </x:c>
      <x:c r="F83" s="21" t="n">
        <x:v>3</x:v>
      </x:c>
      <x:c r="G83" s="17" t="n">
        <x:v>24430.5</x:v>
      </x:c>
      <x:c r="H83" s="17" t="n">
        <x:f>G83*F83</x:f>
        <x:v>73291.5</x:v>
      </x:c>
      <x:c r="I83" s="22" t="str">
        <x:f>HYPERLINK("https://etp-aktiv.ru/catalog/materialy/zapasnye-chasti-promyshlennogo-oborudovaniya/2000879554-U117/","Открыть позицию")</x:f>
        <x:v>Открыть позицию</x:v>
      </x:c>
    </x:row>
    <x:row r="84" ht="28" customHeight="1">
      <x:c r="A84" s="16" t="str">
        <x:v>Приморская ГРЭС</x:v>
      </x:c>
      <x:c r="B84" s="16" t="str">
        <x:v>2000000862-U117</x:v>
      </x:c>
      <x:c r="C84" s="16" t="str">
        <x:v>КАНАТ 10,5 ГВН 1770 ГОСТ3077-80</x:v>
      </x:c>
      <x:c r="D84" s="16" t="str">
        <x:v>Канаты стальные</x:v>
      </x:c>
      <x:c r="E84" s="16" t="str">
        <x:v>М</x:v>
      </x:c>
      <x:c r="F84" s="21" t="n">
        <x:v>170</x:v>
      </x:c>
      <x:c r="G84" s="17" t="n">
        <x:v>119.9992</x:v>
      </x:c>
      <x:c r="H84" s="17" t="n">
        <x:f>G84*F84</x:f>
        <x:v>20399.864</x:v>
      </x:c>
      <x:c r="I84" s="22" t="str">
        <x:f>HYPERLINK("https://etp-aktiv.ru/catalog/materialy/metizy/2000000862-U117/","Открыть позицию")</x:f>
        <x:v>Открыть позицию</x:v>
      </x:c>
    </x:row>
    <x:row r="85" ht="28" customHeight="1">
      <x:c r="A85" s="16" t="str">
        <x:v>Приморская ГРЭС</x:v>
      </x:c>
      <x:c r="B85" s="16" t="str">
        <x:v>2000001715-U117</x:v>
      </x:c>
      <x:c r="C85" s="16" t="str">
        <x:v>КАНАТ 11,5 ГВН 1770 ГОСТ3071-80</x:v>
      </x:c>
      <x:c r="D85" s="16" t="str">
        <x:v>Канаты стальные</x:v>
      </x:c>
      <x:c r="E85" s="16" t="str">
        <x:v>М</x:v>
      </x:c>
      <x:c r="F85" s="21" t="n">
        <x:v>575</x:v>
      </x:c>
      <x:c r="G85" s="17" t="n">
        <x:v>71.63839999999999</x:v>
      </x:c>
      <x:c r="H85" s="17" t="n">
        <x:f>G85*F85</x:f>
        <x:v>41192.079999999994</x:v>
      </x:c>
      <x:c r="I85" s="22" t="str">
        <x:f>HYPERLINK("https://etp-aktiv.ru/catalog/materialy/metizy/2000001715-U117/","Открыть позицию")</x:f>
        <x:v>Открыть позицию</x:v>
      </x:c>
    </x:row>
    <x:row r="86" ht="28" customHeight="1">
      <x:c r="A86" s="16" t="str">
        <x:v>Приморская ГРЭС</x:v>
      </x:c>
      <x:c r="B86" s="16" t="str">
        <x:v>2000560092-U117</x:v>
      </x:c>
      <x:c r="C86" s="16" t="str">
        <x:v>КАНАТ 12 ГЛВНР 1770 ГОСТ3077-80</x:v>
      </x:c>
      <x:c r="D86" s="16" t="str">
        <x:v>Канаты стальные</x:v>
      </x:c>
      <x:c r="E86" s="16" t="str">
        <x:v>М</x:v>
      </x:c>
      <x:c r="F86" s="21" t="n">
        <x:v>480</x:v>
      </x:c>
      <x:c r="G86" s="17" t="n">
        <x:v>164.7</x:v>
      </x:c>
      <x:c r="H86" s="17" t="n">
        <x:f>G86*F86</x:f>
        <x:v>79056</x:v>
      </x:c>
      <x:c r="I86" s="22" t="str">
        <x:f>HYPERLINK("https://etp-aktiv.ru/catalog/materialy/metizy/2000560092-U117/","Открыть позицию")</x:f>
        <x:v>Открыть позицию</x:v>
      </x:c>
    </x:row>
    <x:row r="87" ht="28" customHeight="1">
      <x:c r="A87" s="16" t="str">
        <x:v>Приморская ГРЭС</x:v>
      </x:c>
      <x:c r="B87" s="16" t="str">
        <x:v>2000001206-U117</x:v>
      </x:c>
      <x:c r="C87" s="16" t="str">
        <x:v>КАНАТ 13 ГВН 1770 ГОСТ2688-80</x:v>
      </x:c>
      <x:c r="D87" s="16" t="str">
        <x:v>Канаты стальные</x:v>
      </x:c>
      <x:c r="E87" s="16" t="str">
        <x:v>М</x:v>
      </x:c>
      <x:c r="F87" s="21" t="n">
        <x:v>60</x:v>
      </x:c>
      <x:c r="G87" s="17" t="n">
        <x:v>84.96079999999999</x:v>
      </x:c>
      <x:c r="H87" s="17" t="n">
        <x:f>G87*F87</x:f>
        <x:v>5097.647999999999</x:v>
      </x:c>
      <x:c r="I87" s="22" t="str">
        <x:f>HYPERLINK("https://etp-aktiv.ru/catalog/materialy/metizy/2000001206-U117/","Открыть позицию")</x:f>
        <x:v>Открыть позицию</x:v>
      </x:c>
    </x:row>
    <x:row r="88" ht="28" customHeight="1">
      <x:c r="A88" s="16" t="str">
        <x:v>Приморская ГРЭС</x:v>
      </x:c>
      <x:c r="B88" s="16" t="str">
        <x:v>2000560074-U117</x:v>
      </x:c>
      <x:c r="C88" s="16" t="str">
        <x:v>КАНАТ 13 ГВНР 1770 ГОСТ2688-80</x:v>
      </x:c>
      <x:c r="D88" s="16" t="str">
        <x:v>Канаты стальные</x:v>
      </x:c>
      <x:c r="E88" s="16" t="str">
        <x:v>М</x:v>
      </x:c>
      <x:c r="F88" s="21" t="n">
        <x:v>20</x:v>
      </x:c>
      <x:c r="G88" s="17" t="n">
        <x:v>107.05499999999999</x:v>
      </x:c>
      <x:c r="H88" s="17" t="n">
        <x:f>G88*F88</x:f>
        <x:v>2141.1</x:v>
      </x:c>
      <x:c r="I88" s="22" t="str">
        <x:f>HYPERLINK("https://etp-aktiv.ru/catalog/materialy/metizy/2000560074-U117/","Открыть позицию")</x:f>
        <x:v>Открыть позицию</x:v>
      </x:c>
    </x:row>
    <x:row r="89" ht="28" customHeight="1">
      <x:c r="A89" s="16" t="str">
        <x:v>Приморская ГРЭС</x:v>
      </x:c>
      <x:c r="B89" s="16" t="str">
        <x:v>2000001576-U117</x:v>
      </x:c>
      <x:c r="C89" s="16" t="str">
        <x:v>КАНАТ 13,5 ГВН 1770 ГОСТ3079-80</x:v>
      </x:c>
      <x:c r="D89" s="16" t="str">
        <x:v>Канаты стальные</x:v>
      </x:c>
      <x:c r="E89" s="16" t="str">
        <x:v>М</x:v>
      </x:c>
      <x:c r="F89" s="21" t="n">
        <x:v>65</x:v>
      </x:c>
      <x:c r="G89" s="17" t="n">
        <x:v>175.802</x:v>
      </x:c>
      <x:c r="H89" s="17" t="n">
        <x:f>G89*F89</x:f>
        <x:v>11427.13</x:v>
      </x:c>
      <x:c r="I89" s="22" t="str">
        <x:f>HYPERLINK("https://etp-aktiv.ru/catalog/materialy/metizy/2000001576-U117/","Открыть позицию")</x:f>
        <x:v>Открыть позицию</x:v>
      </x:c>
    </x:row>
    <x:row r="90" ht="28" customHeight="1">
      <x:c r="A90" s="16" t="str">
        <x:v>Приморская ГРЭС</x:v>
      </x:c>
      <x:c r="B90" s="16" t="str">
        <x:v>2000001679-U117</x:v>
      </x:c>
      <x:c r="C90" s="16" t="str">
        <x:v>КАНАТ 15 ГВН 1670 ГОСТ2688-80</x:v>
      </x:c>
      <x:c r="D90" s="16" t="str">
        <x:v>Канаты стальные</x:v>
      </x:c>
      <x:c r="E90" s="16" t="str">
        <x:v>М</x:v>
      </x:c>
      <x:c r="F90" s="21" t="n">
        <x:v>68</x:v>
      </x:c>
      <x:c r="G90" s="17" t="n">
        <x:v>137.2378</x:v>
      </x:c>
      <x:c r="H90" s="17" t="n">
        <x:f>G90*F90</x:f>
        <x:v>9332.170399999999</x:v>
      </x:c>
      <x:c r="I90" s="22" t="str">
        <x:f>HYPERLINK("https://etp-aktiv.ru/catalog/materialy/metizy/2000001679-U117/","Открыть позицию")</x:f>
        <x:v>Открыть позицию</x:v>
      </x:c>
    </x:row>
    <x:row r="91" ht="28" customHeight="1">
      <x:c r="A91" s="16" t="str">
        <x:v>Приморская ГРЭС</x:v>
      </x:c>
      <x:c r="B91" s="16" t="str">
        <x:v>2000560111-U117</x:v>
      </x:c>
      <x:c r="C91" s="16" t="str">
        <x:v>КАНАТ 15 ГВН 1770 ГОСТ7668-80</x:v>
      </x:c>
      <x:c r="D91" s="16" t="str">
        <x:v>Канаты стальные</x:v>
      </x:c>
      <x:c r="E91" s="16" t="str">
        <x:v>М</x:v>
      </x:c>
      <x:c r="F91" s="21" t="n">
        <x:v>911</x:v>
      </x:c>
      <x:c r="G91" s="17" t="n">
        <x:v>195.0048</x:v>
      </x:c>
      <x:c r="H91" s="17" t="n">
        <x:f>G91*F91</x:f>
        <x:v>177649.37279999998</x:v>
      </x:c>
      <x:c r="I91" s="22" t="str">
        <x:f>HYPERLINK("https://etp-aktiv.ru/catalog/materialy/metizy/2000560111-U117/","Открыть позицию")</x:f>
        <x:v>Открыть позицию</x:v>
      </x:c>
    </x:row>
    <x:row r="92" ht="28" customHeight="1">
      <x:c r="A92" s="16" t="str">
        <x:v>Приморская ГРЭС</x:v>
      </x:c>
      <x:c r="B92" s="16" t="str">
        <x:v>2000001912-U117</x:v>
      </x:c>
      <x:c r="C92" s="16" t="str">
        <x:v>КАНАТ 16,5 ГВН 1770 ГОСТ2688-80</x:v>
      </x:c>
      <x:c r="D92" s="16" t="str">
        <x:v>Канаты стальные</x:v>
      </x:c>
      <x:c r="E92" s="16" t="str">
        <x:v>М</x:v>
      </x:c>
      <x:c r="F92" s="21" t="n">
        <x:v>140</x:v>
      </x:c>
      <x:c r="G92" s="17" t="n">
        <x:v>231.51940000000002</x:v>
      </x:c>
      <x:c r="H92" s="17" t="n">
        <x:f>G92*F92</x:f>
        <x:v>32412.716000000004</x:v>
      </x:c>
      <x:c r="I92" s="22" t="str">
        <x:f>HYPERLINK("https://etp-aktiv.ru/catalog/materialy/metizy/2000001912-U117/","Открыть позицию")</x:f>
        <x:v>Открыть позицию</x:v>
      </x:c>
    </x:row>
    <x:row r="93" ht="28" customHeight="1">
      <x:c r="A93" s="16" t="str">
        <x:v>Приморская ГРЭС</x:v>
      </x:c>
      <x:c r="B93" s="16" t="str">
        <x:v>2000002171-U117</x:v>
      </x:c>
      <x:c r="C93" s="16" t="str">
        <x:v>КАНАТ 18 ГВН 1770 ГОСТ2688-80</x:v>
      </x:c>
      <x:c r="D93" s="16" t="str">
        <x:v>Канаты стальные</x:v>
      </x:c>
      <x:c r="E93" s="16" t="str">
        <x:v>М</x:v>
      </x:c>
      <x:c r="F93" s="21" t="n">
        <x:v>210</x:v>
      </x:c>
      <x:c r="G93" s="17" t="n">
        <x:v>189.405</x:v>
      </x:c>
      <x:c r="H93" s="17" t="n">
        <x:f>G93*F93</x:f>
        <x:v>39775.05</x:v>
      </x:c>
      <x:c r="I93" s="22" t="str">
        <x:f>HYPERLINK("https://etp-aktiv.ru/catalog/materialy/metizy/2000002171-U117/","Открыть позицию")</x:f>
        <x:v>Открыть позицию</x:v>
      </x:c>
    </x:row>
    <x:row r="94" ht="28" customHeight="1">
      <x:c r="A94" s="16" t="str">
        <x:v>Приморская ГРЭС</x:v>
      </x:c>
      <x:c r="B94" s="16" t="str">
        <x:v>2000303000-U117</x:v>
      </x:c>
      <x:c r="C94" s="16" t="str">
        <x:v>КАНАТ 19,5 ГВКНТР 1770 ГОСТ2688-80</x:v>
      </x:c>
      <x:c r="D94" s="16" t="str">
        <x:v>Канаты стальные</x:v>
      </x:c>
      <x:c r="E94" s="16" t="str">
        <x:v>М</x:v>
      </x:c>
      <x:c r="F94" s="21" t="n">
        <x:v>180</x:v>
      </x:c>
      <x:c r="G94" s="17" t="n">
        <x:v>166.7618</x:v>
      </x:c>
      <x:c r="H94" s="17" t="n">
        <x:f>G94*F94</x:f>
        <x:v>30017.124</x:v>
      </x:c>
      <x:c r="I94" s="22" t="str">
        <x:f>HYPERLINK("https://etp-aktiv.ru/catalog/materialy/metizy/2000303000-U117/","Открыть позицию")</x:f>
        <x:v>Открыть позицию</x:v>
      </x:c>
    </x:row>
    <x:row r="95" ht="28" customHeight="1">
      <x:c r="A95" s="16" t="str">
        <x:v>Приморская ГРЭС</x:v>
      </x:c>
      <x:c r="B95" s="16" t="str">
        <x:v>2000004350-U117</x:v>
      </x:c>
      <x:c r="C95" s="16" t="str">
        <x:v>КАНАТ 30,5 ГВН 1770 ГОСТ3077-80</x:v>
      </x:c>
      <x:c r="D95" s="16" t="str">
        <x:v>Канаты стальные</x:v>
      </x:c>
      <x:c r="E95" s="16" t="str">
        <x:v>М</x:v>
      </x:c>
      <x:c r="F95" s="21" t="n">
        <x:v>470</x:v>
      </x:c>
      <x:c r="G95" s="17" t="n">
        <x:v>171.19039999999998</x:v>
      </x:c>
      <x:c r="H95" s="17" t="n">
        <x:f>G95*F95</x:f>
        <x:v>80459.488</x:v>
      </x:c>
      <x:c r="I95" s="22" t="str">
        <x:f>HYPERLINK("https://etp-aktiv.ru/catalog/materialy/metizy/2000004350-U117/","Открыть позицию")</x:f>
        <x:v>Открыть позицию</x:v>
      </x:c>
    </x:row>
    <x:row r="96" ht="28" customHeight="1">
      <x:c r="A96" s="16" t="str">
        <x:v>Приморская ГРЭС</x:v>
      </x:c>
      <x:c r="B96" s="16" t="str">
        <x:v>2000000686-U117</x:v>
      </x:c>
      <x:c r="C96" s="16" t="str">
        <x:v>КАНАТ 8,3 Г1НН 1670 ГОСТ2688-80</x:v>
      </x:c>
      <x:c r="D96" s="16" t="str">
        <x:v>Канаты стальные</x:v>
      </x:c>
      <x:c r="E96" s="16" t="str">
        <x:v>М</x:v>
      </x:c>
      <x:c r="F96" s="21" t="n">
        <x:v>30</x:v>
      </x:c>
      <x:c r="G96" s="17" t="n">
        <x:v>91.1584</x:v>
      </x:c>
      <x:c r="H96" s="17" t="n">
        <x:f>G96*F96</x:f>
        <x:v>2734.752</x:v>
      </x:c>
      <x:c r="I96" s="22" t="str">
        <x:f>HYPERLINK("https://etp-aktiv.ru/catalog/materialy/metizy/2000000686-U117/","Открыть позицию")</x:f>
        <x:v>Открыть позицию</x:v>
      </x:c>
    </x:row>
    <x:row r="97" ht="28" customHeight="1">
      <x:c r="A97" s="16" t="str">
        <x:v>Приморская ГРЭС</x:v>
      </x:c>
      <x:c r="B97" s="16" t="str">
        <x:v>2000477621-U117</x:v>
      </x:c>
      <x:c r="C97" s="16" t="str">
        <x:v>КАРАБИН ПОЖАРНЫЙ КП-1 ТУ4854-001-479663</x:v>
      </x:c>
      <x:c r="D97" s="16" t="str">
        <x:v>Инструмент и спецоснастка</x:v>
      </x:c>
      <x:c r="E97" s="16" t="str">
        <x:v>ШТ</x:v>
      </x:c>
      <x:c r="F97" s="21" t="n">
        <x:v>2</x:v>
      </x:c>
      <x:c r="G97" s="17" t="n">
        <x:v>1105.8568</x:v>
      </x:c>
      <x:c r="H97" s="17" t="n">
        <x:f>G97*F97</x:f>
        <x:v>2211.7136</x:v>
      </x:c>
      <x:c r="I97" s="22" t="str">
        <x:f>HYPERLINK("https://etp-aktiv.ru/catalog/materialy/instrument-i-specosnastka/2000477621-U117/","Открыть позицию")</x:f>
        <x:v>Открыть позицию</x:v>
      </x:c>
    </x:row>
    <x:row r="98" ht="28" customHeight="1">
      <x:c r="A98" s="16" t="str">
        <x:v>Приморская ГРЭС</x:v>
      </x:c>
      <x:c r="B98" s="16" t="str">
        <x:v>2000132126-U117</x:v>
      </x:c>
      <x:c r="C98" s="16" t="str">
        <x:v>КИСТЬ КРУГЛАЯ 8*35ММ STAYER ЕВРО 0142-35</x:v>
      </x:c>
      <x:c r="D98" s="16" t="str">
        <x:v>Инструмент и спецоснастка</x:v>
      </x:c>
      <x:c r="E98" s="16" t="str">
        <x:v>ШТ</x:v>
      </x:c>
      <x:c r="F98" s="21" t="n">
        <x:v>5</x:v>
      </x:c>
      <x:c r="G98" s="17" t="n">
        <x:v>52.5332</x:v>
      </x:c>
      <x:c r="H98" s="17" t="n">
        <x:f>G98*F98</x:f>
        <x:v>262.666</x:v>
      </x:c>
      <x:c r="I98" s="22" t="str">
        <x:f>HYPERLINK("https://etp-aktiv.ru/catalog/materialy/instrument-i-specosnastka/2000132126-U117/","Открыть позицию")</x:f>
        <x:v>Открыть позицию</x:v>
      </x:c>
    </x:row>
    <x:row r="99" ht="28" customHeight="1">
      <x:c r="A99" s="16" t="str">
        <x:v>Приморская ГРЭС</x:v>
      </x:c>
      <x:c r="B99" s="16" t="str">
        <x:v>2000025620-U117</x:v>
      </x:c>
      <x:c r="C99" s="16" t="str">
        <x:v>КИСТЬ ФЛЕЙЦЕВАЯ 35*10ММ КФУ</x:v>
      </x:c>
      <x:c r="D99" s="16" t="str">
        <x:v>Инструмент и спецоснастка</x:v>
      </x:c>
      <x:c r="E99" s="16" t="str">
        <x:v>ШТ</x:v>
      </x:c>
      <x:c r="F99" s="21" t="n">
        <x:v>6</x:v>
      </x:c>
      <x:c r="G99" s="17" t="n">
        <x:v>24.644</x:v>
      </x:c>
      <x:c r="H99" s="17" t="n">
        <x:f>G99*F99</x:f>
        <x:v>147.86399999999998</x:v>
      </x:c>
      <x:c r="I99" s="22" t="str">
        <x:f>HYPERLINK("https://etp-aktiv.ru/catalog/materialy/instrument-i-specosnastka/2000025620-U117/","Открыть позицию")</x:f>
        <x:v>Открыть позицию</x:v>
      </x:c>
    </x:row>
    <x:row r="100" ht="28" customHeight="1">
      <x:c r="A100" s="16" t="str">
        <x:v>Приморская ГРЭС</x:v>
      </x:c>
      <x:c r="B100" s="16" t="str">
        <x:v>2000288219-U117</x:v>
      </x:c>
      <x:c r="C100" s="16" t="str">
        <x:v>КИСТЬ ФЛЕЙЦЕВАЯ 38ММ КЛАССИК-1,5 01094</x:v>
      </x:c>
      <x:c r="D100" s="16" t="str">
        <x:v>Инструмент и спецоснастка</x:v>
      </x:c>
      <x:c r="E100" s="16" t="str">
        <x:v>ШТ</x:v>
      </x:c>
      <x:c r="F100" s="21" t="n">
        <x:v>4</x:v>
      </x:c>
      <x:c r="G100" s="17" t="n">
        <x:v>29.4264</x:v>
      </x:c>
      <x:c r="H100" s="17" t="n">
        <x:f>G100*F100</x:f>
        <x:v>117.7056</x:v>
      </x:c>
      <x:c r="I100" s="22" t="str">
        <x:f>HYPERLINK("https://etp-aktiv.ru/catalog/materialy/instrument-i-specosnastka/2000288219-U117/","Открыть позицию")</x:f>
        <x:v>Открыть позицию</x:v>
      </x:c>
    </x:row>
    <x:row r="101" ht="28" customHeight="1">
      <x:c r="A101" s="16" t="str">
        <x:v>Приморская ГРЭС</x:v>
      </x:c>
      <x:c r="B101" s="16" t="str">
        <x:v>2000526294-U117</x:v>
      </x:c>
      <x:c r="C101" s="16" t="str">
        <x:v>КЛАПАН ВСАСЫВАЮЩИЙ 2СТ 304-168 СБ.13</x:v>
      </x:c>
      <x:c r="D101" s="16" t="str">
        <x:v>Запасные части к компрессорам</x:v>
      </x:c>
      <x:c r="E101" s="16" t="str">
        <x:v>ШТ</x:v>
      </x:c>
      <x:c r="F101" s="21" t="n">
        <x:v>8</x:v>
      </x:c>
      <x:c r="G101" s="17" t="n">
        <x:v>9853.025</x:v>
      </x:c>
      <x:c r="H101" s="17" t="n">
        <x:f>G101*F101</x:f>
        <x:v>78824.2</x:v>
      </x:c>
      <x:c r="I101" s="22" t="str">
        <x:f>HYPERLINK("https://etp-aktiv.ru/catalog/materialy/zapasnye-chasti-promyshlennogo-oborudovaniya/2000526294-U117/","Открыть позицию")</x:f>
        <x:v>Открыть позицию</x:v>
      </x:c>
    </x:row>
    <x:row r="102" ht="28" customHeight="1">
      <x:c r="A102" s="16" t="str">
        <x:v>Приморская ГРЭС</x:v>
      </x:c>
      <x:c r="B102" s="16" t="str">
        <x:v>2000025937-U117</x:v>
      </x:c>
      <x:c r="C102" s="16" t="str">
        <x:v>КЛЮЧ ГАЕЧНЫЙ ДВУСТ 10*12ММ</x:v>
      </x:c>
      <x:c r="D102" s="16" t="str">
        <x:v>Инструмент и спецоснастка</x:v>
      </x:c>
      <x:c r="E102" s="16" t="str">
        <x:v>ШТ</x:v>
      </x:c>
      <x:c r="F102" s="21" t="n">
        <x:v>1</x:v>
      </x:c>
      <x:c r="G102" s="17" t="n">
        <x:v>41.8704</x:v>
      </x:c>
      <x:c r="H102" s="17" t="n">
        <x:f>G102*F102</x:f>
        <x:v>41.8704</x:v>
      </x:c>
      <x:c r="I102" s="22" t="str">
        <x:f>HYPERLINK("https://etp-aktiv.ru/catalog/materialy/instrument-i-specosnastka/2000025937-U117/","Открыть позицию")</x:f>
        <x:v>Открыть позицию</x:v>
      </x:c>
    </x:row>
    <x:row r="103" ht="28" customHeight="1">
      <x:c r="A103" s="16" t="str">
        <x:v>Приморская ГРЭС</x:v>
      </x:c>
      <x:c r="B103" s="16" t="str">
        <x:v>2000025941-U117</x:v>
      </x:c>
      <x:c r="C103" s="16" t="str">
        <x:v>КЛЮЧ ГАЕЧНЫЙ ДВУСТ 13*14ММ</x:v>
      </x:c>
      <x:c r="D103" s="16" t="str">
        <x:v>Инструмент и спецоснастка</x:v>
      </x:c>
      <x:c r="E103" s="16" t="str">
        <x:v>ШТ</x:v>
      </x:c>
      <x:c r="F103" s="21" t="n">
        <x:v>1</x:v>
      </x:c>
      <x:c r="G103" s="17" t="n">
        <x:v>41.8704</x:v>
      </x:c>
      <x:c r="H103" s="17" t="n">
        <x:f>G103*F103</x:f>
        <x:v>41.8704</x:v>
      </x:c>
      <x:c r="I103" s="22" t="str">
        <x:f>HYPERLINK("https://etp-aktiv.ru/catalog/materialy/instrument-i-specosnastka/2000025941-U117/","Открыть позицию")</x:f>
        <x:v>Открыть позицию</x:v>
      </x:c>
    </x:row>
    <x:row r="104" ht="28" customHeight="1">
      <x:c r="A104" s="16" t="str">
        <x:v>Приморская ГРЭС</x:v>
      </x:c>
      <x:c r="B104" s="16" t="str">
        <x:v>2000025953-U117</x:v>
      </x:c>
      <x:c r="C104" s="16" t="str">
        <x:v>КЛЮЧ ГАЕЧНЫЙ ДВУСТ 27*30ММ</x:v>
      </x:c>
      <x:c r="D104" s="16" t="str">
        <x:v>Инструмент и спецоснастка</x:v>
      </x:c>
      <x:c r="E104" s="16" t="str">
        <x:v>ШТ</x:v>
      </x:c>
      <x:c r="F104" s="21" t="n">
        <x:v>2</x:v>
      </x:c>
      <x:c r="G104" s="17" t="n">
        <x:v>197.1154</x:v>
      </x:c>
      <x:c r="H104" s="17" t="n">
        <x:f>G104*F104</x:f>
        <x:v>394.2308</x:v>
      </x:c>
      <x:c r="I104" s="22" t="str">
        <x:f>HYPERLINK("https://etp-aktiv.ru/catalog/materialy/instrument-i-specosnastka/2000025953-U117/","Открыть позицию")</x:f>
        <x:v>Открыть позицию</x:v>
      </x:c>
    </x:row>
    <x:row r="105" ht="28" customHeight="1">
      <x:c r="A105" s="16" t="str">
        <x:v>Приморская ГРЭС</x:v>
      </x:c>
      <x:c r="B105" s="16" t="str">
        <x:v>2000025954-U117</x:v>
      </x:c>
      <x:c r="C105" s="16" t="str">
        <x:v>КЛЮЧ ГАЕЧНЫЙ ДВУСТ 30*32ММ</x:v>
      </x:c>
      <x:c r="D105" s="16" t="str">
        <x:v>Инструмент и спецоснастка</x:v>
      </x:c>
      <x:c r="E105" s="16" t="str">
        <x:v>ШТ</x:v>
      </x:c>
      <x:c r="F105" s="21" t="n">
        <x:v>3</x:v>
      </x:c>
      <x:c r="G105" s="17" t="n">
        <x:v>221.7594</x:v>
      </x:c>
      <x:c r="H105" s="17" t="n">
        <x:f>G105*F105</x:f>
        <x:v>665.2782</x:v>
      </x:c>
      <x:c r="I105" s="22" t="str">
        <x:f>HYPERLINK("https://etp-aktiv.ru/catalog/materialy/instrument-i-specosnastka/2000025954-U117/","Открыть позицию")</x:f>
        <x:v>Открыть позицию</x:v>
      </x:c>
    </x:row>
    <x:row r="106" ht="28" customHeight="1">
      <x:c r="A106" s="16" t="str">
        <x:v>Приморская ГРЭС</x:v>
      </x:c>
      <x:c r="B106" s="16" t="str">
        <x:v>2000025962-U117</x:v>
      </x:c>
      <x:c r="C106" s="16" t="str">
        <x:v>КЛЮЧ ГАЕЧНЫЙ ДВУСТ 7*8ММ</x:v>
      </x:c>
      <x:c r="D106" s="16" t="str">
        <x:v>Инструмент и спецоснастка</x:v>
      </x:c>
      <x:c r="E106" s="16" t="str">
        <x:v>ШТ</x:v>
      </x:c>
      <x:c r="F106" s="21" t="n">
        <x:v>1</x:v>
      </x:c>
      <x:c r="G106" s="17" t="n">
        <x:v>23.1922</x:v>
      </x:c>
      <x:c r="H106" s="17" t="n">
        <x:f>G106*F106</x:f>
        <x:v>23.1922</x:v>
      </x:c>
      <x:c r="I106" s="22" t="str">
        <x:f>HYPERLINK("https://etp-aktiv.ru/catalog/materialy/instrument-i-specosnastka/2000025962-U117/","Открыть позицию")</x:f>
        <x:v>Открыть позицию</x:v>
      </x:c>
    </x:row>
    <x:row r="107" ht="28" customHeight="1">
      <x:c r="A107" s="16" t="str">
        <x:v>Приморская ГРЭС</x:v>
      </x:c>
      <x:c r="B107" s="16" t="str">
        <x:v>2000025964-U117</x:v>
      </x:c>
      <x:c r="C107" s="16" t="str">
        <x:v>КЛЮЧ ГАЕЧНЫЙ ДВУСТ 8*10ММ</x:v>
      </x:c>
      <x:c r="D107" s="16" t="str">
        <x:v>Инструмент и спецоснастка</x:v>
      </x:c>
      <x:c r="E107" s="16" t="str">
        <x:v>ШТ</x:v>
      </x:c>
      <x:c r="F107" s="21" t="n">
        <x:v>8</x:v>
      </x:c>
      <x:c r="G107" s="17" t="n">
        <x:v>48.312</x:v>
      </x:c>
      <x:c r="H107" s="17" t="n">
        <x:f>G107*F107</x:f>
        <x:v>386.496</x:v>
      </x:c>
      <x:c r="I107" s="22" t="str">
        <x:f>HYPERLINK("https://etp-aktiv.ru/catalog/materialy/instrument-i-specosnastka/2000025964-U117/","Открыть позицию")</x:f>
        <x:v>Открыть позицию</x:v>
      </x:c>
    </x:row>
    <x:row r="108" ht="28" customHeight="1">
      <x:c r="A108" s="16" t="str">
        <x:v>Приморская ГРЭС</x:v>
      </x:c>
      <x:c r="B108" s="16" t="str">
        <x:v>2000025966-U117</x:v>
      </x:c>
      <x:c r="C108" s="16" t="str">
        <x:v>КЛЮЧ ГАЕЧНЫЙ КОМБ 10*10ММ</x:v>
      </x:c>
      <x:c r="D108" s="16" t="str">
        <x:v>Инструмент и спецоснастка</x:v>
      </x:c>
      <x:c r="E108" s="16" t="str">
        <x:v>ШТ</x:v>
      </x:c>
      <x:c r="F108" s="21" t="n">
        <x:v>17</x:v>
      </x:c>
      <x:c r="G108" s="17" t="n">
        <x:v>59.657999999999994</x:v>
      </x:c>
      <x:c r="H108" s="17" t="n">
        <x:f>G108*F108</x:f>
        <x:v>1014.1859999999999</x:v>
      </x:c>
      <x:c r="I108" s="22" t="str">
        <x:f>HYPERLINK("https://etp-aktiv.ru/catalog/materialy/instrument-i-specosnastka/2000025966-U117/","Открыть позицию")</x:f>
        <x:v>Открыть позицию</x:v>
      </x:c>
    </x:row>
    <x:row r="109" ht="28" customHeight="1">
      <x:c r="A109" s="16" t="str">
        <x:v>Приморская ГРЭС</x:v>
      </x:c>
      <x:c r="B109" s="16" t="str">
        <x:v>2000025968-U117</x:v>
      </x:c>
      <x:c r="C109" s="16" t="str">
        <x:v>КЛЮЧ ГАЕЧНЫЙ КОМБ 13*13ММ</x:v>
      </x:c>
      <x:c r="D109" s="16" t="str">
        <x:v>Инструмент и спецоснастка</x:v>
      </x:c>
      <x:c r="E109" s="16" t="str">
        <x:v>ШТ</x:v>
      </x:c>
      <x:c r="F109" s="21" t="n">
        <x:v>15</x:v>
      </x:c>
      <x:c r="G109" s="17" t="n">
        <x:v>39.0766</x:v>
      </x:c>
      <x:c r="H109" s="17" t="n">
        <x:f>G109*F109</x:f>
        <x:v>586.149</x:v>
      </x:c>
      <x:c r="I109" s="22" t="str">
        <x:f>HYPERLINK("https://etp-aktiv.ru/catalog/materialy/instrument-i-specosnastka/2000025968-U117/","Открыть позицию")</x:f>
        <x:v>Открыть позицию</x:v>
      </x:c>
    </x:row>
    <x:row r="110" ht="28" customHeight="1">
      <x:c r="A110" s="16" t="str">
        <x:v>Приморская ГРЭС</x:v>
      </x:c>
      <x:c r="B110" s="16" t="str">
        <x:v>2000025969-U117</x:v>
      </x:c>
      <x:c r="C110" s="16" t="str">
        <x:v>КЛЮЧ ГАЕЧНЫЙ КОМБ 17*17ММ CR-V</x:v>
      </x:c>
      <x:c r="D110" s="16" t="str">
        <x:v>Инструмент и спецоснастка</x:v>
      </x:c>
      <x:c r="E110" s="16" t="str">
        <x:v>ШТ</x:v>
      </x:c>
      <x:c r="F110" s="21" t="n">
        <x:v>11</x:v>
      </x:c>
      <x:c r="G110" s="17" t="n">
        <x:v>82.3866</x:v>
      </x:c>
      <x:c r="H110" s="17" t="n">
        <x:f>G110*F110</x:f>
        <x:v>906.2526</x:v>
      </x:c>
      <x:c r="I110" s="22" t="str">
        <x:f>HYPERLINK("https://etp-aktiv.ru/catalog/materialy/instrument-i-specosnastka/2000025969-U117/","Открыть позицию")</x:f>
        <x:v>Открыть позицию</x:v>
      </x:c>
    </x:row>
    <x:row r="111" ht="28" customHeight="1">
      <x:c r="A111" s="16" t="str">
        <x:v>Приморская ГРЭС</x:v>
      </x:c>
      <x:c r="B111" s="16" t="str">
        <x:v>2000025970-U117</x:v>
      </x:c>
      <x:c r="C111" s="16" t="str">
        <x:v>КЛЮЧ ГАЕЧНЫЙ КОМБ 19*19ММ</x:v>
      </x:c>
      <x:c r="D111" s="16" t="str">
        <x:v>Инструмент и спецоснастка</x:v>
      </x:c>
      <x:c r="E111" s="16" t="str">
        <x:v>ШТ</x:v>
      </x:c>
      <x:c r="F111" s="21" t="n">
        <x:v>1</x:v>
      </x:c>
      <x:c r="G111" s="17" t="n">
        <x:v>108.1408</x:v>
      </x:c>
      <x:c r="H111" s="17" t="n">
        <x:f>G111*F111</x:f>
        <x:v>108.1408</x:v>
      </x:c>
      <x:c r="I111" s="22" t="str">
        <x:f>HYPERLINK("https://etp-aktiv.ru/catalog/materialy/instrument-i-specosnastka/2000025970-U117/","Открыть позицию")</x:f>
        <x:v>Открыть позицию</x:v>
      </x:c>
    </x:row>
    <x:row r="112" ht="28" customHeight="1">
      <x:c r="A112" s="16" t="str">
        <x:v>Приморская ГРЭС</x:v>
      </x:c>
      <x:c r="B112" s="16" t="str">
        <x:v>2000502780-U117</x:v>
      </x:c>
      <x:c r="C112" s="16" t="str">
        <x:v>КЛЮЧ ГАЕЧНЫЙ КОМБ 36ММ 6101510</x:v>
      </x:c>
      <x:c r="D112" s="16" t="str">
        <x:v>Инструмент и спецоснастка</x:v>
      </x:c>
      <x:c r="E112" s="16" t="str">
        <x:v>ШТ</x:v>
      </x:c>
      <x:c r="F112" s="21" t="n">
        <x:v>2</x:v>
      </x:c>
      <x:c r="G112" s="17" t="n">
        <x:v>541.9972</x:v>
      </x:c>
      <x:c r="H112" s="17" t="n">
        <x:f>G112*F112</x:f>
        <x:v>1083.9944</x:v>
      </x:c>
      <x:c r="I112" s="22" t="str">
        <x:f>HYPERLINK("https://etp-aktiv.ru/catalog/materialy/instrument-i-specosnastka/2000502780-U117/","Открыть позицию")</x:f>
        <x:v>Открыть позицию</x:v>
      </x:c>
    </x:row>
    <x:row r="113" ht="28" customHeight="1">
      <x:c r="A113" s="16" t="str">
        <x:v>Приморская ГРЭС</x:v>
      </x:c>
      <x:c r="B113" s="16" t="str">
        <x:v>2000142571-U117</x:v>
      </x:c>
      <x:c r="C113" s="16" t="str">
        <x:v>КЛЮЧ ГАЕЧНЫЙ НАКИД 17*19ММ ОЦИНК</x:v>
      </x:c>
      <x:c r="D113" s="16" t="str">
        <x:v>Инструмент и спецоснастка</x:v>
      </x:c>
      <x:c r="E113" s="16" t="str">
        <x:v>ШТ</x:v>
      </x:c>
      <x:c r="F113" s="21" t="n">
        <x:v>3</x:v>
      </x:c>
      <x:c r="G113" s="17" t="n">
        <x:v>78.33619999999999</x:v>
      </x:c>
      <x:c r="H113" s="17" t="n">
        <x:f>G113*F113</x:f>
        <x:v>235.00859999999997</x:v>
      </x:c>
      <x:c r="I113" s="22" t="str">
        <x:f>HYPERLINK("https://etp-aktiv.ru/catalog/materialy/instrument-i-specosnastka/2000142571-U117/","Открыть позицию")</x:f>
        <x:v>Открыть позицию</x:v>
      </x:c>
    </x:row>
    <x:row r="114" ht="28" customHeight="1">
      <x:c r="A114" s="16" t="str">
        <x:v>Приморская ГРЭС</x:v>
      </x:c>
      <x:c r="B114" s="16" t="str">
        <x:v>2000025991-U117</x:v>
      </x:c>
      <x:c r="C114" s="16" t="str">
        <x:v>КЛЮЧ ГАЕЧНЫЙ ОДНОСТ 24ММ НАКИД</x:v>
      </x:c>
      <x:c r="D114" s="16" t="str">
        <x:v>Инструмент и спецоснастка</x:v>
      </x:c>
      <x:c r="E114" s="16" t="str">
        <x:v>ШТ</x:v>
      </x:c>
      <x:c r="F114" s="21" t="n">
        <x:v>1</x:v>
      </x:c>
      <x:c r="G114" s="17" t="n">
        <x:v>244.5734</x:v>
      </x:c>
      <x:c r="H114" s="17" t="n">
        <x:f>G114*F114</x:f>
        <x:v>244.5734</x:v>
      </x:c>
      <x:c r="I114" s="22" t="str">
        <x:f>HYPERLINK("https://etp-aktiv.ru/catalog/materialy/instrument-i-specosnastka/2000025991-U117/","Открыть позицию")</x:f>
        <x:v>Открыть позицию</x:v>
      </x:c>
    </x:row>
    <x:row r="115" ht="28" customHeight="1">
      <x:c r="A115" s="16" t="str">
        <x:v>Приморская ГРЭС</x:v>
      </x:c>
      <x:c r="B115" s="16" t="str">
        <x:v>2000025994-U117</x:v>
      </x:c>
      <x:c r="C115" s="16" t="str">
        <x:v>КЛЮЧ ГАЕЧНЫЙ ОДНОСТ 36ММ НАКИД</x:v>
      </x:c>
      <x:c r="D115" s="16" t="str">
        <x:v>Инструмент и спецоснастка</x:v>
      </x:c>
      <x:c r="E115" s="16" t="str">
        <x:v>ШТ</x:v>
      </x:c>
      <x:c r="F115" s="21" t="n">
        <x:v>2</x:v>
      </x:c>
      <x:c r="G115" s="17" t="n">
        <x:v>334.1214</x:v>
      </x:c>
      <x:c r="H115" s="17" t="n">
        <x:f>G115*F115</x:f>
        <x:v>668.2428</x:v>
      </x:c>
      <x:c r="I115" s="22" t="str">
        <x:f>HYPERLINK("https://etp-aktiv.ru/catalog/materialy/instrument-i-specosnastka/2000025994-U117/","Открыть позицию")</x:f>
        <x:v>Открыть позицию</x:v>
      </x:c>
    </x:row>
    <x:row r="116" ht="28" customHeight="1">
      <x:c r="A116" s="16" t="str">
        <x:v>Приморская ГРЭС</x:v>
      </x:c>
      <x:c r="B116" s="16" t="str">
        <x:v>2000716452-U117</x:v>
      </x:c>
      <x:c r="C116" s="16" t="str">
        <x:v>КЛЮЧ КОЛЬЦ ДВУСТ КОЛЕН 14*17ММ</x:v>
      </x:c>
      <x:c r="D116" s="16" t="str">
        <x:v>Инструмент и спецоснастка</x:v>
      </x:c>
      <x:c r="E116" s="16" t="str">
        <x:v>ШТ</x:v>
      </x:c>
      <x:c r="F116" s="21" t="n">
        <x:v>2</x:v>
      </x:c>
      <x:c r="G116" s="17" t="n">
        <x:v>98.2832</x:v>
      </x:c>
      <x:c r="H116" s="17" t="n">
        <x:f>G116*F116</x:f>
        <x:v>196.5664</x:v>
      </x:c>
      <x:c r="I116" s="22" t="str">
        <x:f>HYPERLINK("https://etp-aktiv.ru/catalog/materialy/instrument-i-specosnastka/2000716452-U117/","Открыть позицию")</x:f>
        <x:v>Открыть позицию</x:v>
      </x:c>
    </x:row>
    <x:row r="117" ht="28" customHeight="1">
      <x:c r="A117" s="16" t="str">
        <x:v>Приморская ГРЭС</x:v>
      </x:c>
      <x:c r="B117" s="16" t="str">
        <x:v>2000716461-U117</x:v>
      </x:c>
      <x:c r="C117" s="16" t="str">
        <x:v>КЛЮЧ КОЛЬЦ ОДНОСТ УДАР 100ММ</x:v>
      </x:c>
      <x:c r="D117" s="16" t="str">
        <x:v>Инструмент и спецоснастка</x:v>
      </x:c>
      <x:c r="E117" s="16" t="str">
        <x:v>ШТ</x:v>
      </x:c>
      <x:c r="F117" s="21" t="n">
        <x:v>2</x:v>
      </x:c>
      <x:c r="G117" s="17" t="n">
        <x:v>7038.4972</x:v>
      </x:c>
      <x:c r="H117" s="17" t="n">
        <x:f>G117*F117</x:f>
        <x:v>14076.9944</x:v>
      </x:c>
      <x:c r="I117" s="22" t="str">
        <x:f>HYPERLINK("https://etp-aktiv.ru/catalog/materialy/instrument-i-specosnastka/2000716461-U117/","Открыть позицию")</x:f>
        <x:v>Открыть позицию</x:v>
      </x:c>
    </x:row>
    <x:row r="118" ht="28" customHeight="1">
      <x:c r="A118" s="16" t="str">
        <x:v>Приморская ГРЭС</x:v>
      </x:c>
      <x:c r="B118" s="16" t="str">
        <x:v>2000716467-U117</x:v>
      </x:c>
      <x:c r="C118" s="16" t="str">
        <x:v>КЛЮЧ КОЛЬЦ ОДНОСТ УДАР 19ММ ОЦИНК</x:v>
      </x:c>
      <x:c r="D118" s="16" t="str">
        <x:v>Инструмент и спецоснастка</x:v>
      </x:c>
      <x:c r="E118" s="16" t="str">
        <x:v>ШТ</x:v>
      </x:c>
      <x:c r="F118" s="21" t="n">
        <x:v>1</x:v>
      </x:c>
      <x:c r="G118" s="17" t="n">
        <x:v>212.3776</x:v>
      </x:c>
      <x:c r="H118" s="17" t="n">
        <x:f>G118*F118</x:f>
        <x:v>212.3776</x:v>
      </x:c>
      <x:c r="I118" s="22" t="str">
        <x:f>HYPERLINK("https://etp-aktiv.ru/catalog/materialy/instrument-i-specosnastka/2000716467-U117/","Открыть позицию")</x:f>
        <x:v>Открыть позицию</x:v>
      </x:c>
    </x:row>
    <x:row r="119" ht="28" customHeight="1">
      <x:c r="A119" s="16" t="str">
        <x:v>Приморская ГРЭС</x:v>
      </x:c>
      <x:c r="B119" s="16" t="str">
        <x:v>2000282311-U117</x:v>
      </x:c>
      <x:c r="C119" s="16" t="str">
        <x:v>КЛЮЧ КОМБ ДВУСТ 8ММ JONNESWAY W26108</x:v>
      </x:c>
      <x:c r="D119" s="16" t="str">
        <x:v>Инструмент и спецоснастка</x:v>
      </x:c>
      <x:c r="E119" s="16" t="str">
        <x:v>ШТ</x:v>
      </x:c>
      <x:c r="F119" s="21" t="n">
        <x:v>2</x:v>
      </x:c>
      <x:c r="G119" s="17" t="n">
        <x:v>41.846</x:v>
      </x:c>
      <x:c r="H119" s="17" t="n">
        <x:f>G119*F119</x:f>
        <x:v>83.692</x:v>
      </x:c>
      <x:c r="I119" s="22" t="str">
        <x:f>HYPERLINK("https://etp-aktiv.ru/catalog/materialy/instrument-i-specosnastka/2000282311-U117/","Открыть позицию")</x:f>
        <x:v>Открыть позицию</x:v>
      </x:c>
    </x:row>
    <x:row r="120" ht="28" customHeight="1">
      <x:c r="A120" s="16" t="str">
        <x:v>Приморская ГРЭС</x:v>
      </x:c>
      <x:c r="B120" s="16" t="str">
        <x:v>2000871620-U117</x:v>
      </x:c>
      <x:c r="C120" s="16" t="str">
        <x:v>КЛЮЧ НАКИД УДАРНЫЙ 55ММ GEDORE 6475940</x:v>
      </x:c>
      <x:c r="D120" s="16" t="str">
        <x:v>Инструмент и спецоснастка</x:v>
      </x:c>
      <x:c r="E120" s="16" t="str">
        <x:v>ШТ</x:v>
      </x:c>
      <x:c r="F120" s="21" t="n">
        <x:v>11</x:v>
      </x:c>
      <x:c r="G120" s="17" t="n">
        <x:v>1187.6822</x:v>
      </x:c>
      <x:c r="H120" s="17" t="n">
        <x:f>G120*F120</x:f>
        <x:v>13064.5042</x:v>
      </x:c>
      <x:c r="I120" s="22" t="str">
        <x:f>HYPERLINK("https://etp-aktiv.ru/catalog/materialy/instrument-i-specosnastka/2000871620-U117/","Открыть позицию")</x:f>
        <x:v>Открыть позицию</x:v>
      </x:c>
    </x:row>
    <x:row r="121" ht="28" customHeight="1">
      <x:c r="A121" s="16" t="str">
        <x:v>Приморская ГРЭС</x:v>
      </x:c>
      <x:c r="B121" s="16" t="str">
        <x:v>2000871621-U117</x:v>
      </x:c>
      <x:c r="C121" s="16" t="str">
        <x:v>КЛЮЧ НАКИД УДАРНЫЙ 60ММ GEDORE 6476080</x:v>
      </x:c>
      <x:c r="D121" s="16" t="str">
        <x:v>Инструмент и спецоснастка</x:v>
      </x:c>
      <x:c r="E121" s="16" t="str">
        <x:v>ШТ</x:v>
      </x:c>
      <x:c r="F121" s="21" t="n">
        <x:v>15</x:v>
      </x:c>
      <x:c r="G121" s="17" t="n">
        <x:v>1321.7236</x:v>
      </x:c>
      <x:c r="H121" s="17" t="n">
        <x:f>G121*F121</x:f>
        <x:v>19825.854</x:v>
      </x:c>
      <x:c r="I121" s="22" t="str">
        <x:f>HYPERLINK("https://etp-aktiv.ru/catalog/materialy/instrument-i-specosnastka/2000871621-U117/","Открыть позицию")</x:f>
        <x:v>Открыть позицию</x:v>
      </x:c>
    </x:row>
    <x:row r="122" ht="28" customHeight="1">
      <x:c r="A122" s="16" t="str">
        <x:v>Приморская ГРЭС</x:v>
      </x:c>
      <x:c r="B122" s="16" t="str">
        <x:v>2000338694-U117</x:v>
      </x:c>
      <x:c r="C122" s="16" t="str">
        <x:v>КЛЮЧ ТОРЦ ДВОЙНОЙ 32ММ 609127 UNIOR</x:v>
      </x:c>
      <x:c r="D122" s="16" t="str">
        <x:v>Инструмент и спецоснастка</x:v>
      </x:c>
      <x:c r="E122" s="16" t="str">
        <x:v>ШТ</x:v>
      </x:c>
      <x:c r="F122" s="21" t="n">
        <x:v>5</x:v>
      </x:c>
      <x:c r="G122" s="17" t="n">
        <x:v>3981.7139999999995</x:v>
      </x:c>
      <x:c r="H122" s="17" t="n">
        <x:f>G122*F122</x:f>
        <x:v>19908.569999999996</x:v>
      </x:c>
      <x:c r="I122" s="22" t="str">
        <x:f>HYPERLINK("https://etp-aktiv.ru/catalog/materialy/instrument-i-specosnastka/2000338694-U117/","Открыть позицию")</x:f>
        <x:v>Открыть позицию</x:v>
      </x:c>
    </x:row>
    <x:row r="123" ht="28" customHeight="1">
      <x:c r="A123" s="16" t="str">
        <x:v>Приморская ГРЭС</x:v>
      </x:c>
      <x:c r="B123" s="16" t="str">
        <x:v>2000026114-U117</x:v>
      </x:c>
      <x:c r="C123" s="16" t="str">
        <x:v>КЛЮЧ ТОРЦ ДВУСТ 8*10ММ</x:v>
      </x:c>
      <x:c r="D123" s="16" t="str">
        <x:v>Инструмент и спецоснастка</x:v>
      </x:c>
      <x:c r="E123" s="16" t="str">
        <x:v>ШТ</x:v>
      </x:c>
      <x:c r="F123" s="21" t="n">
        <x:v>30</x:v>
      </x:c>
      <x:c r="G123" s="17" t="n">
        <x:v>38.1616</x:v>
      </x:c>
      <x:c r="H123" s="17" t="n">
        <x:f>G123*F123</x:f>
        <x:v>1144.848</x:v>
      </x:c>
      <x:c r="I123" s="22" t="str">
        <x:f>HYPERLINK("https://etp-aktiv.ru/catalog/materialy/instrument-i-specosnastka/2000026114-U117/","Открыть позицию")</x:f>
        <x:v>Открыть позицию</x:v>
      </x:c>
    </x:row>
    <x:row r="124" ht="28" customHeight="1">
      <x:c r="A124" s="16" t="str">
        <x:v>Приморская ГРЭС</x:v>
      </x:c>
      <x:c r="B124" s="16" t="str">
        <x:v>2000716479-U117</x:v>
      </x:c>
      <x:c r="C124" s="16" t="str">
        <x:v>КЛЮЧ ТОРЦ ДВУСТОР СТЕРЖ 19*22 КЗСМИ</x:v>
      </x:c>
      <x:c r="D124" s="16" t="str">
        <x:v>Инструмент и спецоснастка</x:v>
      </x:c>
      <x:c r="E124" s="16" t="str">
        <x:v>ШТ</x:v>
      </x:c>
      <x:c r="F124" s="21" t="n">
        <x:v>11</x:v>
      </x:c>
      <x:c r="G124" s="17" t="n">
        <x:v>261.0068</x:v>
      </x:c>
      <x:c r="H124" s="17" t="n">
        <x:f>G124*F124</x:f>
        <x:v>2871.0748</x:v>
      </x:c>
      <x:c r="I124" s="22" t="str">
        <x:f>HYPERLINK("https://etp-aktiv.ru/catalog/materialy/instrument-i-specosnastka/2000716479-U117/","Открыть позицию")</x:f>
        <x:v>Открыть позицию</x:v>
      </x:c>
    </x:row>
    <x:row r="125" ht="28" customHeight="1">
      <x:c r="A125" s="16" t="str">
        <x:v>Приморская ГРЭС</x:v>
      </x:c>
      <x:c r="B125" s="16" t="str">
        <x:v>2000795834-U117</x:v>
      </x:c>
      <x:c r="C125" s="16" t="str">
        <x:v>КОЛЕСО 400Д190 СЧ18-36 258-01-00-03</x:v>
      </x:c>
      <x:c r="D125" s="16" t="str">
        <x:v>Запасные части к энергетическим насосам</x:v>
      </x:c>
      <x:c r="E125" s="16" t="str">
        <x:v>ШТ</x:v>
      </x:c>
      <x:c r="F125" s="21" t="n">
        <x:v>1</x:v>
      </x:c>
      <x:c r="G125" s="17" t="n">
        <x:v>214720</x:v>
      </x:c>
      <x:c r="H125" s="17" t="n">
        <x:f>G125*F125</x:f>
        <x:v>214720</x:v>
      </x:c>
      <x:c r="I125" s="22" t="str">
        <x:f>HYPERLINK("https://etp-aktiv.ru/catalog/materialy/zapasnye-chasti-promyshlennogo-oborudovaniya/2000795834-U117/","Открыть позицию")</x:f>
        <x:v>Открыть позицию</x:v>
      </x:c>
    </x:row>
    <x:row r="126" ht="28" customHeight="1">
      <x:c r="A126" s="16" t="str">
        <x:v>Приморская ГРЭС</x:v>
      </x:c>
      <x:c r="B126" s="16" t="str">
        <x:v>2000533821-U117</x:v>
      </x:c>
      <x:c r="C126" s="16" t="str">
        <x:v>КОЛЕСО Н18.38.30.04 КСВ 320 - 160</x:v>
      </x:c>
      <x:c r="D126" s="16" t="str">
        <x:v>Запасные части к энергетическим насосам</x:v>
      </x:c>
      <x:c r="E126" s="16" t="str">
        <x:v>ШТ</x:v>
      </x:c>
      <x:c r="F126" s="21" t="n">
        <x:v>4</x:v>
      </x:c>
      <x:c r="G126" s="17" t="n">
        <x:v>20822.289</x:v>
      </x:c>
      <x:c r="H126" s="17" t="n">
        <x:f>G126*F126</x:f>
        <x:v>83289.156</x:v>
      </x:c>
      <x:c r="I126" s="22" t="str">
        <x:f>HYPERLINK("https://etp-aktiv.ru/catalog/materialy/zapasnye-chasti-promyshlennogo-oborudovaniya/2000533821-U117/","Открыть позицию")</x:f>
        <x:v>Открыть позицию</x:v>
      </x:c>
    </x:row>
    <x:row r="127" ht="28" customHeight="1">
      <x:c r="A127" s="16" t="str">
        <x:v>Приморская ГРЭС</x:v>
      </x:c>
      <x:c r="B127" s="16" t="str">
        <x:v>2000707150-U117</x:v>
      </x:c>
      <x:c r="C127" s="16" t="str">
        <x:v>КОЛЕСО ПЭ380-185 Н17.120.103.00-01</x:v>
      </x:c>
      <x:c r="D127" s="16" t="str">
        <x:v>Запасные части к насосам</x:v>
      </x:c>
      <x:c r="E127" s="16" t="str">
        <x:v>ШТ</x:v>
      </x:c>
      <x:c r="F127" s="21" t="n">
        <x:v>7</x:v>
      </x:c>
      <x:c r="G127" s="17" t="n">
        <x:v>32696.2562</x:v>
      </x:c>
      <x:c r="H127" s="17" t="n">
        <x:f>G127*F127</x:f>
        <x:v>228873.7934</x:v>
      </x:c>
      <x:c r="I127" s="22" t="str">
        <x:f>HYPERLINK("https://etp-aktiv.ru/catalog/materialy/zapasnye-chasti-promyshlennogo-oborudovaniya/2000707150-U117/","Открыть позицию")</x:f>
        <x:v>Открыть позицию</x:v>
      </x:c>
    </x:row>
    <x:row r="128" ht="28" customHeight="1">
      <x:c r="A128" s="16" t="str">
        <x:v>Приморская ГРЭС</x:v>
      </x:c>
      <x:c r="B128" s="16" t="str">
        <x:v>2000533918-U117</x:v>
      </x:c>
      <x:c r="C128" s="16" t="str">
        <x:v>КОЛЕСО РАБ Н17.190.103.00 ПЭ-380-185-200</x:v>
      </x:c>
      <x:c r="D128" s="16" t="str">
        <x:v>Запасные части к энергетическим насосам</x:v>
      </x:c>
      <x:c r="E128" s="16" t="str">
        <x:v>ШТ</x:v>
      </x:c>
      <x:c r="F128" s="21" t="n">
        <x:v>1</x:v>
      </x:c>
      <x:c r="G128" s="17" t="n">
        <x:v>129421.016</x:v>
      </x:c>
      <x:c r="H128" s="17" t="n">
        <x:f>G128*F128</x:f>
        <x:v>129421.016</x:v>
      </x:c>
      <x:c r="I128" s="22" t="str">
        <x:f>HYPERLINK("https://etp-aktiv.ru/catalog/materialy/zapasnye-chasti-promyshlennogo-oborudovaniya/2000533918-U117/","Открыть позицию")</x:f>
        <x:v>Открыть позицию</x:v>
      </x:c>
    </x:row>
    <x:row r="129" ht="28" customHeight="1">
      <x:c r="A129" s="16" t="str">
        <x:v>Приморская ГРЭС</x:v>
      </x:c>
      <x:c r="B129" s="16" t="str">
        <x:v>2000533929-U117</x:v>
      </x:c>
      <x:c r="C129" s="16" t="str">
        <x:v>КОЛЕСО РАБ Н18.38.30.02 КСВ 320-160-2</x:v>
      </x:c>
      <x:c r="D129" s="16" t="str">
        <x:v>Запасные части к энергетическим насосам</x:v>
      </x:c>
      <x:c r="E129" s="16" t="str">
        <x:v>ШТ</x:v>
      </x:c>
      <x:c r="F129" s="21" t="n">
        <x:v>5</x:v>
      </x:c>
      <x:c r="G129" s="17" t="n">
        <x:v>28310.2342</x:v>
      </x:c>
      <x:c r="H129" s="17" t="n">
        <x:f>G129*F129</x:f>
        <x:v>141551.171</x:v>
      </x:c>
      <x:c r="I129" s="22" t="str">
        <x:f>HYPERLINK("https://etp-aktiv.ru/catalog/materialy/zapasnye-chasti-promyshlennogo-oborudovaniya/2000533929-U117/","Открыть позицию")</x:f>
        <x:v>Открыть позицию</x:v>
      </x:c>
    </x:row>
    <x:row r="130" ht="28" customHeight="1">
      <x:c r="A130" s="16" t="str">
        <x:v>Приморская ГРЭС</x:v>
      </x:c>
      <x:c r="B130" s="16" t="str">
        <x:v>2000533930-U117</x:v>
      </x:c>
      <x:c r="C130" s="16" t="str">
        <x:v>КОЛЕСО РАБ Н18.38.30.03 КСВ 320-160-2</x:v>
      </x:c>
      <x:c r="D130" s="16" t="str">
        <x:v>Запасные части к энергетическим насосам</x:v>
      </x:c>
      <x:c r="E130" s="16" t="str">
        <x:v>ШТ</x:v>
      </x:c>
      <x:c r="F130" s="21" t="n">
        <x:v>1</x:v>
      </x:c>
      <x:c r="G130" s="17" t="n">
        <x:v>42559.3096</x:v>
      </x:c>
      <x:c r="H130" s="17" t="n">
        <x:f>G130*F130</x:f>
        <x:v>42559.3096</x:v>
      </x:c>
      <x:c r="I130" s="22" t="str">
        <x:f>HYPERLINK("https://etp-aktiv.ru/catalog/materialy/zapasnye-chasti-promyshlennogo-oborudovaniya/2000533930-U117/","Открыть позицию")</x:f>
        <x:v>Открыть позицию</x:v>
      </x:c>
    </x:row>
    <x:row r="131" ht="28" customHeight="1">
      <x:c r="A131" s="16" t="str">
        <x:v>Приморская ГРЭС</x:v>
      </x:c>
      <x:c r="B131" s="16" t="str">
        <x:v>2000695824-U117</x:v>
      </x:c>
      <x:c r="C131" s="16" t="str">
        <x:v>КОЛЕСО РАБОЧ Д200-95 06.03.40.8876.0001</x:v>
      </x:c>
      <x:c r="D131" s="16" t="str">
        <x:v>Запасные части к энергетическим насосам</x:v>
      </x:c>
      <x:c r="E131" s="16" t="str">
        <x:v>ШТ</x:v>
      </x:c>
      <x:c r="F131" s="21" t="n">
        <x:v>5</x:v>
      </x:c>
      <x:c r="G131" s="17" t="n">
        <x:v>21249.045</x:v>
      </x:c>
      <x:c r="H131" s="17" t="n">
        <x:f>G131*F131</x:f>
        <x:v>106245.22499999999</x:v>
      </x:c>
      <x:c r="I131" s="22" t="str">
        <x:f>HYPERLINK("https://etp-aktiv.ru/catalog/materialy/zapasnye-chasti-promyshlennogo-oborudovaniya/2000695824-U117/","Открыть позицию")</x:f>
        <x:v>Открыть позицию</x:v>
      </x:c>
    </x:row>
    <x:row r="132" ht="28" customHeight="1">
      <x:c r="A132" s="16" t="str">
        <x:v>Приморская ГРЭС</x:v>
      </x:c>
      <x:c r="B132" s="16" t="str">
        <x:v>2000533847-U117</x:v>
      </x:c>
      <x:c r="C132" s="16" t="str">
        <x:v>КОЛЕСО РАБОЧЕЕ 10СТ 5М.01.04 ПЭ270-150</x:v>
      </x:c>
      <x:c r="D132" s="16" t="str">
        <x:v>Запасные части к энергетическим насосам</x:v>
      </x:c>
      <x:c r="E132" s="16" t="str">
        <x:v>ШТ</x:v>
      </x:c>
      <x:c r="F132" s="21" t="n">
        <x:v>2</x:v>
      </x:c>
      <x:c r="G132" s="17" t="n">
        <x:v>62448.75</x:v>
      </x:c>
      <x:c r="H132" s="17" t="n">
        <x:f>G132*F132</x:f>
        <x:v>124897.5</x:v>
      </x:c>
      <x:c r="I132" s="22" t="str">
        <x:f>HYPERLINK("https://etp-aktiv.ru/catalog/materialy/zapasnye-chasti-promyshlennogo-oborudovaniya/2000533847-U117/","Открыть позицию")</x:f>
        <x:v>Открыть позицию</x:v>
      </x:c>
    </x:row>
    <x:row r="133" ht="28" customHeight="1">
      <x:c r="A133" s="16" t="str">
        <x:v>Приморская ГРЭС</x:v>
      </x:c>
      <x:c r="B133" s="16" t="str">
        <x:v>2000533844-U117</x:v>
      </x:c>
      <x:c r="C133" s="16" t="str">
        <x:v>КОЛЕСО РАБОЧЕЕ 1СТ 5М.01.01 НАСОСОВ ПЭ</x:v>
      </x:c>
      <x:c r="D133" s="16" t="str">
        <x:v>Запасные части к энергетическим насосам</x:v>
      </x:c>
      <x:c r="E133" s="16" t="str">
        <x:v>ШТ</x:v>
      </x:c>
      <x:c r="F133" s="21" t="n">
        <x:v>2</x:v>
      </x:c>
      <x:c r="G133" s="17" t="n">
        <x:v>66566.25</x:v>
      </x:c>
      <x:c r="H133" s="17" t="n">
        <x:f>G133*F133</x:f>
        <x:v>133132.5</x:v>
      </x:c>
      <x:c r="I133" s="22" t="str">
        <x:f>HYPERLINK("https://etp-aktiv.ru/catalog/materialy/zapasnye-chasti-promyshlennogo-oborudovaniya/2000533844-U117/","Открыть позицию")</x:f>
        <x:v>Открыть позицию</x:v>
      </x:c>
    </x:row>
    <x:row r="134" ht="28" customHeight="1">
      <x:c r="A134" s="16" t="str">
        <x:v>Приморская ГРЭС</x:v>
      </x:c>
      <x:c r="B134" s="16" t="str">
        <x:v>2000533845-U117</x:v>
      </x:c>
      <x:c r="C134" s="16" t="str">
        <x:v>КОЛЕСО РАБОЧЕЕ 2-6СТ 5М.01.02 ПЭ270-150</x:v>
      </x:c>
      <x:c r="D134" s="16" t="str">
        <x:v>Запасные части к энергетическим насосам</x:v>
      </x:c>
      <x:c r="E134" s="16" t="str">
        <x:v>ШТ</x:v>
      </x:c>
      <x:c r="F134" s="21" t="n">
        <x:v>10</x:v>
      </x:c>
      <x:c r="G134" s="17" t="n">
        <x:v>62448.75</x:v>
      </x:c>
      <x:c r="H134" s="17" t="n">
        <x:f>G134*F134</x:f>
        <x:v>624487.5</x:v>
      </x:c>
      <x:c r="I134" s="22" t="str">
        <x:f>HYPERLINK("https://etp-aktiv.ru/catalog/materialy/zapasnye-chasti-promyshlennogo-oborudovaniya/2000533845-U117/","Открыть позицию")</x:f>
        <x:v>Открыть позицию</x:v>
      </x:c>
    </x:row>
    <x:row r="135" ht="28" customHeight="1">
      <x:c r="A135" s="16" t="str">
        <x:v>Приморская ГРЭС</x:v>
      </x:c>
      <x:c r="B135" s="16" t="str">
        <x:v>2000724812-U117</x:v>
      </x:c>
      <x:c r="C135" s="16" t="str">
        <x:v>КОЛЕСО РАБОЧЕЕ 3СТ КСД 230-115 В-16375</x:v>
      </x:c>
      <x:c r="D135" s="16" t="str">
        <x:v>Запасные части к энергетическим насосам</x:v>
      </x:c>
      <x:c r="E135" s="16" t="str">
        <x:v>ШТ</x:v>
      </x:c>
      <x:c r="F135" s="21" t="n">
        <x:v>3</x:v>
      </x:c>
      <x:c r="G135" s="17" t="n">
        <x:v>74458.125</x:v>
      </x:c>
      <x:c r="H135" s="17" t="n">
        <x:f>G135*F135</x:f>
        <x:v>223374.375</x:v>
      </x:c>
      <x:c r="I135" s="22" t="str">
        <x:f>HYPERLINK("https://etp-aktiv.ru/catalog/materialy/zapasnye-chasti-promyshlennogo-oborudovaniya/2000724812-U117/","Открыть позицию")</x:f>
        <x:v>Открыть позицию</x:v>
      </x:c>
    </x:row>
    <x:row r="136" ht="28" customHeight="1">
      <x:c r="A136" s="16" t="str">
        <x:v>Приморская ГРЭС</x:v>
      </x:c>
      <x:c r="B136" s="16" t="str">
        <x:v>2000120745-U117</x:v>
      </x:c>
      <x:c r="C136" s="16" t="str">
        <x:v>КОЛЕСО РАБОЧЕЕ 4МС 10.2.01.114-2.01</x:v>
      </x:c>
      <x:c r="D136" s="16" t="str">
        <x:v>Запасные части к энергетическим насосам</x:v>
      </x:c>
      <x:c r="E136" s="16" t="str">
        <x:v>ШТ</x:v>
      </x:c>
      <x:c r="F136" s="21" t="n">
        <x:v>6</x:v>
      </x:c>
      <x:c r="G136" s="17" t="n">
        <x:v>7564</x:v>
      </x:c>
      <x:c r="H136" s="17" t="n">
        <x:f>G136*F136</x:f>
        <x:v>45384</x:v>
      </x:c>
      <x:c r="I136" s="22" t="str">
        <x:f>HYPERLINK("https://etp-aktiv.ru/catalog/materialy/zapasnye-chasti-promyshlennogo-oborudovaniya/2000120745-U117/","Открыть позицию")</x:f>
        <x:v>Открыть позицию</x:v>
      </x:c>
    </x:row>
    <x:row r="137" ht="28" customHeight="1">
      <x:c r="A137" s="16" t="str">
        <x:v>Приморская ГРЭС</x:v>
      </x:c>
      <x:c r="B137" s="16" t="str">
        <x:v>2000533846-U117</x:v>
      </x:c>
      <x:c r="C137" s="16" t="str">
        <x:v>КОЛЕСО РАБОЧЕЕ 7-9СТ 5М.01.03 ПЭ270-150</x:v>
      </x:c>
      <x:c r="D137" s="16" t="str">
        <x:v>Запасные части к энергетическим насосам</x:v>
      </x:c>
      <x:c r="E137" s="16" t="str">
        <x:v>ШТ</x:v>
      </x:c>
      <x:c r="F137" s="21" t="n">
        <x:v>6</x:v>
      </x:c>
      <x:c r="G137" s="17" t="n">
        <x:v>62448.75</x:v>
      </x:c>
      <x:c r="H137" s="17" t="n">
        <x:f>G137*F137</x:f>
        <x:v>374692.5</x:v>
      </x:c>
      <x:c r="I137" s="22" t="str">
        <x:f>HYPERLINK("https://etp-aktiv.ru/catalog/materialy/zapasnye-chasti-promyshlennogo-oborudovaniya/2000533846-U117/","Открыть позицию")</x:f>
        <x:v>Открыть позицию</x:v>
      </x:c>
    </x:row>
    <x:row r="138" ht="28" customHeight="1">
      <x:c r="A138" s="16" t="str">
        <x:v>Приморская ГРЭС</x:v>
      </x:c>
      <x:c r="B138" s="16" t="str">
        <x:v>2000533869-U117</x:v>
      </x:c>
      <x:c r="C138" s="16" t="str">
        <x:v>КОЛЕСО РАБОЧЕЕ В-16373 КСД-230-115</x:v>
      </x:c>
      <x:c r="D138" s="16" t="str">
        <x:v>Запасные части к энергетическим насосам</x:v>
      </x:c>
      <x:c r="E138" s="16" t="str">
        <x:v>ШТ</x:v>
      </x:c>
      <x:c r="F138" s="21" t="n">
        <x:v>3</x:v>
      </x:c>
      <x:c r="G138" s="17" t="n">
        <x:v>47485.633</x:v>
      </x:c>
      <x:c r="H138" s="17" t="n">
        <x:f>G138*F138</x:f>
        <x:v>142456.899</x:v>
      </x:c>
      <x:c r="I138" s="22" t="str">
        <x:f>HYPERLINK("https://etp-aktiv.ru/catalog/materialy/zapasnye-chasti-promyshlennogo-oborudovaniya/2000533869-U117/","Открыть позицию")</x:f>
        <x:v>Открыть позицию</x:v>
      </x:c>
    </x:row>
    <x:row r="139" ht="28" customHeight="1">
      <x:c r="A139" s="16" t="str">
        <x:v>Приморская ГРЭС</x:v>
      </x:c>
      <x:c r="B139" s="16" t="str">
        <x:v>2000533870-U117</x:v>
      </x:c>
      <x:c r="C139" s="16" t="str">
        <x:v>КОЛЕСО РАБОЧЕЕ В-17265 КСД-230-115</x:v>
      </x:c>
      <x:c r="D139" s="16" t="str">
        <x:v>Запасные части к энергетическим насосам</x:v>
      </x:c>
      <x:c r="E139" s="16" t="str">
        <x:v>ШТ</x:v>
      </x:c>
      <x:c r="F139" s="21" t="n">
        <x:v>3</x:v>
      </x:c>
      <x:c r="G139" s="17" t="n">
        <x:v>49715.9516</x:v>
      </x:c>
      <x:c r="H139" s="17" t="n">
        <x:f>G139*F139</x:f>
        <x:v>149147.8548</x:v>
      </x:c>
      <x:c r="I139" s="22" t="str">
        <x:f>HYPERLINK("https://etp-aktiv.ru/catalog/materialy/zapasnye-chasti-promyshlennogo-oborudovaniya/2000533870-U117/","Открыть позицию")</x:f>
        <x:v>Открыть позицию</x:v>
      </x:c>
    </x:row>
    <x:row r="140" ht="28" customHeight="1">
      <x:c r="A140" s="16" t="str">
        <x:v>Приморская ГРЭС</x:v>
      </x:c>
      <x:c r="B140" s="16" t="str">
        <x:v>M2000716898-U117</x:v>
      </x:c>
      <x:c r="C140" s="16" t="str">
        <x:v>КОЛЕСО РАБОЧЕЕ ДОД 28,5 03.8210.007МЧ</x:v>
      </x:c>
      <x:c r="D140" s="16" t="str">
        <x:v>Запасные части к вентиляционному оборудованию</x:v>
      </x:c>
      <x:c r="E140" s="16" t="str">
        <x:v>ШТ</x:v>
      </x:c>
      <x:c r="F140" s="21" t="n">
        <x:v>4</x:v>
      </x:c>
      <x:c r="G140" s="17" t="n">
        <x:v>2264673.5926</x:v>
      </x:c>
      <x:c r="H140" s="17" t="n">
        <x:f>G140*F140</x:f>
        <x:v>9058694.3704</x:v>
      </x:c>
      <x:c r="I140" s="22" t="str">
        <x:f>HYPERLINK("https://etp-aktiv.ru/catalog/materialy/zapasnye-chasti-promyshlennogo-oborudovaniya/M2000716898-U117/","Открыть позицию")</x:f>
        <x:v>Открыть позицию</x:v>
      </x:c>
    </x:row>
    <x:row r="141" ht="28" customHeight="1">
      <x:c r="A141" s="16" t="str">
        <x:v>Приморская ГРЭС</x:v>
      </x:c>
      <x:c r="B141" s="16" t="str">
        <x:v>2000911812-U117</x:v>
      </x:c>
      <x:c r="C141" s="16" t="str">
        <x:v>КОЛЕСО РАБОЧЕЕ Н49.901.01.00.001-01</x:v>
      </x:c>
      <x:c r="D141" s="16" t="str">
        <x:v>Запасные части к энергетическим насосам</x:v>
      </x:c>
      <x:c r="E141" s="16" t="str">
        <x:v>ШТ</x:v>
      </x:c>
      <x:c r="F141" s="21" t="n">
        <x:v>1</x:v>
      </x:c>
      <x:c r="G141" s="17" t="n">
        <x:v>14365.5</x:v>
      </x:c>
      <x:c r="H141" s="17" t="n">
        <x:f>G141*F141</x:f>
        <x:v>14365.5</x:v>
      </x:c>
      <x:c r="I141" s="22" t="str">
        <x:f>HYPERLINK("https://etp-aktiv.ru/catalog/materialy/zapasnye-chasti-promyshlennogo-oborudovaniya/2000911812-U117/","Открыть позицию")</x:f>
        <x:v>Открыть позицию</x:v>
      </x:c>
    </x:row>
    <x:row r="142" ht="28" customHeight="1">
      <x:c r="A142" s="16" t="str">
        <x:v>Приморская ГРЭС</x:v>
      </x:c>
      <x:c r="B142" s="16" t="str">
        <x:v>2000579023-U117</x:v>
      </x:c>
      <x:c r="C142" s="16" t="str">
        <x:v>КОЛЕСО СМ150-125-315 Н49.889.01.00.003</x:v>
      </x:c>
      <x:c r="D142" s="16" t="str">
        <x:v>Запасные части к энергетическим насосам</x:v>
      </x:c>
      <x:c r="E142" s="16" t="str">
        <x:v>ШТ</x:v>
      </x:c>
      <x:c r="F142" s="21" t="n">
        <x:v>2</x:v>
      </x:c>
      <x:c r="G142" s="17" t="n">
        <x:v>19520</x:v>
      </x:c>
      <x:c r="H142" s="17" t="n">
        <x:f>G142*F142</x:f>
        <x:v>39040</x:v>
      </x:c>
      <x:c r="I142" s="22" t="str">
        <x:f>HYPERLINK("https://etp-aktiv.ru/catalog/materialy/zapasnye-chasti-promyshlennogo-oborudovaniya/2000579023-U117/","Открыть позицию")</x:f>
        <x:v>Открыть позицию</x:v>
      </x:c>
    </x:row>
    <x:row r="143" ht="28" customHeight="1">
      <x:c r="A143" s="16" t="str">
        <x:v>Приморская ГРЭС</x:v>
      </x:c>
      <x:c r="B143" s="16" t="str">
        <x:v>2000811078-U117</x:v>
      </x:c>
      <x:c r="C143" s="16" t="str">
        <x:v>КОЛЕСО ЦНС 60*200 4МС10.2.01.114.2</x:v>
      </x:c>
      <x:c r="D143" s="16" t="str">
        <x:v>Запасные части к энергетическим насосам</x:v>
      </x:c>
      <x:c r="E143" s="16" t="str">
        <x:v>ШТ</x:v>
      </x:c>
      <x:c r="F143" s="21" t="n">
        <x:v>6</x:v>
      </x:c>
      <x:c r="G143" s="17" t="n">
        <x:v>7564</x:v>
      </x:c>
      <x:c r="H143" s="17" t="n">
        <x:f>G143*F143</x:f>
        <x:v>45384</x:v>
      </x:c>
      <x:c r="I143" s="22" t="str">
        <x:f>HYPERLINK("https://etp-aktiv.ru/catalog/materialy/zapasnye-chasti-promyshlennogo-oborudovaniya/2000811078-U117/","Открыть позицию")</x:f>
        <x:v>Открыть позицию</x:v>
      </x:c>
    </x:row>
    <x:row r="144" ht="28" customHeight="1">
      <x:c r="A144" s="16" t="str">
        <x:v>Приморская ГРЭС</x:v>
      </x:c>
      <x:c r="B144" s="16" t="str">
        <x:v>2000534002-U117</x:v>
      </x:c>
      <x:c r="C144" s="16" t="str">
        <x:v>КОЛЬЦО 190-200-58 У85.00.02-20</x:v>
      </x:c>
      <x:c r="D144" s="16" t="str">
        <x:v>Запасные части к энергетическим насосам</x:v>
      </x:c>
      <x:c r="E144" s="16" t="str">
        <x:v>ШТ</x:v>
      </x:c>
      <x:c r="F144" s="21" t="n">
        <x:v>2</x:v>
      </x:c>
      <x:c r="G144" s="17" t="n">
        <x:v>257.0052</x:v>
      </x:c>
      <x:c r="H144" s="17" t="n">
        <x:f>G144*F144</x:f>
        <x:v>514.0104</x:v>
      </x:c>
      <x:c r="I144" s="22" t="str">
        <x:f>HYPERLINK("https://etp-aktiv.ru/catalog/materialy/zapasnye-chasti-promyshlennogo-oborudovaniya/2000534002-U117/","Открыть позицию")</x:f>
        <x:v>Открыть позицию</x:v>
      </x:c>
    </x:row>
    <x:row r="145" ht="28" customHeight="1">
      <x:c r="A145" s="16" t="str">
        <x:v>Приморская ГРЭС</x:v>
      </x:c>
      <x:c r="B145" s="16" t="str">
        <x:v>2000063693-U117</x:v>
      </x:c>
      <x:c r="C145" s="16" t="str">
        <x:v>КОЛЬЦО ГИДРАВЛ ПЯТЫ ЦНС-60 165.01.000.06</x:v>
      </x:c>
      <x:c r="D145" s="16" t="str">
        <x:v>Запасные части к энергетическим насосам</x:v>
      </x:c>
      <x:c r="E145" s="16" t="str">
        <x:v>ШТ</x:v>
      </x:c>
      <x:c r="F145" s="21" t="n">
        <x:v>4</x:v>
      </x:c>
      <x:c r="G145" s="17" t="n">
        <x:v>4026</x:v>
      </x:c>
      <x:c r="H145" s="17" t="n">
        <x:f>G145*F145</x:f>
        <x:v>16104</x:v>
      </x:c>
      <x:c r="I145" s="22" t="str">
        <x:f>HYPERLINK("https://etp-aktiv.ru/catalog/materialy/zapasnye-chasti-promyshlennogo-oborudovaniya/2000063693-U117/","Открыть позицию")</x:f>
        <x:v>Открыть позицию</x:v>
      </x:c>
    </x:row>
    <x:row r="146" ht="28" customHeight="1">
      <x:c r="A146" s="16" t="str">
        <x:v>Приморская ГРЭС</x:v>
      </x:c>
      <x:c r="B146" s="16" t="str">
        <x:v>2000245939-U117</x:v>
      </x:c>
      <x:c r="C146" s="16" t="str">
        <x:v>КОЛЬЦО ГРАФИТОВОЕ 0866.009.008</x:v>
      </x:c>
      <x:c r="D146" s="16" t="str">
        <x:v>@Запасные части к насосам</x:v>
      </x:c>
      <x:c r="E146" s="16" t="str">
        <x:v>ШТ</x:v>
      </x:c>
      <x:c r="F146" s="21" t="n">
        <x:v>20</x:v>
      </x:c>
      <x:c r="G146" s="17" t="n">
        <x:v>9834.9934</x:v>
      </x:c>
      <x:c r="H146" s="17" t="n">
        <x:f>G146*F146</x:f>
        <x:v>196699.868</x:v>
      </x:c>
      <x:c r="I146" s="22" t="str">
        <x:f>HYPERLINK("https://etp-aktiv.ru/catalog/materialy/nasosno-kompressornoe-oborudovanie/2000245939-U117/","Открыть позицию")</x:f>
        <x:v>Открыть позицию</x:v>
      </x:c>
    </x:row>
    <x:row r="147" ht="28" customHeight="1">
      <x:c r="A147" s="16" t="str">
        <x:v>Приморская ГРЭС</x:v>
      </x:c>
      <x:c r="B147" s="16" t="str">
        <x:v>2000005367-U117</x:v>
      </x:c>
      <x:c r="C147" s="16" t="str">
        <x:v>КОЛЬЦО КОМПРЕССИОННОЕ ЦВД34.08.00.02-009</x:v>
      </x:c>
      <x:c r="D147" s="16" t="str">
        <x:v>Запасные части к локомотивам</x:v>
      </x:c>
      <x:c r="E147" s="16" t="str">
        <x:v>ШТ</x:v>
      </x:c>
      <x:c r="F147" s="21" t="n">
        <x:v>58</x:v>
      </x:c>
      <x:c r="G147" s="17" t="n">
        <x:v>429.7328</x:v>
      </x:c>
      <x:c r="H147" s="17" t="n">
        <x:f>G147*F147</x:f>
        <x:v>24924.5024</x:v>
      </x:c>
      <x:c r="I147" s="22" t="str">
        <x:f>HYPERLINK("https://etp-aktiv.ru/catalog/materialy/zapasnye-chasti-k-zhd-oborudovaniyu-i-podvizhnomu-sostavu/2000005367-U117/","Открыть позицию")</x:f>
        <x:v>Открыть позицию</x:v>
      </x:c>
    </x:row>
    <x:row r="148" ht="28" customHeight="1">
      <x:c r="A148" s="16" t="str">
        <x:v>Приморская ГРЭС</x:v>
      </x:c>
      <x:c r="B148" s="16" t="str">
        <x:v>2000026907-U117</x:v>
      </x:c>
      <x:c r="C148" s="16" t="str">
        <x:v>КОЛЬЦО КОМПРЕССИОННОЕ ЦНД34.05.00.04-002</x:v>
      </x:c>
      <x:c r="D148" s="16" t="str">
        <x:v>Запасные части к локомотивам</x:v>
      </x:c>
      <x:c r="E148" s="16" t="str">
        <x:v>ШТ</x:v>
      </x:c>
      <x:c r="F148" s="21" t="n">
        <x:v>50</x:v>
      </x:c>
      <x:c r="G148" s="17" t="n">
        <x:v>291.4092</x:v>
      </x:c>
      <x:c r="H148" s="17" t="n">
        <x:f>G148*F148</x:f>
        <x:v>14570.46</x:v>
      </x:c>
      <x:c r="I148" s="22" t="str">
        <x:f>HYPERLINK("https://etp-aktiv.ru/catalog/materialy/zapasnye-chasti-k-zhd-oborudovaniyu-i-podvizhnomu-sostavu/2000026907-U117/","Открыть позицию")</x:f>
        <x:v>Открыть позицию</x:v>
      </x:c>
    </x:row>
    <x:row r="149" ht="28" customHeight="1">
      <x:c r="A149" s="16" t="str">
        <x:v>Приморская ГРЭС</x:v>
      </x:c>
      <x:c r="B149" s="16" t="str">
        <x:v>2000592819-U117</x:v>
      </x:c>
      <x:c r="C149" s="16" t="str">
        <x:v>КОЛЬЦО КСВ 200-200 Н18.36.40.09</x:v>
      </x:c>
      <x:c r="D149" s="16" t="str">
        <x:v>Запасные части к энергетическим насосам</x:v>
      </x:c>
      <x:c r="E149" s="16" t="str">
        <x:v>ШТ</x:v>
      </x:c>
      <x:c r="F149" s="21" t="n">
        <x:v>6</x:v>
      </x:c>
      <x:c r="G149" s="17" t="n">
        <x:v>37515</x:v>
      </x:c>
      <x:c r="H149" s="17" t="n">
        <x:f>G149*F149</x:f>
        <x:v>225090</x:v>
      </x:c>
      <x:c r="I149" s="22" t="str">
        <x:f>HYPERLINK("https://etp-aktiv.ru/catalog/materialy/zapasnye-chasti-promyshlennogo-oborudovaniya/2000592819-U117/","Открыть позицию")</x:f>
        <x:v>Открыть позицию</x:v>
      </x:c>
    </x:row>
    <x:row r="150" ht="28" customHeight="1">
      <x:c r="A150" s="16" t="str">
        <x:v>Приморская ГРЭС</x:v>
      </x:c>
      <x:c r="B150" s="16" t="str">
        <x:v>2000590291-U117</x:v>
      </x:c>
      <x:c r="C150" s="16" t="str">
        <x:v>КОЛЬЦО Н.17.190.101.02Р ПЭ-380-185/200</x:v>
      </x:c>
      <x:c r="D150" s="16" t="str">
        <x:v>Запасные части к энергетическим насосам</x:v>
      </x:c>
      <x:c r="E150" s="16" t="str">
        <x:v>ШТ</x:v>
      </x:c>
      <x:c r="F150" s="21" t="n">
        <x:v>2</x:v>
      </x:c>
      <x:c r="G150" s="17" t="n">
        <x:v>24965.774999999998</x:v>
      </x:c>
      <x:c r="H150" s="17" t="n">
        <x:f>G150*F150</x:f>
        <x:v>49931.549999999996</x:v>
      </x:c>
      <x:c r="I150" s="22" t="str">
        <x:f>HYPERLINK("https://etp-aktiv.ru/catalog/materialy/zapasnye-chasti-promyshlennogo-oborudovaniya/2000590291-U117/","Открыть позицию")</x:f>
        <x:v>Открыть позицию</x:v>
      </x:c>
    </x:row>
    <x:row r="151" ht="28" customHeight="1">
      <x:c r="A151" s="16" t="str">
        <x:v>Приморская ГРЭС</x:v>
      </x:c>
      <x:c r="B151" s="16" t="str">
        <x:v>2000590292-U117</x:v>
      </x:c>
      <x:c r="C151" s="16" t="str">
        <x:v>КОЛЬЦО Н17.59.104.08Р НАСОС ПЭ</x:v>
      </x:c>
      <x:c r="D151" s="16" t="str">
        <x:v>Запасные части к энергетическим насосам</x:v>
      </x:c>
      <x:c r="E151" s="16" t="str">
        <x:v>ШТ</x:v>
      </x:c>
      <x:c r="F151" s="21" t="n">
        <x:v>67</x:v>
      </x:c>
      <x:c r="G151" s="17" t="n">
        <x:v>8917.6632</x:v>
      </x:c>
      <x:c r="H151" s="17" t="n">
        <x:f>G151*F151</x:f>
        <x:v>597483.4344</x:v>
      </x:c>
      <x:c r="I151" s="22" t="str">
        <x:f>HYPERLINK("https://etp-aktiv.ru/catalog/materialy/zapasnye-chasti-promyshlennogo-oborudovaniya/2000590292-U117/","Открыть позицию")</x:f>
        <x:v>Открыть позицию</x:v>
      </x:c>
    </x:row>
    <x:row r="152" ht="28" customHeight="1">
      <x:c r="A152" s="16" t="str">
        <x:v>Приморская ГРЭС</x:v>
      </x:c>
      <x:c r="B152" s="16" t="str">
        <x:v>2000534181-U117</x:v>
      </x:c>
      <x:c r="C152" s="16" t="str">
        <x:v>КОЛЬЦО Н17.59.104.09Р ПЭ 380-185/200-3</x:v>
      </x:c>
      <x:c r="D152" s="16" t="str">
        <x:v>Запасные части к насосам</x:v>
      </x:c>
      <x:c r="E152" s="16" t="str">
        <x:v>ШТ</x:v>
      </x:c>
      <x:c r="F152" s="21" t="n">
        <x:v>51</x:v>
      </x:c>
      <x:c r="G152" s="17" t="n">
        <x:v>8921.25</x:v>
      </x:c>
      <x:c r="H152" s="17" t="n">
        <x:f>G152*F152</x:f>
        <x:v>454983.75</x:v>
      </x:c>
      <x:c r="I152" s="22" t="str">
        <x:f>HYPERLINK("https://etp-aktiv.ru/catalog/materialy/zapasnye-chasti-promyshlennogo-oborudovaniya/2000534181-U117/","Открыть позицию")</x:f>
        <x:v>Открыть позицию</x:v>
      </x:c>
    </x:row>
    <x:row r="153" ht="28" customHeight="1">
      <x:c r="A153" s="16" t="str">
        <x:v>Приморская ГРЭС</x:v>
      </x:c>
      <x:c r="B153" s="16" t="str">
        <x:v>2000244164-U117</x:v>
      </x:c>
      <x:c r="C153" s="16" t="str">
        <x:v>КОЛЬЦО Н18.36.30.08</x:v>
      </x:c>
      <x:c r="D153" s="16" t="str">
        <x:v>Запасные части к энергетическим насосам</x:v>
      </x:c>
      <x:c r="E153" s="16" t="str">
        <x:v>ШТ</x:v>
      </x:c>
      <x:c r="F153" s="21" t="n">
        <x:v>3</x:v>
      </x:c>
      <x:c r="G153" s="17" t="n">
        <x:v>10888.5</x:v>
      </x:c>
      <x:c r="H153" s="17" t="n">
        <x:f>G153*F153</x:f>
        <x:v>32665.5</x:v>
      </x:c>
      <x:c r="I153" s="22" t="str">
        <x:f>HYPERLINK("https://etp-aktiv.ru/catalog/materialy/zapasnye-chasti-promyshlennogo-oborudovaniya/2000244164-U117/","Открыть позицию")</x:f>
        <x:v>Открыть позицию</x:v>
      </x:c>
    </x:row>
    <x:row r="154" ht="28" customHeight="1">
      <x:c r="A154" s="16" t="str">
        <x:v>Приморская ГРЭС</x:v>
      </x:c>
      <x:c r="B154" s="16" t="str">
        <x:v>2000705321-U117</x:v>
      </x:c>
      <x:c r="C154" s="16" t="str">
        <x:v>КОЛЬЦО ПЭ380-185 7.00.150.02</x:v>
      </x:c>
      <x:c r="D154" s="16" t="str">
        <x:v>Запасные части к энергетическим насосам</x:v>
      </x:c>
      <x:c r="E154" s="16" t="str">
        <x:v>ШТ</x:v>
      </x:c>
      <x:c r="F154" s="21" t="n">
        <x:v>2</x:v>
      </x:c>
      <x:c r="G154" s="17" t="n">
        <x:v>4626.0082</x:v>
      </x:c>
      <x:c r="H154" s="17" t="n">
        <x:f>G154*F154</x:f>
        <x:v>9252.0164</x:v>
      </x:c>
      <x:c r="I154" s="22" t="str">
        <x:f>HYPERLINK("https://etp-aktiv.ru/catalog/materialy/zapasnye-chasti-promyshlennogo-oborudovaniya/2000705321-U117/","Открыть позицию")</x:f>
        <x:v>Открыть позицию</x:v>
      </x:c>
    </x:row>
    <x:row r="155" ht="28" customHeight="1">
      <x:c r="A155" s="16" t="str">
        <x:v>Приморская ГРЭС</x:v>
      </x:c>
      <x:c r="B155" s="16" t="str">
        <x:v>2000705259-U117</x:v>
      </x:c>
      <x:c r="C155" s="16" t="str">
        <x:v>КОЛЬЦО ПЭ380-185 7.00.150.03</x:v>
      </x:c>
      <x:c r="D155" s="16" t="str">
        <x:v>Запасные части к энергетическим насосам</x:v>
      </x:c>
      <x:c r="E155" s="16" t="str">
        <x:v>ШТ</x:v>
      </x:c>
      <x:c r="F155" s="21" t="n">
        <x:v>2</x:v>
      </x:c>
      <x:c r="G155" s="17" t="n">
        <x:v>4626.0082</x:v>
      </x:c>
      <x:c r="H155" s="17" t="n">
        <x:f>G155*F155</x:f>
        <x:v>9252.0164</x:v>
      </x:c>
      <x:c r="I155" s="22" t="str">
        <x:f>HYPERLINK("https://etp-aktiv.ru/catalog/materialy/zapasnye-chasti-promyshlennogo-oborudovaniya/2000705259-U117/","Открыть позицию")</x:f>
        <x:v>Открыть позицию</x:v>
      </x:c>
    </x:row>
    <x:row r="156" ht="28" customHeight="1">
      <x:c r="A156" s="16" t="str">
        <x:v>Приморская ГРЭС</x:v>
      </x:c>
      <x:c r="B156" s="16" t="str">
        <x:v>2000534091-U117</x:v>
      </x:c>
      <x:c r="C156" s="16" t="str">
        <x:v>КОЛЬЦО РЕЗ 115*5 Н410-62 ПЭ-500-180-2</x:v>
      </x:c>
      <x:c r="D156" s="16" t="str">
        <x:v>Запасные части к энергетическим насосам</x:v>
      </x:c>
      <x:c r="E156" s="16" t="str">
        <x:v>ШТ</x:v>
      </x:c>
      <x:c r="F156" s="21" t="n">
        <x:v>2</x:v>
      </x:c>
      <x:c r="G156" s="17" t="n">
        <x:v>329.9124</x:v>
      </x:c>
      <x:c r="H156" s="17" t="n">
        <x:f>G156*F156</x:f>
        <x:v>659.8248</x:v>
      </x:c>
      <x:c r="I156" s="22" t="str">
        <x:f>HYPERLINK("https://etp-aktiv.ru/catalog/materialy/zapasnye-chasti-promyshlennogo-oborudovaniya/2000534091-U117/","Открыть позицию")</x:f>
        <x:v>Открыть позицию</x:v>
      </x:c>
    </x:row>
    <x:row r="157" ht="28" customHeight="1">
      <x:c r="A157" s="16" t="str">
        <x:v>Приморская ГРЭС</x:v>
      </x:c>
      <x:c r="B157" s="16" t="str">
        <x:v>2000534092-U117</x:v>
      </x:c>
      <x:c r="C157" s="16" t="str">
        <x:v>КОЛЬЦО РЕЗ 150*5 Н410-62 ПЭ-500-180-2</x:v>
      </x:c>
      <x:c r="D157" s="16" t="str">
        <x:v>Запасные части к энергетическим насосам</x:v>
      </x:c>
      <x:c r="E157" s="16" t="str">
        <x:v>ШТ</x:v>
      </x:c>
      <x:c r="F157" s="21" t="n">
        <x:v>3</x:v>
      </x:c>
      <x:c r="G157" s="17" t="n">
        <x:v>494.78319999999997</x:v>
      </x:c>
      <x:c r="H157" s="17" t="n">
        <x:f>G157*F157</x:f>
        <x:v>1484.3496</x:v>
      </x:c>
      <x:c r="I157" s="22" t="str">
        <x:f>HYPERLINK("https://etp-aktiv.ru/catalog/materialy/zapasnye-chasti-promyshlennogo-oborudovaniya/2000534092-U117/","Открыть позицию")</x:f>
        <x:v>Открыть позицию</x:v>
      </x:c>
    </x:row>
    <x:row r="158" ht="28" customHeight="1">
      <x:c r="A158" s="16" t="str">
        <x:v>Приморская ГРЭС</x:v>
      </x:c>
      <x:c r="B158" s="16" t="str">
        <x:v>2000534094-U117</x:v>
      </x:c>
      <x:c r="C158" s="16" t="str">
        <x:v>КОЛЬЦО РЕЗ 187*5 Н410-62 ПЭ-500-180-2</x:v>
      </x:c>
      <x:c r="D158" s="16" t="str">
        <x:v>Запасные части к энергетическим насосам</x:v>
      </x:c>
      <x:c r="E158" s="16" t="str">
        <x:v>ШТ</x:v>
      </x:c>
      <x:c r="F158" s="21" t="n">
        <x:v>2</x:v>
      </x:c>
      <x:c r="G158" s="17" t="n">
        <x:v>541.9118</x:v>
      </x:c>
      <x:c r="H158" s="17" t="n">
        <x:f>G158*F158</x:f>
        <x:v>1083.8236</x:v>
      </x:c>
      <x:c r="I158" s="22" t="str">
        <x:f>HYPERLINK("https://etp-aktiv.ru/catalog/materialy/zapasnye-chasti-promyshlennogo-oborudovaniya/2000534094-U117/","Открыть позицию")</x:f>
        <x:v>Открыть позицию</x:v>
      </x:c>
    </x:row>
    <x:row r="159" ht="28" customHeight="1">
      <x:c r="A159" s="16" t="str">
        <x:v>Приморская ГРЭС</x:v>
      </x:c>
      <x:c r="B159" s="16" t="str">
        <x:v>2000592877-U117</x:v>
      </x:c>
      <x:c r="C159" s="16" t="str">
        <x:v>КОЛЬЦО РЕЗИНОВОЕ ПЭ-250-180 86*5 Н410-62</x:v>
      </x:c>
      <x:c r="D159" s="16" t="str">
        <x:v>Запасные части к энергетическим насосам</x:v>
      </x:c>
      <x:c r="E159" s="16" t="str">
        <x:v>ШТ</x:v>
      </x:c>
      <x:c r="F159" s="21" t="n">
        <x:v>4</x:v>
      </x:c>
      <x:c r="G159" s="17" t="n">
        <x:v>577.975</x:v>
      </x:c>
      <x:c r="H159" s="17" t="n">
        <x:f>G159*F159</x:f>
        <x:v>2311.9</x:v>
      </x:c>
      <x:c r="I159" s="22" t="str">
        <x:f>HYPERLINK("https://etp-aktiv.ru/catalog/materialy/zapasnye-chasti-promyshlennogo-oborudovaniya/2000592877-U117/","Открыть позицию")</x:f>
        <x:v>Открыть позицию</x:v>
      </x:c>
    </x:row>
    <x:row r="160" ht="28" customHeight="1">
      <x:c r="A160" s="16" t="str">
        <x:v>Приморская ГРЭС</x:v>
      </x:c>
      <x:c r="B160" s="16" t="str">
        <x:v>2000766675-U117</x:v>
      </x:c>
      <x:c r="C160" s="16" t="str">
        <x:v>КОЛЬЦО ТОРЦЕВОГО УПЛОТНЕНИЯ Т07.00.00</x:v>
      </x:c>
      <x:c r="D160" s="16" t="str">
        <x:v>Запасные части к энергетическим насосам</x:v>
      </x:c>
      <x:c r="E160" s="16" t="str">
        <x:v>КМП</x:v>
      </x:c>
      <x:c r="F160" s="21" t="n">
        <x:v>4</x:v>
      </x:c>
      <x:c r="G160" s="17" t="n">
        <x:v>37406.603</x:v>
      </x:c>
      <x:c r="H160" s="17" t="n">
        <x:f>G160*F160</x:f>
        <x:v>149626.412</x:v>
      </x:c>
      <x:c r="I160" s="22" t="str">
        <x:f>HYPERLINK("https://etp-aktiv.ru/catalog/materialy/zapasnye-chasti-promyshlennogo-oborudovaniya/2000766675-U117/","Открыть позицию")</x:f>
        <x:v>Открыть позицию</x:v>
      </x:c>
    </x:row>
    <x:row r="161" ht="28" customHeight="1">
      <x:c r="A161" s="16" t="str">
        <x:v>Приморская ГРЭС</x:v>
      </x:c>
      <x:c r="B161" s="16" t="str">
        <x:v>2000724829-U117</x:v>
      </x:c>
      <x:c r="C161" s="16" t="str">
        <x:v>КОЛЬЦО УПЛ ПЭ-270-150-4 Н17.196.170.04К</x:v>
      </x:c>
      <x:c r="D161" s="16" t="str">
        <x:v>Запасные части к энергетическим насосам</x:v>
      </x:c>
      <x:c r="E161" s="16" t="str">
        <x:v>ШТ</x:v>
      </x:c>
      <x:c r="F161" s="21" t="n">
        <x:v>3</x:v>
      </x:c>
      <x:c r="G161" s="17" t="n">
        <x:v>23744.25</x:v>
      </x:c>
      <x:c r="H161" s="17" t="n">
        <x:f>G161*F161</x:f>
        <x:v>71232.75</x:v>
      </x:c>
      <x:c r="I161" s="22" t="str">
        <x:f>HYPERLINK("https://etp-aktiv.ru/catalog/materialy/zapasnye-chasti-promyshlennogo-oborudovaniya/2000724829-U117/","Открыть позицию")</x:f>
        <x:v>Открыть позицию</x:v>
      </x:c>
    </x:row>
    <x:row r="162" ht="28" customHeight="1">
      <x:c r="A162" s="16" t="str">
        <x:v>Приморская ГРЭС</x:v>
      </x:c>
      <x:c r="B162" s="16" t="str">
        <x:v>2000534156-U117</x:v>
      </x:c>
      <x:c r="C162" s="16" t="str">
        <x:v>КОЛЬЦО УПЛОТ IСТ 5М.05-02В ПЭ270-150</x:v>
      </x:c>
      <x:c r="D162" s="16" t="str">
        <x:v>Запасные части к энергетическим насосам</x:v>
      </x:c>
      <x:c r="E162" s="16" t="str">
        <x:v>ШТ</x:v>
      </x:c>
      <x:c r="F162" s="21" t="n">
        <x:v>1</x:v>
      </x:c>
      <x:c r="G162" s="17" t="n">
        <x:v>16783.5156</x:v>
      </x:c>
      <x:c r="H162" s="17" t="n">
        <x:f>G162*F162</x:f>
        <x:v>16783.5156</x:v>
      </x:c>
      <x:c r="I162" s="22" t="str">
        <x:f>HYPERLINK("https://etp-aktiv.ru/catalog/materialy/zapasnye-chasti-promyshlennogo-oborudovaniya/2000534156-U117/","Открыть позицию")</x:f>
        <x:v>Открыть позицию</x:v>
      </x:c>
    </x:row>
    <x:row r="163" ht="28" customHeight="1">
      <x:c r="A163" s="16" t="str">
        <x:v>Приморская ГРЭС</x:v>
      </x:c>
      <x:c r="B163" s="16" t="str">
        <x:v>2000534228-U117</x:v>
      </x:c>
      <x:c r="C163" s="16" t="str">
        <x:v>КОЛЬЦО УПЛОТ Н17.59.104.09Р ПЭ580-185-3</x:v>
      </x:c>
      <x:c r="D163" s="16" t="str">
        <x:v>Запасные части к энергетическим насосам</x:v>
      </x:c>
      <x:c r="E163" s="16" t="str">
        <x:v>ШТ</x:v>
      </x:c>
      <x:c r="F163" s="21" t="n">
        <x:v>9</x:v>
      </x:c>
      <x:c r="G163" s="17" t="n">
        <x:v>10980</x:v>
      </x:c>
      <x:c r="H163" s="17" t="n">
        <x:f>G163*F163</x:f>
        <x:v>98820</x:v>
      </x:c>
      <x:c r="I163" s="22" t="str">
        <x:f>HYPERLINK("https://etp-aktiv.ru/catalog/materialy/zapasnye-chasti-promyshlennogo-oborudovaniya/2000534228-U117/","Открыть позицию")</x:f>
        <x:v>Открыть позицию</x:v>
      </x:c>
    </x:row>
    <x:row r="164" ht="28" customHeight="1">
      <x:c r="A164" s="16" t="str">
        <x:v>Приморская ГРЭС</x:v>
      </x:c>
      <x:c r="B164" s="16" t="str">
        <x:v>2000534184-U117</x:v>
      </x:c>
      <x:c r="C164" s="16" t="str">
        <x:v>КОЛЬЦО УПЛОТ Н18.38.40.09 КСВ 320-160-2</x:v>
      </x:c>
      <x:c r="D164" s="16" t="str">
        <x:v>Запасные части к энергетическим насосам</x:v>
      </x:c>
      <x:c r="E164" s="16" t="str">
        <x:v>ШТ</x:v>
      </x:c>
      <x:c r="F164" s="21" t="n">
        <x:v>5</x:v>
      </x:c>
      <x:c r="G164" s="17" t="n">
        <x:v>11014.318599999999</x:v>
      </x:c>
      <x:c r="H164" s="17" t="n">
        <x:f>G164*F164</x:f>
        <x:v>55071.59299999999</x:v>
      </x:c>
      <x:c r="I164" s="22" t="str">
        <x:f>HYPERLINK("https://etp-aktiv.ru/catalog/materialy/zapasnye-chasti-promyshlennogo-oborudovaniya/2000534184-U117/","Открыть позицию")</x:f>
        <x:v>Открыть позицию</x:v>
      </x:c>
    </x:row>
    <x:row r="165" ht="28" customHeight="1">
      <x:c r="A165" s="16" t="str">
        <x:v>Приморская ГРЭС</x:v>
      </x:c>
      <x:c r="B165" s="16" t="str">
        <x:v>2000716174-U117</x:v>
      </x:c>
      <x:c r="C165" s="16" t="str">
        <x:v>КОЛЬЦО УПЛОТНИТЕЛЬНОЕ 5М-05-02Р</x:v>
      </x:c>
      <x:c r="D165" s="16" t="str">
        <x:v>@Запасные части к насосам</x:v>
      </x:c>
      <x:c r="E165" s="16" t="str">
        <x:v>ШТ</x:v>
      </x:c>
      <x:c r="F165" s="21" t="n">
        <x:v>2</x:v>
      </x:c>
      <x:c r="G165" s="17" t="n">
        <x:v>13983.3472</x:v>
      </x:c>
      <x:c r="H165" s="17" t="n">
        <x:f>G165*F165</x:f>
        <x:v>27966.6944</x:v>
      </x:c>
      <x:c r="I165" s="22" t="str">
        <x:f>HYPERLINK("https://etp-aktiv.ru/catalog/materialy/nasosno-kompressornoe-oborudovanie/2000716174-U117/","Открыть позицию")</x:f>
        <x:v>Открыть позицию</x:v>
      </x:c>
    </x:row>
    <x:row r="166" ht="28" customHeight="1">
      <x:c r="A166" s="16" t="str">
        <x:v>Приморская ГРЭС</x:v>
      </x:c>
      <x:c r="B166" s="16" t="str">
        <x:v>2000724047-U117</x:v>
      </x:c>
      <x:c r="C166" s="16" t="str">
        <x:v>КОЛЬЦО УПЛОТНИТЕЛЬНОЕ КСД230-115 Г-16347</x:v>
      </x:c>
      <x:c r="D166" s="16" t="str">
        <x:v>Запасные части к энергетическим насосам</x:v>
      </x:c>
      <x:c r="E166" s="16" t="str">
        <x:v>ШТ</x:v>
      </x:c>
      <x:c r="F166" s="21" t="n">
        <x:v>12</x:v>
      </x:c>
      <x:c r="G166" s="17" t="n">
        <x:v>33851.95</x:v>
      </x:c>
      <x:c r="H166" s="17" t="n">
        <x:f>G166*F166</x:f>
        <x:v>406223.39999999997</x:v>
      </x:c>
      <x:c r="I166" s="22" t="str">
        <x:f>HYPERLINK("https://etp-aktiv.ru/catalog/materialy/zapasnye-chasti-promyshlennogo-oborudovaniya/2000724047-U117/","Открыть позицию")</x:f>
        <x:v>Открыть позицию</x:v>
      </x:c>
    </x:row>
    <x:row r="167" ht="28" customHeight="1">
      <x:c r="A167" s="16" t="str">
        <x:v>Приморская ГРЭС</x:v>
      </x:c>
      <x:c r="B167" s="16" t="str">
        <x:v>2000724046-U117</x:v>
      </x:c>
      <x:c r="C167" s="16" t="str">
        <x:v>КОЛЬЦО УПЛОТНИТЕЛЬНОЕ КСД230-115 Г-47112</x:v>
      </x:c>
      <x:c r="D167" s="16" t="str">
        <x:v>Запасные части к энергетическим насосам</x:v>
      </x:c>
      <x:c r="E167" s="16" t="str">
        <x:v>ШТ</x:v>
      </x:c>
      <x:c r="F167" s="21" t="n">
        <x:v>6</x:v>
      </x:c>
      <x:c r="G167" s="17" t="n">
        <x:v>6215.7048</x:v>
      </x:c>
      <x:c r="H167" s="17" t="n">
        <x:f>G167*F167</x:f>
        <x:v>37294.228800000004</x:v>
      </x:c>
      <x:c r="I167" s="22" t="str">
        <x:f>HYPERLINK("https://etp-aktiv.ru/catalog/materialy/zapasnye-chasti-promyshlennogo-oborudovaniya/2000724046-U117/","Открыть позицию")</x:f>
        <x:v>Открыть позицию</x:v>
      </x:c>
    </x:row>
    <x:row r="168" ht="28" customHeight="1">
      <x:c r="A168" s="16" t="str">
        <x:v>Приморская ГРЭС</x:v>
      </x:c>
      <x:c r="B168" s="16" t="str">
        <x:v>2000534148-U117</x:v>
      </x:c>
      <x:c r="C168" s="16" t="str">
        <x:v>КОЛЬЦО УПЛОТНИТЕЛЬНОЕ Н17.59.104.08Р ПЭ</x:v>
      </x:c>
      <x:c r="D168" s="16" t="str">
        <x:v>Запасные части к насосам</x:v>
      </x:c>
      <x:c r="E168" s="16" t="str">
        <x:v>ШТ</x:v>
      </x:c>
      <x:c r="F168" s="21" t="n">
        <x:v>29</x:v>
      </x:c>
      <x:c r="G168" s="17" t="n">
        <x:v>4079.6433999999995</x:v>
      </x:c>
      <x:c r="H168" s="17" t="n">
        <x:f>G168*F168</x:f>
        <x:v>118309.65859999998</x:v>
      </x:c>
      <x:c r="I168" s="22" t="str">
        <x:f>HYPERLINK("https://etp-aktiv.ru/catalog/materialy/zapasnye-chasti-promyshlennogo-oborudovaniya/2000534148-U117/","Открыть позицию")</x:f>
        <x:v>Открыть позицию</x:v>
      </x:c>
    </x:row>
    <x:row r="169" ht="28" customHeight="1">
      <x:c r="A169" s="16" t="str">
        <x:v>Приморская ГРЭС</x:v>
      </x:c>
      <x:c r="B169" s="16" t="str">
        <x:v>2000736649-U117</x:v>
      </x:c>
      <x:c r="C169" s="16" t="str">
        <x:v>КОРД МУФТЫ К-5290.00.01 МВ 3300/800/490</x:v>
      </x:c>
      <x:c r="D169" s="16" t="str">
        <x:v>Запасные части к мельницам</x:v>
      </x:c>
      <x:c r="E169" s="16" t="str">
        <x:v>ШТ</x:v>
      </x:c>
      <x:c r="F169" s="21" t="n">
        <x:v>60</x:v>
      </x:c>
      <x:c r="G169" s="17" t="n">
        <x:v>9999.912999999999</x:v>
      </x:c>
      <x:c r="H169" s="17" t="n">
        <x:f>G169*F169</x:f>
        <x:v>599994.7799999999</x:v>
      </x:c>
      <x:c r="I169" s="22" t="str">
        <x:f>HYPERLINK("https://etp-aktiv.ru/catalog/materialy/zapasnye-chasti-promyshlennogo-oborudovaniya/2000736649-U117/","Открыть позицию")</x:f>
        <x:v>Открыть позицию</x:v>
      </x:c>
    </x:row>
    <x:row r="170" ht="28" customHeight="1">
      <x:c r="A170" s="16" t="str">
        <x:v>Приморская ГРЭС</x:v>
      </x:c>
      <x:c r="B170" s="16" t="str">
        <x:v>2000736650-U117</x:v>
      </x:c>
      <x:c r="C170" s="16" t="str">
        <x:v>КОРД МУФТЫ К-5290.00.02 МВ 3300/800/490</x:v>
      </x:c>
      <x:c r="D170" s="16" t="str">
        <x:v>Запасные части к мельницам</x:v>
      </x:c>
      <x:c r="E170" s="16" t="str">
        <x:v>ШТ</x:v>
      </x:c>
      <x:c r="F170" s="21" t="n">
        <x:v>61</x:v>
      </x:c>
      <x:c r="G170" s="17" t="n">
        <x:v>9233.5212</x:v>
      </x:c>
      <x:c r="H170" s="17" t="n">
        <x:f>G170*F170</x:f>
        <x:v>563244.7932</x:v>
      </x:c>
      <x:c r="I170" s="22" t="str">
        <x:f>HYPERLINK("https://etp-aktiv.ru/catalog/materialy/zapasnye-chasti-promyshlennogo-oborudovaniya/2000736650-U117/","Открыть позицию")</x:f>
        <x:v>Открыть позицию</x:v>
      </x:c>
    </x:row>
    <x:row r="171" ht="28" customHeight="1">
      <x:c r="A171" s="16" t="str">
        <x:v>Приморская ГРЭС</x:v>
      </x:c>
      <x:c r="B171" s="16" t="str">
        <x:v>2000736651-U117</x:v>
      </x:c>
      <x:c r="C171" s="16" t="str">
        <x:v>КОРД МУФТЫ К-5290.00.03 МВ 3300/800/490</x:v>
      </x:c>
      <x:c r="D171" s="16" t="str">
        <x:v>Запасные части к мельницам</x:v>
      </x:c>
      <x:c r="E171" s="16" t="str">
        <x:v>ШТ</x:v>
      </x:c>
      <x:c r="F171" s="21" t="n">
        <x:v>59</x:v>
      </x:c>
      <x:c r="G171" s="17" t="n">
        <x:v>8062.98</x:v>
      </x:c>
      <x:c r="H171" s="17" t="n">
        <x:f>G171*F171</x:f>
        <x:v>475715.81999999995</x:v>
      </x:c>
      <x:c r="I171" s="22" t="str">
        <x:f>HYPERLINK("https://etp-aktiv.ru/catalog/materialy/zapasnye-chasti-promyshlennogo-oborudovaniya/2000736651-U117/","Открыть позицию")</x:f>
        <x:v>Открыть позицию</x:v>
      </x:c>
    </x:row>
    <x:row r="172" ht="28" customHeight="1">
      <x:c r="A172" s="16" t="str">
        <x:v>Приморская ГРЭС</x:v>
      </x:c>
      <x:c r="B172" s="16" t="str">
        <x:v>2000736652-U117</x:v>
      </x:c>
      <x:c r="C172" s="16" t="str">
        <x:v>КОРД МУФТЫ К-5290.00.04 МВ 3300/800/490</x:v>
      </x:c>
      <x:c r="D172" s="16" t="str">
        <x:v>Запасные части к мельницам</x:v>
      </x:c>
      <x:c r="E172" s="16" t="str">
        <x:v>ШТ</x:v>
      </x:c>
      <x:c r="F172" s="21" t="n">
        <x:v>68</x:v>
      </x:c>
      <x:c r="G172" s="17" t="n">
        <x:v>7453.2484</x:v>
      </x:c>
      <x:c r="H172" s="17" t="n">
        <x:f>G172*F172</x:f>
        <x:v>506820.8912</x:v>
      </x:c>
      <x:c r="I172" s="22" t="str">
        <x:f>HYPERLINK("https://etp-aktiv.ru/catalog/materialy/zapasnye-chasti-promyshlennogo-oborudovaniya/2000736652-U117/","Открыть позицию")</x:f>
        <x:v>Открыть позицию</x:v>
      </x:c>
    </x:row>
    <x:row r="173" ht="28" customHeight="1">
      <x:c r="A173" s="16" t="str">
        <x:v>Приморская ГРЭС</x:v>
      </x:c>
      <x:c r="B173" s="16" t="str">
        <x:v>2000736653-U117</x:v>
      </x:c>
      <x:c r="C173" s="16" t="str">
        <x:v>КОРД МУФТЫ К-5290.00.05 МВ 3300/800/490</x:v>
      </x:c>
      <x:c r="D173" s="16" t="str">
        <x:v>Запасные части к мельницам</x:v>
      </x:c>
      <x:c r="E173" s="16" t="str">
        <x:v>ШТ</x:v>
      </x:c>
      <x:c r="F173" s="21" t="n">
        <x:v>73</x:v>
      </x:c>
      <x:c r="G173" s="17" t="n">
        <x:v>6974.678999999999</x:v>
      </x:c>
      <x:c r="H173" s="17" t="n">
        <x:f>G173*F173</x:f>
        <x:v>509151.5669999999</x:v>
      </x:c>
      <x:c r="I173" s="22" t="str">
        <x:f>HYPERLINK("https://etp-aktiv.ru/catalog/materialy/zapasnye-chasti-promyshlennogo-oborudovaniya/2000736653-U117/","Открыть позицию")</x:f>
        <x:v>Открыть позицию</x:v>
      </x:c>
    </x:row>
    <x:row r="174" ht="28" customHeight="1">
      <x:c r="A174" s="16" t="str">
        <x:v>Приморская ГРЭС</x:v>
      </x:c>
      <x:c r="B174" s="16" t="str">
        <x:v>2000736654-U117</x:v>
      </x:c>
      <x:c r="C174" s="16" t="str">
        <x:v>КОРД МУФТЫ К-5290.00.06 МВ 3300/800/490</x:v>
      </x:c>
      <x:c r="D174" s="16" t="str">
        <x:v>Запасные части к мельницам</x:v>
      </x:c>
      <x:c r="E174" s="16" t="str">
        <x:v>ШТ</x:v>
      </x:c>
      <x:c r="F174" s="21" t="n">
        <x:v>73</x:v>
      </x:c>
      <x:c r="G174" s="17" t="n">
        <x:v>4388.8402</x:v>
      </x:c>
      <x:c r="H174" s="17" t="n">
        <x:f>G174*F174</x:f>
        <x:v>320385.3346</x:v>
      </x:c>
      <x:c r="I174" s="22" t="str">
        <x:f>HYPERLINK("https://etp-aktiv.ru/catalog/materialy/zapasnye-chasti-promyshlennogo-oborudovaniya/2000736654-U117/","Открыть позицию")</x:f>
        <x:v>Открыть позицию</x:v>
      </x:c>
    </x:row>
    <x:row r="175" ht="28" customHeight="1">
      <x:c r="A175" s="16" t="str">
        <x:v>Приморская ГРЭС</x:v>
      </x:c>
      <x:c r="B175" s="16" t="str">
        <x:v>2000736655-U117</x:v>
      </x:c>
      <x:c r="C175" s="16" t="str">
        <x:v>КОРД МУФТЫ К-5290.00.07 МВ 3300/800/490</x:v>
      </x:c>
      <x:c r="D175" s="16" t="str">
        <x:v>Запасные части к мельницам</x:v>
      </x:c>
      <x:c r="E175" s="16" t="str">
        <x:v>ШТ</x:v>
      </x:c>
      <x:c r="F175" s="21" t="n">
        <x:v>73</x:v>
      </x:c>
      <x:c r="G175" s="17" t="n">
        <x:v>4519.6852</x:v>
      </x:c>
      <x:c r="H175" s="17" t="n">
        <x:f>G175*F175</x:f>
        <x:v>329937.0196</x:v>
      </x:c>
      <x:c r="I175" s="22" t="str">
        <x:f>HYPERLINK("https://etp-aktiv.ru/catalog/materialy/zapasnye-chasti-promyshlennogo-oborudovaniya/2000736655-U117/","Открыть позицию")</x:f>
        <x:v>Открыть позицию</x:v>
      </x:c>
    </x:row>
    <x:row r="176" ht="28" customHeight="1">
      <x:c r="A176" s="16" t="str">
        <x:v>Приморская ГРЭС</x:v>
      </x:c>
      <x:c r="B176" s="16" t="str">
        <x:v>2000736656-U117</x:v>
      </x:c>
      <x:c r="C176" s="16" t="str">
        <x:v>КОРД МУФТЫ К-5290.00.08 МВ 3300/800/490</x:v>
      </x:c>
      <x:c r="D176" s="16" t="str">
        <x:v>Запасные части к мельницам</x:v>
      </x:c>
      <x:c r="E176" s="16" t="str">
        <x:v>ШТ</x:v>
      </x:c>
      <x:c r="F176" s="21" t="n">
        <x:v>77</x:v>
      </x:c>
      <x:c r="G176" s="17" t="n">
        <x:v>2790.3718</x:v>
      </x:c>
      <x:c r="H176" s="17" t="n">
        <x:f>G176*F176</x:f>
        <x:v>214858.6286</x:v>
      </x:c>
      <x:c r="I176" s="22" t="str">
        <x:f>HYPERLINK("https://etp-aktiv.ru/catalog/materialy/zapasnye-chasti-promyshlennogo-oborudovaniya/2000736656-U117/","Открыть позицию")</x:f>
        <x:v>Открыть позицию</x:v>
      </x:c>
    </x:row>
    <x:row r="177" ht="28" customHeight="1">
      <x:c r="A177" s="16" t="str">
        <x:v>Приморская ГРЭС</x:v>
      </x:c>
      <x:c r="B177" s="16" t="str">
        <x:v>M2000720244-U117</x:v>
      </x:c>
      <x:c r="C177" s="16" t="str">
        <x:v>КОРПУС ДЫМОСОСА ДОД-28,5 03.8227.005МЧ</x:v>
      </x:c>
      <x:c r="D177" s="16" t="str">
        <x:v>Запасные части к вентиляционному оборудованию</x:v>
      </x:c>
      <x:c r="E177" s="16" t="str">
        <x:v>ШТ</x:v>
      </x:c>
      <x:c r="F177" s="21" t="n">
        <x:v>2</x:v>
      </x:c>
      <x:c r="G177" s="17" t="n">
        <x:v>2644112.7344</x:v>
      </x:c>
      <x:c r="H177" s="17" t="n">
        <x:f>G177*F177</x:f>
        <x:v>5288225.4688</x:v>
      </x:c>
      <x:c r="I177" s="22" t="str">
        <x:f>HYPERLINK("https://etp-aktiv.ru/catalog/materialy/zapasnye-chasti-promyshlennogo-oborudovaniya/M2000720244-U117/","Открыть позицию")</x:f>
        <x:v>Открыть позицию</x:v>
      </x:c>
    </x:row>
    <x:row r="178" ht="28" customHeight="1">
      <x:c r="A178" s="16" t="str">
        <x:v>Приморская ГРЭС</x:v>
      </x:c>
      <x:c r="B178" s="16" t="str">
        <x:v>2000716179-U117</x:v>
      </x:c>
      <x:c r="C178" s="16" t="str">
        <x:v>КОРПУС ПОДШИПНИКА ОПВ В-32865СБ</x:v>
      </x:c>
      <x:c r="D178" s="16" t="str">
        <x:v>Запасные части к энергетическим насосам</x:v>
      </x:c>
      <x:c r="E178" s="16" t="str">
        <x:v>ШТ</x:v>
      </x:c>
      <x:c r="F178" s="21" t="n">
        <x:v>2</x:v>
      </x:c>
      <x:c r="G178" s="17" t="n">
        <x:v>125000.0044</x:v>
      </x:c>
      <x:c r="H178" s="17" t="n">
        <x:f>G178*F178</x:f>
        <x:v>250000.0088</x:v>
      </x:c>
      <x:c r="I178" s="22" t="str">
        <x:f>HYPERLINK("https://etp-aktiv.ru/catalog/materialy/zapasnye-chasti-promyshlennogo-oborudovaniya/2000716179-U117/","Открыть позицию")</x:f>
        <x:v>Открыть позицию</x:v>
      </x:c>
    </x:row>
    <x:row r="179" ht="28" customHeight="1">
      <x:c r="A179" s="16" t="str">
        <x:v>Приморская ГРЭС</x:v>
      </x:c>
      <x:c r="B179" s="16" t="str">
        <x:v>2000377917-U117</x:v>
      </x:c>
      <x:c r="C179" s="16" t="str">
        <x:v>КРАН ШАРОВЫЙ DN25 BE335230</x:v>
      </x:c>
      <x:c r="D179" s="16" t="str">
        <x:v>Запчасти горно-шахтному оборудованию Caterpillar и DBT</x:v>
      </x:c>
      <x:c r="E179" s="16" t="str">
        <x:v>ШТ</x:v>
      </x:c>
      <x:c r="F179" s="21" t="n">
        <x:v>3</x:v>
      </x:c>
      <x:c r="G179" s="17" t="n">
        <x:v>2722.125</x:v>
      </x:c>
      <x:c r="H179" s="17" t="n">
        <x:f>G179*F179</x:f>
        <x:v>8166.375</x:v>
      </x:c>
      <x:c r="I179" s="22" t="str">
        <x:f>HYPERLINK("https://etp-aktiv.ru/catalog/materialy/zapasnye-chasti-k-gorno-shahtnomu-oborudovaniyu/2000377917-U117/","Открыть позицию")</x:f>
        <x:v>Открыть позицию</x:v>
      </x:c>
    </x:row>
    <x:row r="180" ht="28" customHeight="1">
      <x:c r="A180" s="16" t="str">
        <x:v>Приморская ГРЭС</x:v>
      </x:c>
      <x:c r="B180" s="16" t="str">
        <x:v>2000726753-U117</x:v>
      </x:c>
      <x:c r="C180" s="16" t="str">
        <x:v>КРОНШТЕЙН КРЕП ТОРЦ РОЛИК Т5205.00.00.СБ</x:v>
      </x:c>
      <x:c r="D180" s="16" t="str">
        <x:v>Запасные части к вагоноопрокидывателям</x:v>
      </x:c>
      <x:c r="E180" s="16" t="str">
        <x:v>ШТ</x:v>
      </x:c>
      <x:c r="F180" s="21" t="n">
        <x:v>2</x:v>
      </x:c>
      <x:c r="G180" s="17" t="n">
        <x:v>47004.574799999995</x:v>
      </x:c>
      <x:c r="H180" s="17" t="n">
        <x:f>G180*F180</x:f>
        <x:v>94009.14959999999</x:v>
      </x:c>
      <x:c r="I180" s="22" t="str">
        <x:f>HYPERLINK("https://etp-aktiv.ru/catalog/materialy/zapasnye-chasti-k-drobilno-sortirovochnomu-oborudovaniyu/2000726753-U117/","Открыть позицию")</x:f>
        <x:v>Открыть позицию</x:v>
      </x:c>
    </x:row>
    <x:row r="181" ht="28" customHeight="1">
      <x:c r="A181" s="16" t="str">
        <x:v>Приморская ГРЭС</x:v>
      </x:c>
      <x:c r="B181" s="16" t="str">
        <x:v>2000885006-U117</x:v>
      </x:c>
      <x:c r="C181" s="16" t="str">
        <x:v>КРУГ 11 150*40*32 63C F80 K 6V 40М/С 2КЛ</x:v>
      </x:c>
      <x:c r="D181" s="16" t="str">
        <x:v>Инструмент и спецоснастка</x:v>
      </x:c>
      <x:c r="E181" s="16" t="str">
        <x:v>ШТ</x:v>
      </x:c>
      <x:c r="F181" s="21" t="n">
        <x:v>3</x:v>
      </x:c>
      <x:c r="G181" s="17" t="n">
        <x:v>259.9332</x:v>
      </x:c>
      <x:c r="H181" s="17" t="n">
        <x:f>G181*F181</x:f>
        <x:v>779.7996</x:v>
      </x:c>
      <x:c r="I181" s="22" t="str">
        <x:f>HYPERLINK("https://etp-aktiv.ru/catalog/materialy/instrument-i-specosnastka/2000885006-U117/","Открыть позицию")</x:f>
        <x:v>Открыть позицию</x:v>
      </x:c>
    </x:row>
    <x:row r="182" ht="28" customHeight="1">
      <x:c r="A182" s="16" t="str">
        <x:v>Приморская ГРЭС</x:v>
      </x:c>
      <x:c r="B182" s="16" t="str">
        <x:v>2000578349-U117</x:v>
      </x:c>
      <x:c r="C182" s="16" t="str">
        <x:v>КРУГ АБРАЗИВНЫЙ 400*40*76 64С</x:v>
      </x:c>
      <x:c r="D182" s="16" t="str">
        <x:v>Инструмент и спецоснастка</x:v>
      </x:c>
      <x:c r="E182" s="16" t="str">
        <x:v>ШТ</x:v>
      </x:c>
      <x:c r="F182" s="21" t="n">
        <x:v>8</x:v>
      </x:c>
      <x:c r="G182" s="17" t="n">
        <x:v>1801.0738</x:v>
      </x:c>
      <x:c r="H182" s="17" t="n">
        <x:f>G182*F182</x:f>
        <x:v>14408.5904</x:v>
      </x:c>
      <x:c r="I182" s="22" t="str">
        <x:f>HYPERLINK("https://etp-aktiv.ru/catalog/materialy/instrument-i-specosnastka/2000578349-U117/","Открыть позицию")</x:f>
        <x:v>Открыть позицию</x:v>
      </x:c>
    </x:row>
    <x:row r="183" ht="28" customHeight="1">
      <x:c r="A183" s="16" t="str">
        <x:v>Приморская ГРЭС</x:v>
      </x:c>
      <x:c r="B183" s="16" t="str">
        <x:v>2000717969-U117</x:v>
      </x:c>
      <x:c r="C183" s="16" t="str">
        <x:v>КРУГ АЛМАЗНЫЙ 150*20*3*40*32 А2-45</x:v>
      </x:c>
      <x:c r="D183" s="16" t="str">
        <x:v>Инструмент и спецоснастка</x:v>
      </x:c>
      <x:c r="E183" s="16" t="str">
        <x:v>ШТ</x:v>
      </x:c>
      <x:c r="F183" s="21" t="n">
        <x:v>3</x:v>
      </x:c>
      <x:c r="G183" s="17" t="n">
        <x:v>1647.6832</x:v>
      </x:c>
      <x:c r="H183" s="17" t="n">
        <x:f>G183*F183</x:f>
        <x:v>4943.0496</x:v>
      </x:c>
      <x:c r="I183" s="22" t="str">
        <x:f>HYPERLINK("https://etp-aktiv.ru/catalog/materialy/instrument-i-specosnastka/2000717969-U117/","Открыть позицию")</x:f>
        <x:v>Открыть позицию</x:v>
      </x:c>
    </x:row>
    <x:row r="184" ht="28" customHeight="1">
      <x:c r="A184" s="16" t="str">
        <x:v>Приморская ГРЭС</x:v>
      </x:c>
      <x:c r="B184" s="16" t="str">
        <x:v>2000182605-U117</x:v>
      </x:c>
      <x:c r="C184" s="16" t="str">
        <x:v>КРУГ ЗАЧИСТНОЙ 150*20*32</x:v>
      </x:c>
      <x:c r="D184" s="16" t="str">
        <x:v>Инструмент и спецоснастка</x:v>
      </x:c>
      <x:c r="E184" s="16" t="str">
        <x:v>ШТ</x:v>
      </x:c>
      <x:c r="F184" s="21" t="n">
        <x:v>33</x:v>
      </x:c>
      <x:c r="G184" s="17" t="n">
        <x:v>143.81359999999998</x:v>
      </x:c>
      <x:c r="H184" s="17" t="n">
        <x:f>G184*F184</x:f>
        <x:v>4745.8488</x:v>
      </x:c>
      <x:c r="I184" s="22" t="str">
        <x:f>HYPERLINK("https://etp-aktiv.ru/catalog/materialy/instrument-i-specosnastka/2000182605-U117/","Открыть позицию")</x:f>
        <x:v>Открыть позицию</x:v>
      </x:c>
    </x:row>
    <x:row r="185" ht="28" customHeight="1">
      <x:c r="A185" s="16" t="str">
        <x:v>Приморская ГРЭС</x:v>
      </x:c>
      <x:c r="B185" s="16" t="str">
        <x:v>2000133428-U117</x:v>
      </x:c>
      <x:c r="C185" s="16" t="str">
        <x:v>КРУГ ЗАЧИСТНОЙ 150*6*22</x:v>
      </x:c>
      <x:c r="D185" s="16" t="str">
        <x:v>Инструмент и спецоснастка</x:v>
      </x:c>
      <x:c r="E185" s="16" t="str">
        <x:v>ШТ</x:v>
      </x:c>
      <x:c r="F185" s="21" t="n">
        <x:v>19</x:v>
      </x:c>
      <x:c r="G185" s="17" t="n">
        <x:v>79.5074</x:v>
      </x:c>
      <x:c r="H185" s="17" t="n">
        <x:f>G185*F185</x:f>
        <x:v>1510.6406000000002</x:v>
      </x:c>
      <x:c r="I185" s="22" t="str">
        <x:f>HYPERLINK("https://etp-aktiv.ru/catalog/materialy/instrument-i-specosnastka/2000133428-U117/","Открыть позицию")</x:f>
        <x:v>Открыть позицию</x:v>
      </x:c>
    </x:row>
    <x:row r="186" ht="28" customHeight="1">
      <x:c r="A186" s="16" t="str">
        <x:v>Приморская ГРЭС</x:v>
      </x:c>
      <x:c r="B186" s="16" t="str">
        <x:v>2000236403-U117</x:v>
      </x:c>
      <x:c r="C186" s="16" t="str">
        <x:v>КРУГ ОТРЕЗНОЙ 150*6*22 F36-F30</x:v>
      </x:c>
      <x:c r="D186" s="16" t="str">
        <x:v>Инструмент и спецоснастка</x:v>
      </x:c>
      <x:c r="E186" s="16" t="str">
        <x:v>ШТ</x:v>
      </x:c>
      <x:c r="F186" s="21" t="n">
        <x:v>5</x:v>
      </x:c>
      <x:c r="G186" s="17" t="n">
        <x:v>57.4498</x:v>
      </x:c>
      <x:c r="H186" s="17" t="n">
        <x:f>G186*F186</x:f>
        <x:v>287.249</x:v>
      </x:c>
      <x:c r="I186" s="22" t="str">
        <x:f>HYPERLINK("https://etp-aktiv.ru/catalog/materialy/instrument-i-specosnastka/2000236403-U117/","Открыть позицию")</x:f>
        <x:v>Открыть позицию</x:v>
      </x:c>
    </x:row>
    <x:row r="187" ht="28" customHeight="1">
      <x:c r="A187" s="16" t="str">
        <x:v>Приморская ГРЭС</x:v>
      </x:c>
      <x:c r="B187" s="16" t="str">
        <x:v>2000142582-U117</x:v>
      </x:c>
      <x:c r="C187" s="16" t="str">
        <x:v>КРУГ ОТРЕЗНОЙ 180*2,5*22 Р36</x:v>
      </x:c>
      <x:c r="D187" s="16" t="str">
        <x:v>Инструмент и спецоснастка</x:v>
      </x:c>
      <x:c r="E187" s="16" t="str">
        <x:v>ШТ</x:v>
      </x:c>
      <x:c r="F187" s="21" t="n">
        <x:v>30</x:v>
      </x:c>
      <x:c r="G187" s="17" t="n">
        <x:v>41.7118</x:v>
      </x:c>
      <x:c r="H187" s="17" t="n">
        <x:f>G187*F187</x:f>
        <x:v>1251.3539999999998</x:v>
      </x:c>
      <x:c r="I187" s="22" t="str">
        <x:f>HYPERLINK("https://etp-aktiv.ru/catalog/materialy/instrument-i-specosnastka/2000142582-U117/","Открыть позицию")</x:f>
        <x:v>Открыть позицию</x:v>
      </x:c>
    </x:row>
    <x:row r="188" ht="28" customHeight="1">
      <x:c r="A188" s="16" t="str">
        <x:v>Приморская ГРЭС</x:v>
      </x:c>
      <x:c r="B188" s="16" t="str">
        <x:v>2000464745-U117</x:v>
      </x:c>
      <x:c r="C188" s="16" t="str">
        <x:v>КРУГ ОТРЕЗНОЙ 180*22,2*2</x:v>
      </x:c>
      <x:c r="D188" s="16" t="str">
        <x:v>Инструмент и спецоснастка</x:v>
      </x:c>
      <x:c r="E188" s="16" t="str">
        <x:v>ШТ</x:v>
      </x:c>
      <x:c r="F188" s="21" t="n">
        <x:v>2</x:v>
      </x:c>
      <x:c r="G188" s="17" t="n">
        <x:v>34.3918</x:v>
      </x:c>
      <x:c r="H188" s="17" t="n">
        <x:f>G188*F188</x:f>
        <x:v>68.7836</x:v>
      </x:c>
      <x:c r="I188" s="22" t="str">
        <x:f>HYPERLINK("https://etp-aktiv.ru/catalog/materialy/instrument-i-specosnastka/2000464745-U117/","Открыть позицию")</x:f>
        <x:v>Открыть позицию</x:v>
      </x:c>
    </x:row>
    <x:row r="189" ht="28" customHeight="1">
      <x:c r="A189" s="16" t="str">
        <x:v>Приморская ГРЭС</x:v>
      </x:c>
      <x:c r="B189" s="16" t="str">
        <x:v>2000138348-U117</x:v>
      </x:c>
      <x:c r="C189" s="16" t="str">
        <x:v>КРУГ ОТРЕЗНОЙ 180*3*22 13А</x:v>
      </x:c>
      <x:c r="D189" s="16" t="str">
        <x:v>Инструмент и спецоснастка</x:v>
      </x:c>
      <x:c r="E189" s="16" t="str">
        <x:v>ШТ</x:v>
      </x:c>
      <x:c r="F189" s="21" t="n">
        <x:v>23</x:v>
      </x:c>
      <x:c r="G189" s="17" t="n">
        <x:v>35.343399999999995</x:v>
      </x:c>
      <x:c r="H189" s="17" t="n">
        <x:f>G189*F189</x:f>
        <x:v>812.8981999999999</x:v>
      </x:c>
      <x:c r="I189" s="22" t="str">
        <x:f>HYPERLINK("https://etp-aktiv.ru/catalog/materialy/instrument-i-specosnastka/2000138348-U117/","Открыть позицию")</x:f>
        <x:v>Открыть позицию</x:v>
      </x:c>
    </x:row>
    <x:row r="190" ht="28" customHeight="1">
      <x:c r="A190" s="16" t="str">
        <x:v>Приморская ГРЭС</x:v>
      </x:c>
      <x:c r="B190" s="16" t="str">
        <x:v>2000168194-U117</x:v>
      </x:c>
      <x:c r="C190" s="16" t="str">
        <x:v>КРУГ ОТРЕЗНОЙ 180*3*22 14А</x:v>
      </x:c>
      <x:c r="D190" s="16" t="str">
        <x:v>Инструмент и спецоснастка</x:v>
      </x:c>
      <x:c r="E190" s="16" t="str">
        <x:v>ШТ</x:v>
      </x:c>
      <x:c r="F190" s="21" t="n">
        <x:v>91</x:v>
      </x:c>
      <x:c r="G190" s="17" t="n">
        <x:v>28.0234</x:v>
      </x:c>
      <x:c r="H190" s="17" t="n">
        <x:f>G190*F190</x:f>
        <x:v>2550.1294</x:v>
      </x:c>
      <x:c r="I190" s="22" t="str">
        <x:f>HYPERLINK("https://etp-aktiv.ru/catalog/materialy/instrument-i-specosnastka/2000168194-U117/","Открыть позицию")</x:f>
        <x:v>Открыть позицию</x:v>
      </x:c>
    </x:row>
    <x:row r="191" ht="28" customHeight="1">
      <x:c r="A191" s="16" t="str">
        <x:v>Приморская ГРЭС</x:v>
      </x:c>
      <x:c r="B191" s="16" t="str">
        <x:v>2000143563-U117</x:v>
      </x:c>
      <x:c r="C191" s="16" t="str">
        <x:v>КРУГ ОТРЕЗНОЙ 180*3*22 24А</x:v>
      </x:c>
      <x:c r="D191" s="16" t="str">
        <x:v>Инструмент и спецоснастка</x:v>
      </x:c>
      <x:c r="E191" s="16" t="str">
        <x:v>ШТ</x:v>
      </x:c>
      <x:c r="F191" s="21" t="n">
        <x:v>9</x:v>
      </x:c>
      <x:c r="G191" s="17" t="n">
        <x:v>93.1348</x:v>
      </x:c>
      <x:c r="H191" s="17" t="n">
        <x:f>G191*F191</x:f>
        <x:v>838.2132</x:v>
      </x:c>
      <x:c r="I191" s="22" t="str">
        <x:f>HYPERLINK("https://etp-aktiv.ru/catalog/materialy/instrument-i-specosnastka/2000143563-U117/","Открыть позицию")</x:f>
        <x:v>Открыть позицию</x:v>
      </x:c>
    </x:row>
    <x:row r="192" ht="28" customHeight="1">
      <x:c r="A192" s="16" t="str">
        <x:v>Приморская ГРЭС</x:v>
      </x:c>
      <x:c r="B192" s="16" t="str">
        <x:v>2000138123-U117</x:v>
      </x:c>
      <x:c r="C192" s="16" t="str">
        <x:v>КРУГ ОТРЕЗНОЙ 180*3*22,2</x:v>
      </x:c>
      <x:c r="D192" s="16" t="str">
        <x:v>Инструмент и спецоснастка</x:v>
      </x:c>
      <x:c r="E192" s="16" t="str">
        <x:v>ШТ</x:v>
      </x:c>
      <x:c r="F192" s="21" t="n">
        <x:v>3</x:v>
      </x:c>
      <x:c r="G192" s="17" t="n">
        <x:v>36.6122</x:v>
      </x:c>
      <x:c r="H192" s="17" t="n">
        <x:f>G192*F192</x:f>
        <x:v>109.8366</x:v>
      </x:c>
      <x:c r="I192" s="22" t="str">
        <x:f>HYPERLINK("https://etp-aktiv.ru/catalog/materialy/instrument-i-specosnastka/2000138123-U117/","Открыть позицию")</x:f>
        <x:v>Открыть позицию</x:v>
      </x:c>
    </x:row>
    <x:row r="193" ht="28" customHeight="1">
      <x:c r="A193" s="16" t="str">
        <x:v>Приморская ГРЭС</x:v>
      </x:c>
      <x:c r="B193" s="16" t="str">
        <x:v>2000028672-U117</x:v>
      </x:c>
      <x:c r="C193" s="16" t="str">
        <x:v>КРУГ ОТРЕЗНОЙ 300*3*32</x:v>
      </x:c>
      <x:c r="D193" s="16" t="str">
        <x:v>Инструмент и спецоснастка</x:v>
      </x:c>
      <x:c r="E193" s="16" t="str">
        <x:v>ШТ</x:v>
      </x:c>
      <x:c r="F193" s="21" t="n">
        <x:v>2</x:v>
      </x:c>
      <x:c r="G193" s="17" t="n">
        <x:v>154.32999999999998</x:v>
      </x:c>
      <x:c r="H193" s="17" t="n">
        <x:f>G193*F193</x:f>
        <x:v>308.65999999999997</x:v>
      </x:c>
      <x:c r="I193" s="22" t="str">
        <x:f>HYPERLINK("https://etp-aktiv.ru/catalog/materialy/instrument-i-specosnastka/2000028672-U117/","Открыть позицию")</x:f>
        <x:v>Открыть позицию</x:v>
      </x:c>
    </x:row>
    <x:row r="194" ht="28" customHeight="1">
      <x:c r="A194" s="16" t="str">
        <x:v>Приморская ГРЭС</x:v>
      </x:c>
      <x:c r="B194" s="16" t="str">
        <x:v>2000028671-U117</x:v>
      </x:c>
      <x:c r="C194" s="16" t="str">
        <x:v>КРУГ ОТРЕЗНОЙ 400*4*32</x:v>
      </x:c>
      <x:c r="D194" s="16" t="str">
        <x:v>Инструмент и спецоснастка</x:v>
      </x:c>
      <x:c r="E194" s="16" t="str">
        <x:v>ШТ</x:v>
      </x:c>
      <x:c r="F194" s="30" t="n">
        <x:v>27.336</x:v>
      </x:c>
      <x:c r="G194" s="17" t="n">
        <x:v>333.0722</x:v>
      </x:c>
      <x:c r="H194" s="17" t="n">
        <x:f>G194*F194</x:f>
        <x:v>9104.8616592</x:v>
      </x:c>
      <x:c r="I194" s="22" t="str">
        <x:f>HYPERLINK("https://etp-aktiv.ru/catalog/materialy/instrument-i-specosnastka/2000028671-U117/","Открыть позицию")</x:f>
        <x:v>Открыть позицию</x:v>
      </x:c>
    </x:row>
    <x:row r="195" ht="28" customHeight="1">
      <x:c r="A195" s="16" t="str">
        <x:v>Приморская ГРЭС</x:v>
      </x:c>
      <x:c r="B195" s="16" t="str">
        <x:v>2000138134-U117</x:v>
      </x:c>
      <x:c r="C195" s="16" t="str">
        <x:v>КРУГ ОТРЕЗНОЙ 400*4*32 13А</x:v>
      </x:c>
      <x:c r="D195" s="16" t="str">
        <x:v>Инструмент и спецоснастка</x:v>
      </x:c>
      <x:c r="E195" s="16" t="str">
        <x:v>ШТ</x:v>
      </x:c>
      <x:c r="F195" s="21" t="n">
        <x:v>6</x:v>
      </x:c>
      <x:c r="G195" s="17" t="n">
        <x:v>256.4806</x:v>
      </x:c>
      <x:c r="H195" s="17" t="n">
        <x:f>G195*F195</x:f>
        <x:v>1538.8836</x:v>
      </x:c>
      <x:c r="I195" s="22" t="str">
        <x:f>HYPERLINK("https://etp-aktiv.ru/catalog/materialy/instrument-i-specosnastka/2000138134-U117/","Открыть позицию")</x:f>
        <x:v>Открыть позицию</x:v>
      </x:c>
    </x:row>
    <x:row r="196" ht="28" customHeight="1">
      <x:c r="A196" s="16" t="str">
        <x:v>Приморская ГРЭС</x:v>
      </x:c>
      <x:c r="B196" s="16" t="str">
        <x:v>2000544238-U117</x:v>
      </x:c>
      <x:c r="C196" s="16" t="str">
        <x:v>КРУГ ШЛ 125*20*32 14А F90 (16Н)</x:v>
      </x:c>
      <x:c r="D196" s="16" t="str">
        <x:v>Инструмент и спецоснастка</x:v>
      </x:c>
      <x:c r="E196" s="16" t="str">
        <x:v>ШТ</x:v>
      </x:c>
      <x:c r="F196" s="21" t="n">
        <x:v>2</x:v>
      </x:c>
      <x:c r="G196" s="17" t="n">
        <x:v>173.6182</x:v>
      </x:c>
      <x:c r="H196" s="17" t="n">
        <x:f>G196*F196</x:f>
        <x:v>347.2364</x:v>
      </x:c>
      <x:c r="I196" s="22" t="str">
        <x:f>HYPERLINK("https://etp-aktiv.ru/catalog/materialy/instrument-i-specosnastka/2000544238-U117/","Открыть позицию")</x:f>
        <x:v>Открыть позицию</x:v>
      </x:c>
    </x:row>
    <x:row r="197" ht="28" customHeight="1">
      <x:c r="A197" s="16" t="str">
        <x:v>Приморская ГРЭС</x:v>
      </x:c>
      <x:c r="B197" s="16" t="str">
        <x:v>2000544239-U117</x:v>
      </x:c>
      <x:c r="C197" s="16" t="str">
        <x:v>КРУГ ШЛ 150*30*32 14А 16Н (Р80)</x:v>
      </x:c>
      <x:c r="D197" s="16" t="str">
        <x:v>Инструмент и спецоснастка</x:v>
      </x:c>
      <x:c r="E197" s="16" t="str">
        <x:v>ШТ</x:v>
      </x:c>
      <x:c r="F197" s="21" t="n">
        <x:v>2</x:v>
      </x:c>
      <x:c r="G197" s="17" t="n">
        <x:v>265.0816</x:v>
      </x:c>
      <x:c r="H197" s="17" t="n">
        <x:f>G197*F197</x:f>
        <x:v>530.1632</x:v>
      </x:c>
      <x:c r="I197" s="22" t="str">
        <x:f>HYPERLINK("https://etp-aktiv.ru/catalog/materialy/instrument-i-specosnastka/2000544239-U117/","Открыть позицию")</x:f>
        <x:v>Открыть позицию</x:v>
      </x:c>
    </x:row>
    <x:row r="198" ht="28" customHeight="1">
      <x:c r="A198" s="16" t="str">
        <x:v>Приморская ГРЭС</x:v>
      </x:c>
      <x:c r="B198" s="16" t="str">
        <x:v>2000544147-U117</x:v>
      </x:c>
      <x:c r="C198" s="16" t="str">
        <x:v>КРУГ ШЛ 150*6*22 14А А24 3650-150-06-111</x:v>
      </x:c>
      <x:c r="D198" s="16" t="str">
        <x:v>Инструмент и спецоснастка</x:v>
      </x:c>
      <x:c r="E198" s="16" t="str">
        <x:v>ШТ</x:v>
      </x:c>
      <x:c r="F198" s="21" t="n">
        <x:v>20</x:v>
      </x:c>
      <x:c r="G198" s="17" t="n">
        <x:v>101.3698</x:v>
      </x:c>
      <x:c r="H198" s="17" t="n">
        <x:f>G198*F198</x:f>
        <x:v>2027.396</x:v>
      </x:c>
      <x:c r="I198" s="22" t="str">
        <x:f>HYPERLINK("https://etp-aktiv.ru/catalog/materialy/instrument-i-specosnastka/2000544147-U117/","Открыть позицию")</x:f>
        <x:v>Открыть позицию</x:v>
      </x:c>
    </x:row>
    <x:row r="199" ht="28" customHeight="1">
      <x:c r="A199" s="16" t="str">
        <x:v>Приморская ГРЭС</x:v>
      </x:c>
      <x:c r="B199" s="16" t="str">
        <x:v>2000544148-U117</x:v>
      </x:c>
      <x:c r="C199" s="16" t="str">
        <x:v>КРУГ ШЛ 180*6*22 14А А24 3650-180-06-111</x:v>
      </x:c>
      <x:c r="D199" s="16" t="str">
        <x:v>Инструмент и спецоснастка</x:v>
      </x:c>
      <x:c r="E199" s="16" t="str">
        <x:v>ШТ</x:v>
      </x:c>
      <x:c r="F199" s="21" t="n">
        <x:v>8</x:v>
      </x:c>
      <x:c r="G199" s="17" t="n">
        <x:v>120.0602</x:v>
      </x:c>
      <x:c r="H199" s="17" t="n">
        <x:f>G199*F199</x:f>
        <x:v>960.4816</x:v>
      </x:c>
      <x:c r="I199" s="22" t="str">
        <x:f>HYPERLINK("https://etp-aktiv.ru/catalog/materialy/instrument-i-specosnastka/2000544148-U117/","Открыть позицию")</x:f>
        <x:v>Открыть позицию</x:v>
      </x:c>
    </x:row>
    <x:row r="200" ht="28" customHeight="1">
      <x:c r="A200" s="16" t="str">
        <x:v>Приморская ГРЭС</x:v>
      </x:c>
      <x:c r="B200" s="16" t="str">
        <x:v>2000544127-U117</x:v>
      </x:c>
      <x:c r="C200" s="16" t="str">
        <x:v>КРУГ ШЛ 20*20*6 1(ПП) 25А 40 K,L 40СМ</x:v>
      </x:c>
      <x:c r="D200" s="16" t="str">
        <x:v>Инструмент и спецоснастка</x:v>
      </x:c>
      <x:c r="E200" s="16" t="str">
        <x:v>ШТ</x:v>
      </x:c>
      <x:c r="F200" s="21" t="n">
        <x:v>32</x:v>
      </x:c>
      <x:c r="G200" s="17" t="n">
        <x:v>8.3326</x:v>
      </x:c>
      <x:c r="H200" s="17" t="n">
        <x:f>G200*F200</x:f>
        <x:v>266.6432</x:v>
      </x:c>
      <x:c r="I200" s="22" t="str">
        <x:f>HYPERLINK("https://etp-aktiv.ru/catalog/materialy/instrument-i-specosnastka/2000544127-U117/","Открыть позицию")</x:f>
        <x:v>Открыть позицию</x:v>
      </x:c>
    </x:row>
    <x:row r="201" ht="28" customHeight="1">
      <x:c r="A201" s="16" t="str">
        <x:v>Приморская ГРЭС</x:v>
      </x:c>
      <x:c r="B201" s="16" t="str">
        <x:v>2000718006-U117</x:v>
      </x:c>
      <x:c r="C201" s="16" t="str">
        <x:v>КРУГ ШЛИФ ПП 200*20*76 25А 25 СМ1</x:v>
      </x:c>
      <x:c r="D201" s="16" t="str">
        <x:v>Инструмент и спецоснастка</x:v>
      </x:c>
      <x:c r="E201" s="16" t="str">
        <x:v>ШТ</x:v>
      </x:c>
      <x:c r="F201" s="21" t="n">
        <x:v>21</x:v>
      </x:c>
      <x:c r="G201" s="17" t="n">
        <x:v>302.3282</x:v>
      </x:c>
      <x:c r="H201" s="17" t="n">
        <x:f>G201*F201</x:f>
        <x:v>6348.892199999999</x:v>
      </x:c>
      <x:c r="I201" s="22" t="str">
        <x:f>HYPERLINK("https://etp-aktiv.ru/catalog/materialy/instrument-i-specosnastka/2000718006-U117/","Открыть позицию")</x:f>
        <x:v>Открыть позицию</x:v>
      </x:c>
    </x:row>
    <x:row r="202" ht="28" customHeight="1">
      <x:c r="A202" s="16" t="str">
        <x:v>Приморская ГРЭС</x:v>
      </x:c>
      <x:c r="B202" s="16" t="str">
        <x:v>2000718007-U117</x:v>
      </x:c>
      <x:c r="C202" s="16" t="str">
        <x:v>КРУГ ШЛИФ ПП 250*13*76 25А 25 С1</x:v>
      </x:c>
      <x:c r="D202" s="16" t="str">
        <x:v>Инструмент и спецоснастка</x:v>
      </x:c>
      <x:c r="E202" s="16" t="str">
        <x:v>ШТ</x:v>
      </x:c>
      <x:c r="F202" s="21" t="n">
        <x:v>5</x:v>
      </x:c>
      <x:c r="G202" s="17" t="n">
        <x:v>438.0532</x:v>
      </x:c>
      <x:c r="H202" s="17" t="n">
        <x:f>G202*F202</x:f>
        <x:v>2190.266</x:v>
      </x:c>
      <x:c r="I202" s="22" t="str">
        <x:f>HYPERLINK("https://etp-aktiv.ru/catalog/materialy/instrument-i-specosnastka/2000718007-U117/","Открыть позицию")</x:f>
        <x:v>Открыть позицию</x:v>
      </x:c>
    </x:row>
    <x:row r="203" ht="28" customHeight="1">
      <x:c r="A203" s="16" t="str">
        <x:v>Приморская ГРЭС</x:v>
      </x:c>
      <x:c r="B203" s="16" t="str">
        <x:v>2000717992-U117</x:v>
      </x:c>
      <x:c r="C203" s="16" t="str">
        <x:v>КРУГ ШЛИФОВАЛЬНЫЙ 100*20*20 25СМ 25А</x:v>
      </x:c>
      <x:c r="D203" s="16" t="str">
        <x:v>Инструмент и спецоснастка</x:v>
      </x:c>
      <x:c r="E203" s="16" t="str">
        <x:v>ШТ</x:v>
      </x:c>
      <x:c r="F203" s="21" t="n">
        <x:v>3</x:v>
      </x:c>
      <x:c r="G203" s="17" t="n">
        <x:v>80.032</x:v>
      </x:c>
      <x:c r="H203" s="17" t="n">
        <x:f>G203*F203</x:f>
        <x:v>240.096</x:v>
      </x:c>
      <x:c r="I203" s="22" t="str">
        <x:f>HYPERLINK("https://etp-aktiv.ru/catalog/materialy/instrument-i-specosnastka/2000717992-U117/","Открыть позицию")</x:f>
        <x:v>Открыть позицию</x:v>
      </x:c>
    </x:row>
    <x:row r="204" ht="28" customHeight="1">
      <x:c r="A204" s="16" t="str">
        <x:v>Приморская ГРЭС</x:v>
      </x:c>
      <x:c r="B204" s="16" t="str">
        <x:v>2000544265-U117</x:v>
      </x:c>
      <x:c r="C204" s="16" t="str">
        <x:v>КРУГ ШЛИФОВАЛЬНЫЙ 100*20*20 64С F46</x:v>
      </x:c>
      <x:c r="D204" s="16" t="str">
        <x:v>Инструмент и спецоснастка</x:v>
      </x:c>
      <x:c r="E204" s="16" t="str">
        <x:v>ШТ</x:v>
      </x:c>
      <x:c r="F204" s="21" t="n">
        <x:v>2</x:v>
      </x:c>
      <x:c r="G204" s="17" t="n">
        <x:v>125.11099999999999</x:v>
      </x:c>
      <x:c r="H204" s="17" t="n">
        <x:f>G204*F204</x:f>
        <x:v>250.22199999999998</x:v>
      </x:c>
      <x:c r="I204" s="22" t="str">
        <x:f>HYPERLINK("https://etp-aktiv.ru/catalog/materialy/instrument-i-specosnastka/2000544265-U117/","Открыть позицию")</x:f>
        <x:v>Открыть позицию</x:v>
      </x:c>
    </x:row>
    <x:row r="205" ht="28" customHeight="1">
      <x:c r="A205" s="16" t="str">
        <x:v>Приморская ГРЭС</x:v>
      </x:c>
      <x:c r="B205" s="16" t="str">
        <x:v>2000544144-U117</x:v>
      </x:c>
      <x:c r="C205" s="16" t="str">
        <x:v>КРУГ ШЛИФОВАЛЬНЫЙ 115*6*22 14А 27</x:v>
      </x:c>
      <x:c r="D205" s="16" t="str">
        <x:v>Инструмент и спецоснастка</x:v>
      </x:c>
      <x:c r="E205" s="16" t="str">
        <x:v>ШТ</x:v>
      </x:c>
      <x:c r="F205" s="21" t="n">
        <x:v>2</x:v>
      </x:c>
      <x:c r="G205" s="17" t="n">
        <x:v>45.64019999999999</x:v>
      </x:c>
      <x:c r="H205" s="17" t="n">
        <x:f>G205*F205</x:f>
        <x:v>91.28039999999999</x:v>
      </x:c>
      <x:c r="I205" s="22" t="str">
        <x:f>HYPERLINK("https://etp-aktiv.ru/catalog/materialy/instrument-i-specosnastka/2000544144-U117/","Открыть позицию")</x:f>
        <x:v>Открыть позицию</x:v>
      </x:c>
    </x:row>
    <x:row r="206" ht="28" customHeight="1">
      <x:c r="A206" s="16" t="str">
        <x:v>Приморская ГРЭС</x:v>
      </x:c>
      <x:c r="B206" s="16" t="str">
        <x:v>2000544268-U117</x:v>
      </x:c>
      <x:c r="C206" s="16" t="str">
        <x:v>КРУГ ШЛИФОВАЛЬНЫЙ 150*20*32 64С F36 М2</x:v>
      </x:c>
      <x:c r="D206" s="16" t="str">
        <x:v>Инструмент и спецоснастка</x:v>
      </x:c>
      <x:c r="E206" s="16" t="str">
        <x:v>ШТ</x:v>
      </x:c>
      <x:c r="F206" s="21" t="n">
        <x:v>17</x:v>
      </x:c>
      <x:c r="G206" s="17" t="n">
        <x:v>230.0066</x:v>
      </x:c>
      <x:c r="H206" s="17" t="n">
        <x:f>G206*F206</x:f>
        <x:v>3910.1122</x:v>
      </x:c>
      <x:c r="I206" s="22" t="str">
        <x:f>HYPERLINK("https://etp-aktiv.ru/catalog/materialy/instrument-i-specosnastka/2000544268-U117/","Открыть позицию")</x:f>
        <x:v>Открыть позицию</x:v>
      </x:c>
    </x:row>
    <x:row r="207" ht="28" customHeight="1">
      <x:c r="A207" s="16" t="str">
        <x:v>Приморская ГРЭС</x:v>
      </x:c>
      <x:c r="B207" s="16" t="str">
        <x:v>2000544146-U117</x:v>
      </x:c>
      <x:c r="C207" s="16" t="str">
        <x:v>КРУГ ШЛИФОВАЛЬНЫЙ 150*6*32 14А 40P</x:v>
      </x:c>
      <x:c r="D207" s="16" t="str">
        <x:v>Инструмент и спецоснастка</x:v>
      </x:c>
      <x:c r="E207" s="16" t="str">
        <x:v>ШТ</x:v>
      </x:c>
      <x:c r="F207" s="21" t="n">
        <x:v>2</x:v>
      </x:c>
      <x:c r="G207" s="17" t="n">
        <x:v>95.2576</x:v>
      </x:c>
      <x:c r="H207" s="17" t="n">
        <x:f>G207*F207</x:f>
        <x:v>190.5152</x:v>
      </x:c>
      <x:c r="I207" s="22" t="str">
        <x:f>HYPERLINK("https://etp-aktiv.ru/catalog/materialy/instrument-i-specosnastka/2000544146-U117/","Открыть позицию")</x:f>
        <x:v>Открыть позицию</x:v>
      </x:c>
    </x:row>
    <x:row r="208" ht="28" customHeight="1">
      <x:c r="A208" s="16" t="str">
        <x:v>Приморская ГРЭС</x:v>
      </x:c>
      <x:c r="B208" s="16" t="str">
        <x:v>2000544273-U117</x:v>
      </x:c>
      <x:c r="C208" s="16" t="str">
        <x:v>КРУГ ШЛИФОВАЛЬНЫЙ 200*20*32 64С F60 СМ</x:v>
      </x:c>
      <x:c r="D208" s="16" t="str">
        <x:v>Инструмент и спецоснастка</x:v>
      </x:c>
      <x:c r="E208" s="16" t="str">
        <x:v>ШТ</x:v>
      </x:c>
      <x:c r="F208" s="21" t="n">
        <x:v>1</x:v>
      </x:c>
      <x:c r="G208" s="17" t="n">
        <x:v>527.2596</x:v>
      </x:c>
      <x:c r="H208" s="17" t="n">
        <x:f>G208*F208</x:f>
        <x:v>527.2596</x:v>
      </x:c>
      <x:c r="I208" s="22" t="str">
        <x:f>HYPERLINK("https://etp-aktiv.ru/catalog/materialy/instrument-i-specosnastka/2000544273-U117/","Открыть позицию")</x:f>
        <x:v>Открыть позицию</x:v>
      </x:c>
    </x:row>
    <x:row r="209" ht="28" customHeight="1">
      <x:c r="A209" s="16" t="str">
        <x:v>Приморская ГРЭС</x:v>
      </x:c>
      <x:c r="B209" s="16" t="str">
        <x:v>2000544274-U117</x:v>
      </x:c>
      <x:c r="C209" s="16" t="str">
        <x:v>КРУГ ШЛИФОВАЛЬНЫЙ 200*40*76 25А F46 КL</x:v>
      </x:c>
      <x:c r="D209" s="16" t="str">
        <x:v>Инструмент и спецоснастка</x:v>
      </x:c>
      <x:c r="E209" s="16" t="str">
        <x:v>ШТ</x:v>
      </x:c>
      <x:c r="F209" s="21" t="n">
        <x:v>2</x:v>
      </x:c>
      <x:c r="G209" s="17" t="n">
        <x:v>532.896</x:v>
      </x:c>
      <x:c r="H209" s="17" t="n">
        <x:f>G209*F209</x:f>
        <x:v>1065.792</x:v>
      </x:c>
      <x:c r="I209" s="22" t="str">
        <x:f>HYPERLINK("https://etp-aktiv.ru/catalog/materialy/instrument-i-specosnastka/2000544274-U117/","Открыть позицию")</x:f>
        <x:v>Открыть позицию</x:v>
      </x:c>
    </x:row>
    <x:row r="210" ht="28" customHeight="1">
      <x:c r="A210" s="16" t="str">
        <x:v>Приморская ГРЭС</x:v>
      </x:c>
      <x:c r="B210" s="16" t="str">
        <x:v>2000544276-U117</x:v>
      </x:c>
      <x:c r="C210" s="16" t="str">
        <x:v>КРУГ ШЛИФОВАЛЬНЫЙ 250*20*32 64C F60K/L</x:v>
      </x:c>
      <x:c r="D210" s="16" t="str">
        <x:v>Инструмент и спецоснастка</x:v>
      </x:c>
      <x:c r="E210" s="16" t="str">
        <x:v>ШТ</x:v>
      </x:c>
      <x:c r="F210" s="21" t="n">
        <x:v>6</x:v>
      </x:c>
      <x:c r="G210" s="17" t="n">
        <x:v>549</x:v>
      </x:c>
      <x:c r="H210" s="17" t="n">
        <x:f>G210*F210</x:f>
        <x:v>3294</x:v>
      </x:c>
      <x:c r="I210" s="22" t="str">
        <x:f>HYPERLINK("https://etp-aktiv.ru/catalog/materialy/instrument-i-specosnastka/2000544276-U117/","Открыть позицию")</x:f>
        <x:v>Открыть позицию</x:v>
      </x:c>
    </x:row>
    <x:row r="211" ht="28" customHeight="1">
      <x:c r="A211" s="16" t="str">
        <x:v>Приморская ГРЭС</x:v>
      </x:c>
      <x:c r="B211" s="16" t="str">
        <x:v>2000544277-U117</x:v>
      </x:c>
      <x:c r="C211" s="16" t="str">
        <x:v>КРУГ ШЛИФОВАЛЬНЫЙ 250*20*76 25А 60</x:v>
      </x:c>
      <x:c r="D211" s="16" t="str">
        <x:v>Инструмент и спецоснастка</x:v>
      </x:c>
      <x:c r="E211" s="16" t="str">
        <x:v>ШТ</x:v>
      </x:c>
      <x:c r="F211" s="21" t="n">
        <x:v>3</x:v>
      </x:c>
      <x:c r="G211" s="17" t="n">
        <x:v>524.4658</x:v>
      </x:c>
      <x:c r="H211" s="17" t="n">
        <x:f>G211*F211</x:f>
        <x:v>1573.3973999999998</x:v>
      </x:c>
      <x:c r="I211" s="22" t="str">
        <x:f>HYPERLINK("https://etp-aktiv.ru/catalog/materialy/instrument-i-specosnastka/2000544277-U117/","Открыть позицию")</x:f>
        <x:v>Открыть позицию</x:v>
      </x:c>
    </x:row>
    <x:row r="212" ht="28" customHeight="1">
      <x:c r="A212" s="16" t="str">
        <x:v>Приморская ГРЭС</x:v>
      </x:c>
      <x:c r="B212" s="16" t="str">
        <x:v>2000313605-U117</x:v>
      </x:c>
      <x:c r="C212" s="16" t="str">
        <x:v>КРУГ ШЛИФОВАЛЬНЫЙ 250*32*32 25А</x:v>
      </x:c>
      <x:c r="D212" s="16" t="str">
        <x:v>Инструмент и спецоснастка</x:v>
      </x:c>
      <x:c r="E212" s="16" t="str">
        <x:v>ШТ</x:v>
      </x:c>
      <x:c r="F212" s="21" t="n">
        <x:v>3</x:v>
      </x:c>
      <x:c r="G212" s="17" t="n">
        <x:v>928.0784</x:v>
      </x:c>
      <x:c r="H212" s="17" t="n">
        <x:f>G212*F212</x:f>
        <x:v>2784.2352</x:v>
      </x:c>
      <x:c r="I212" s="22" t="str">
        <x:f>HYPERLINK("https://etp-aktiv.ru/catalog/materialy/instrument-i-specosnastka/2000313605-U117/","Открыть позицию")</x:f>
        <x:v>Открыть позицию</x:v>
      </x:c>
    </x:row>
    <x:row r="213" ht="28" customHeight="1">
      <x:c r="A213" s="16" t="str">
        <x:v>Приморская ГРЭС</x:v>
      </x:c>
      <x:c r="B213" s="16" t="str">
        <x:v>2000585758-U117</x:v>
      </x:c>
      <x:c r="C213" s="16" t="str">
        <x:v>КРУГ ШЛИФОВАЛЬНЫЙ 300*40*32 25А 63</x:v>
      </x:c>
      <x:c r="D213" s="16" t="str">
        <x:v>Инструмент и спецоснастка</x:v>
      </x:c>
      <x:c r="E213" s="16" t="str">
        <x:v>ШТ</x:v>
      </x:c>
      <x:c r="F213" s="21" t="n">
        <x:v>8</x:v>
      </x:c>
      <x:c r="G213" s="17" t="n">
        <x:v>1299.666</x:v>
      </x:c>
      <x:c r="H213" s="17" t="n">
        <x:f>G213*F213</x:f>
        <x:v>10397.328</x:v>
      </x:c>
      <x:c r="I213" s="22" t="str">
        <x:f>HYPERLINK("https://etp-aktiv.ru/catalog/materialy/instrument-i-specosnastka/2000585758-U117/","Открыть позицию")</x:f>
        <x:v>Открыть позицию</x:v>
      </x:c>
    </x:row>
    <x:row r="214" ht="28" customHeight="1">
      <x:c r="A214" s="16" t="str">
        <x:v>Приморская ГРЭС</x:v>
      </x:c>
      <x:c r="B214" s="16" t="str">
        <x:v>2000544241-U117</x:v>
      </x:c>
      <x:c r="C214" s="16" t="str">
        <x:v>КРУГ ШЛИФОВАЛЬНЫЙ 63*20*20 14А 63</x:v>
      </x:c>
      <x:c r="D214" s="16" t="str">
        <x:v>Инструмент и спецоснастка</x:v>
      </x:c>
      <x:c r="E214" s="16" t="str">
        <x:v>ШТ</x:v>
      </x:c>
      <x:c r="F214" s="21" t="n">
        <x:v>37</x:v>
      </x:c>
      <x:c r="G214" s="17" t="n">
        <x:v>65.1846</x:v>
      </x:c>
      <x:c r="H214" s="17" t="n">
        <x:f>G214*F214</x:f>
        <x:v>2411.8302000000003</x:v>
      </x:c>
      <x:c r="I214" s="22" t="str">
        <x:f>HYPERLINK("https://etp-aktiv.ru/catalog/materialy/instrument-i-specosnastka/2000544241-U117/","Открыть позицию")</x:f>
        <x:v>Открыть позицию</x:v>
      </x:c>
    </x:row>
    <x:row r="215" ht="28" customHeight="1">
      <x:c r="A215" s="16" t="str">
        <x:v>Приморская ГРЭС</x:v>
      </x:c>
      <x:c r="B215" s="16" t="str">
        <x:v>2000544136-U117</x:v>
      </x:c>
      <x:c r="C215" s="16" t="str">
        <x:v>КРУГ ШЛИФОВАЛЬНЫЙ 63*50*20 25А 40</x:v>
      </x:c>
      <x:c r="D215" s="16" t="str">
        <x:v>Инструмент и спецоснастка</x:v>
      </x:c>
      <x:c r="E215" s="16" t="str">
        <x:v>ШТ</x:v>
      </x:c>
      <x:c r="F215" s="21" t="n">
        <x:v>10</x:v>
      </x:c>
      <x:c r="G215" s="17" t="n">
        <x:v>134.3708</x:v>
      </x:c>
      <x:c r="H215" s="17" t="n">
        <x:f>G215*F215</x:f>
        <x:v>1343.708</x:v>
      </x:c>
      <x:c r="I215" s="22" t="str">
        <x:f>HYPERLINK("https://etp-aktiv.ru/catalog/materialy/instrument-i-specosnastka/2000544136-U117/","Открыть позицию")</x:f>
        <x:v>Открыть позицию</x:v>
      </x:c>
    </x:row>
    <x:row r="216" ht="28" customHeight="1">
      <x:c r="A216" s="16" t="str">
        <x:v>Приморская ГРЭС</x:v>
      </x:c>
      <x:c r="B216" s="16" t="str">
        <x:v>2000544156-U117</x:v>
      </x:c>
      <x:c r="C216" s="16" t="str">
        <x:v>КРУГ ШЛИФОВАЛЬНЫЙ 63*50*20 63С 12 Т1 ПП</x:v>
      </x:c>
      <x:c r="D216" s="16" t="str">
        <x:v>Инструмент и спецоснастка</x:v>
      </x:c>
      <x:c r="E216" s="16" t="str">
        <x:v>ШТ</x:v>
      </x:c>
      <x:c r="F216" s="21" t="n">
        <x:v>5</x:v>
      </x:c>
      <x:c r="G216" s="17" t="n">
        <x:v>236.53359999999998</x:v>
      </x:c>
      <x:c r="H216" s="17" t="n">
        <x:f>G216*F216</x:f>
        <x:v>1182.668</x:v>
      </x:c>
      <x:c r="I216" s="22" t="str">
        <x:f>HYPERLINK("https://etp-aktiv.ru/catalog/materialy/instrument-i-specosnastka/2000544156-U117/","Открыть позицию")</x:f>
        <x:v>Открыть позицию</x:v>
      </x:c>
    </x:row>
    <x:row r="217" ht="28" customHeight="1">
      <x:c r="A217" s="16" t="str">
        <x:v>Приморская ГРЭС</x:v>
      </x:c>
      <x:c r="B217" s="16" t="str">
        <x:v>2000718004-U117</x:v>
      </x:c>
      <x:c r="C217" s="16" t="str">
        <x:v>КРУГ ШЛИФОВАЛЬНЫЙ ПП 350*40*76 25А</x:v>
      </x:c>
      <x:c r="D217" s="16" t="str">
        <x:v>Инструмент и спецоснастка</x:v>
      </x:c>
      <x:c r="E217" s="16" t="str">
        <x:v>ШТ</x:v>
      </x:c>
      <x:c r="F217" s="21" t="n">
        <x:v>13</x:v>
      </x:c>
      <x:c r="G217" s="17" t="n">
        <x:v>1417.5302000000001</x:v>
      </x:c>
      <x:c r="H217" s="17" t="n">
        <x:f>G217*F217</x:f>
        <x:v>18427.892600000003</x:v>
      </x:c>
      <x:c r="I217" s="22" t="str">
        <x:f>HYPERLINK("https://etp-aktiv.ru/catalog/materialy/instrument-i-specosnastka/2000718004-U117/","Открыть позицию")</x:f>
        <x:v>Открыть позицию</x:v>
      </x:c>
    </x:row>
    <x:row r="218" ht="28" customHeight="1">
      <x:c r="A218" s="16" t="str">
        <x:v>Приморская ГРЭС</x:v>
      </x:c>
      <x:c r="B218" s="16" t="str">
        <x:v>2000725718-U117</x:v>
      </x:c>
      <x:c r="C218" s="16" t="str">
        <x:v>КРЫШКА НАГНЕТАНИЯ ПЭ-270 П01-103-00</x:v>
      </x:c>
      <x:c r="D218" s="16" t="str">
        <x:v>Запасные части к энергетическим насосам</x:v>
      </x:c>
      <x:c r="E218" s="16" t="str">
        <x:v>ШТ</x:v>
      </x:c>
      <x:c r="F218" s="21" t="n">
        <x:v>2</x:v>
      </x:c>
      <x:c r="G218" s="17" t="n">
        <x:v>2640346.875</x:v>
      </x:c>
      <x:c r="H218" s="17" t="n">
        <x:f>G218*F218</x:f>
        <x:v>5280693.75</x:v>
      </x:c>
      <x:c r="I218" s="22" t="str">
        <x:f>HYPERLINK("https://etp-aktiv.ru/catalog/materialy/zapasnye-chasti-promyshlennogo-oborudovaniya/2000725718-U117/","Открыть позицию")</x:f>
        <x:v>Открыть позицию</x:v>
      </x:c>
    </x:row>
    <x:row r="219" ht="28" customHeight="1">
      <x:c r="A219" s="16" t="str">
        <x:v>Приморская ГРЭС</x:v>
      </x:c>
      <x:c r="B219" s="16" t="str">
        <x:v>2000716762-U117</x:v>
      </x:c>
      <x:c r="C219" s="16" t="str">
        <x:v>КРЮК SK78 ГП2Т</x:v>
      </x:c>
      <x:c r="D219" s="16" t="str">
        <x:v>Запасные части к грузоподъемной технике, оборудованию и меха</x:v>
      </x:c>
      <x:c r="E219" s="16" t="str">
        <x:v>ШТ</x:v>
      </x:c>
      <x:c r="F219" s="21" t="n">
        <x:v>8</x:v>
      </x:c>
      <x:c r="G219" s="17" t="n">
        <x:v>123.51279999999998</x:v>
      </x:c>
      <x:c r="H219" s="17" t="n">
        <x:f>G219*F219</x:f>
        <x:v>988.1023999999999</x:v>
      </x:c>
      <x:c r="I219" s="22" t="str">
        <x:f>HYPERLINK("https://etp-aktiv.ru/catalog/materialy/zapasnye-chasti-k-gruzopodemnoj-tekhnike-oborudovaniyu-i-mekhanizmam/2000716762-U117/","Открыть позицию")</x:f>
        <x:v>Открыть позицию</x:v>
      </x:c>
    </x:row>
    <x:row r="220" ht="28" customHeight="1">
      <x:c r="A220" s="16" t="str">
        <x:v>Приморская ГРЭС</x:v>
      </x:c>
      <x:c r="B220" s="16" t="str">
        <x:v>2000170331-U117</x:v>
      </x:c>
      <x:c r="C220" s="16" t="str">
        <x:v>КРЮК ОДНОРОГИЙ 11А-2 3,2</x:v>
      </x:c>
      <x:c r="D220" s="16" t="str">
        <x:v>Запасные части к грузоподъемной технике, оборудованию и меха</x:v>
      </x:c>
      <x:c r="E220" s="16" t="str">
        <x:v>ШТ</x:v>
      </x:c>
      <x:c r="F220" s="21" t="n">
        <x:v>3</x:v>
      </x:c>
      <x:c r="G220" s="17" t="n">
        <x:v>797.4408</x:v>
      </x:c>
      <x:c r="H220" s="17" t="n">
        <x:f>G220*F220</x:f>
        <x:v>2392.3224</x:v>
      </x:c>
      <x:c r="I220" s="22" t="str">
        <x:f>HYPERLINK("https://etp-aktiv.ru/catalog/materialy/zapasnye-chasti-k-gruzopodemnoj-tekhnike-oborudovaniyu-i-mekhanizmam/2000170331-U117/","Открыть позицию")</x:f>
        <x:v>Открыть позицию</x:v>
      </x:c>
    </x:row>
    <x:row r="221" ht="28" customHeight="1">
      <x:c r="A221" s="16" t="str">
        <x:v>Приморская ГРЭС</x:v>
      </x:c>
      <x:c r="B221" s="16" t="str">
        <x:v>2000003378-U117</x:v>
      </x:c>
      <x:c r="C221" s="16" t="str">
        <x:v>КРЮК ЧАЛОЧНЫЙ К1-1</x:v>
      </x:c>
      <x:c r="D221" s="16" t="str">
        <x:v>Запасные части к грузоподъемной технике, оборудованию и меха</x:v>
      </x:c>
      <x:c r="E221" s="16" t="str">
        <x:v>ШТ</x:v>
      </x:c>
      <x:c r="F221" s="21" t="n">
        <x:v>20</x:v>
      </x:c>
      <x:c r="G221" s="17" t="n">
        <x:v>230.48239999999998</x:v>
      </x:c>
      <x:c r="H221" s="17" t="n">
        <x:f>G221*F221</x:f>
        <x:v>4609.647999999999</x:v>
      </x:c>
      <x:c r="I221" s="22" t="str">
        <x:f>HYPERLINK("https://etp-aktiv.ru/catalog/materialy/zapasnye-chasti-k-gruzopodemnoj-tekhnike-oborudovaniyu-i-mekhanizmam/2000003378-U117/","Открыть позицию")</x:f>
        <x:v>Открыть позицию</x:v>
      </x:c>
    </x:row>
    <x:row r="222" ht="28" customHeight="1">
      <x:c r="A222" s="16" t="str">
        <x:v>Приморская ГРЭС</x:v>
      </x:c>
      <x:c r="B222" s="16" t="str">
        <x:v>2000293271-U117</x:v>
      </x:c>
      <x:c r="C222" s="16" t="str">
        <x:v>КРЮК ЧАЛОЧНЫЙ КЧ ГП1Т</x:v>
      </x:c>
      <x:c r="D222" s="16" t="str">
        <x:v>Запасные части к грузоподъемной технике, оборудованию и меха</x:v>
      </x:c>
      <x:c r="E222" s="16" t="str">
        <x:v>ШТ</x:v>
      </x:c>
      <x:c r="F222" s="21" t="n">
        <x:v>7</x:v>
      </x:c>
      <x:c r="G222" s="17" t="n">
        <x:v>298.0582</x:v>
      </x:c>
      <x:c r="H222" s="17" t="n">
        <x:f>G222*F222</x:f>
        <x:v>2086.4074</x:v>
      </x:c>
      <x:c r="I222" s="22" t="str">
        <x:f>HYPERLINK("https://etp-aktiv.ru/catalog/materialy/zapasnye-chasti-k-gruzopodemnoj-tekhnike-oborudovaniyu-i-mekhanizmam/2000293271-U117/","Открыть позицию")</x:f>
        <x:v>Открыть позицию</x:v>
      </x:c>
    </x:row>
    <x:row r="223" ht="28" customHeight="1">
      <x:c r="A223" s="16" t="str">
        <x:v>Приморская ГРЭС</x:v>
      </x:c>
      <x:c r="B223" s="16" t="str">
        <x:v>2000690962-U117</x:v>
      </x:c>
      <x:c r="C223" s="16" t="str">
        <x:v>КРЮК ЧАЛОЧНЫЙ КЧ-2,0 ГП2Т</x:v>
      </x:c>
      <x:c r="D223" s="16" t="str">
        <x:v>Запасные части к грузоподъемной технике, оборудованию и меха</x:v>
      </x:c>
      <x:c r="E223" s="16" t="str">
        <x:v>ШТ</x:v>
      </x:c>
      <x:c r="F223" s="21" t="n">
        <x:v>8</x:v>
      </x:c>
      <x:c r="G223" s="17" t="n">
        <x:v>501.04179999999997</x:v>
      </x:c>
      <x:c r="H223" s="17" t="n">
        <x:f>G223*F223</x:f>
        <x:v>4008.3343999999997</x:v>
      </x:c>
      <x:c r="I223" s="22" t="str">
        <x:f>HYPERLINK("https://etp-aktiv.ru/catalog/materialy/zapasnye-chasti-k-gruzopodemnoj-tekhnike-oborudovaniyu-i-mekhanizmam/2000690962-U117/","Открыть позицию")</x:f>
        <x:v>Открыть позицию</x:v>
      </x:c>
    </x:row>
    <x:row r="224" ht="28" customHeight="1">
      <x:c r="A224" s="16" t="str">
        <x:v>Приморская ГРЭС</x:v>
      </x:c>
      <x:c r="B224" s="16" t="str">
        <x:v>2000542860-U117</x:v>
      </x:c>
      <x:c r="C224" s="16" t="str">
        <x:v>КУВАЛДА С РУЧКОЙ 1500Г 16122U</x:v>
      </x:c>
      <x:c r="D224" s="16" t="str">
        <x:v>Инструмент и спецоснастка</x:v>
      </x:c>
      <x:c r="E224" s="16" t="str">
        <x:v>ШТ</x:v>
      </x:c>
      <x:c r="F224" s="21" t="n">
        <x:v>1</x:v>
      </x:c>
      <x:c r="G224" s="17" t="n">
        <x:v>649.6378</x:v>
      </x:c>
      <x:c r="H224" s="17" t="n">
        <x:f>G224*F224</x:f>
        <x:v>649.6378</x:v>
      </x:c>
      <x:c r="I224" s="22" t="str">
        <x:f>HYPERLINK("https://etp-aktiv.ru/catalog/materialy/instrument-i-specosnastka/2000542860-U117/","Открыть позицию")</x:f>
        <x:v>Открыть позицию</x:v>
      </x:c>
    </x:row>
    <x:row r="225" ht="28" customHeight="1">
      <x:c r="A225" s="16" t="str">
        <x:v>Приморская ГРЭС</x:v>
      </x:c>
      <x:c r="B225" s="16" t="str">
        <x:v>2000542863-U117</x:v>
      </x:c>
      <x:c r="C225" s="16" t="str">
        <x:v>КУВАЛДА СЛЕСАРНЫЙ 2КГ 300ММ GSW-02000</x:v>
      </x:c>
      <x:c r="D225" s="16" t="str">
        <x:v>Инструмент и спецоснастка</x:v>
      </x:c>
      <x:c r="E225" s="16" t="str">
        <x:v>ШТ</x:v>
      </x:c>
      <x:c r="F225" s="21" t="n">
        <x:v>100</x:v>
      </x:c>
      <x:c r="G225" s="17" t="n">
        <x:v>649.6378</x:v>
      </x:c>
      <x:c r="H225" s="17" t="n">
        <x:f>G225*F225</x:f>
        <x:v>64963.78</x:v>
      </x:c>
      <x:c r="I225" s="22" t="str">
        <x:f>HYPERLINK("https://etp-aktiv.ru/catalog/materialy/instrument-i-specosnastka/2000542863-U117/","Открыть позицию")</x:f>
        <x:v>Открыть позицию</x:v>
      </x:c>
    </x:row>
    <x:row r="226" ht="28" customHeight="1">
      <x:c r="A226" s="16" t="str">
        <x:v>Приморская ГРЭС</x:v>
      </x:c>
      <x:c r="B226" s="16" t="str">
        <x:v>2000341806-U117</x:v>
      </x:c>
      <x:c r="C226" s="16" t="str">
        <x:v>КУСАЧКИ ТОРЦЕВЫЕ 180 618648 UNIOR</x:v>
      </x:c>
      <x:c r="D226" s="16" t="str">
        <x:v>Инструмент и спецоснастка</x:v>
      </x:c>
      <x:c r="E226" s="16" t="str">
        <x:v>ШТ</x:v>
      </x:c>
      <x:c r="F226" s="21" t="n">
        <x:v>61</x:v>
      </x:c>
      <x:c r="G226" s="17" t="n">
        <x:v>575.2543999999999</x:v>
      </x:c>
      <x:c r="H226" s="17" t="n">
        <x:f>G226*F226</x:f>
        <x:v>35090.51839999999</x:v>
      </x:c>
      <x:c r="I226" s="22" t="str">
        <x:f>HYPERLINK("https://etp-aktiv.ru/catalog/materialy/instrument-i-specosnastka/2000341806-U117/","Открыть позицию")</x:f>
        <x:v>Открыть позицию</x:v>
      </x:c>
    </x:row>
    <x:row r="227" ht="28" customHeight="1">
      <x:c r="A227" s="16" t="str">
        <x:v>Приморская ГРЭС</x:v>
      </x:c>
      <x:c r="B227" s="16" t="str">
        <x:v>2000557832-U117</x:v>
      </x:c>
      <x:c r="C227" s="16" t="str">
        <x:v>ЛОПАТА ЛСП-2-1300 С ЧЕРЕНКОМ ГОСТ19596</x:v>
      </x:c>
      <x:c r="D227" s="16" t="str">
        <x:v>Инструмент и спецоснастка</x:v>
      </x:c>
      <x:c r="E227" s="16" t="str">
        <x:v>ШТ</x:v>
      </x:c>
      <x:c r="F227" s="21" t="n">
        <x:v>5</x:v>
      </x:c>
      <x:c r="G227" s="17" t="n">
        <x:v>253.638</x:v>
      </x:c>
      <x:c r="H227" s="17" t="n">
        <x:f>G227*F227</x:f>
        <x:v>1268.19</x:v>
      </x:c>
      <x:c r="I227" s="22" t="str">
        <x:f>HYPERLINK("https://etp-aktiv.ru/catalog/materialy/instrument-i-specosnastka/2000557832-U117/","Открыть позицию")</x:f>
        <x:v>Открыть позицию</x:v>
      </x:c>
    </x:row>
    <x:row r="228" ht="28" customHeight="1">
      <x:c r="A228" s="16" t="str">
        <x:v>Приморская ГРЭС</x:v>
      </x:c>
      <x:c r="B228" s="16" t="str">
        <x:v>2000029685-U117</x:v>
      </x:c>
      <x:c r="C228" s="16" t="str">
        <x:v>ЛОПАТА ПОДБОРНАЯ И-115</x:v>
      </x:c>
      <x:c r="D228" s="16" t="str">
        <x:v>Инструмент и спецоснастка</x:v>
      </x:c>
      <x:c r="E228" s="16" t="str">
        <x:v>ШТ</x:v>
      </x:c>
      <x:c r="F228" s="21" t="n">
        <x:v>14</x:v>
      </x:c>
      <x:c r="G228" s="17" t="n">
        <x:v>135.8836</x:v>
      </x:c>
      <x:c r="H228" s="17" t="n">
        <x:f>G228*F228</x:f>
        <x:v>1902.3704</x:v>
      </x:c>
      <x:c r="I228" s="22" t="str">
        <x:f>HYPERLINK("https://etp-aktiv.ru/catalog/materialy/instrument-i-specosnastka/2000029685-U117/","Открыть позицию")</x:f>
        <x:v>Открыть позицию</x:v>
      </x:c>
    </x:row>
    <x:row r="229" ht="28" customHeight="1">
      <x:c r="A229" s="16" t="str">
        <x:v>Приморская ГРЭС</x:v>
      </x:c>
      <x:c r="B229" s="16" t="str">
        <x:v>2000934201-U117</x:v>
      </x:c>
      <x:c r="C229" s="16" t="str">
        <x:v>ЛОПАТА СОВКОВАЯ GIGANT GRS-02</x:v>
      </x:c>
      <x:c r="D229" s="16" t="str">
        <x:v>Инструмент и спецоснастка</x:v>
      </x:c>
      <x:c r="E229" s="16" t="str">
        <x:v>ШТ</x:v>
      </x:c>
      <x:c r="F229" s="21" t="n">
        <x:v>75</x:v>
      </x:c>
      <x:c r="G229" s="17" t="n">
        <x:v>489.56159999999994</x:v>
      </x:c>
      <x:c r="H229" s="17" t="n">
        <x:f>G229*F229</x:f>
        <x:v>36717.119999999995</x:v>
      </x:c>
      <x:c r="I229" s="22" t="str">
        <x:f>HYPERLINK("https://etp-aktiv.ru/catalog/materialy/instrument-i-specosnastka/2000934201-U117/","Открыть позицию")</x:f>
        <x:v>Открыть позицию</x:v>
      </x:c>
    </x:row>
    <x:row r="230" ht="28" customHeight="1">
      <x:c r="A230" s="16" t="str">
        <x:v>Приморская ГРЭС</x:v>
      </x:c>
      <x:c r="B230" s="16" t="str">
        <x:v>2000548452-U117</x:v>
      </x:c>
      <x:c r="C230" s="16" t="str">
        <x:v>ЛОПАТА СОВКОВАЯ СИБРТЕХ 61471</x:v>
      </x:c>
      <x:c r="D230" s="16" t="str">
        <x:v>Инструмент и спецоснастка</x:v>
      </x:c>
      <x:c r="E230" s="16" t="str">
        <x:v>ШТ</x:v>
      </x:c>
      <x:c r="F230" s="21" t="n">
        <x:v>62</x:v>
      </x:c>
      <x:c r="G230" s="17" t="n">
        <x:v>228.1644</x:v>
      </x:c>
      <x:c r="H230" s="17" t="n">
        <x:f>G230*F230</x:f>
        <x:v>14146.1928</x:v>
      </x:c>
      <x:c r="I230" s="22" t="str">
        <x:f>HYPERLINK("https://etp-aktiv.ru/catalog/materialy/instrument-i-specosnastka/2000548452-U117/","Открыть позицию")</x:f>
        <x:v>Открыть позицию</x:v>
      </x:c>
    </x:row>
    <x:row r="231" ht="28" customHeight="1">
      <x:c r="A231" s="16" t="str">
        <x:v>Приморская ГРЭС</x:v>
      </x:c>
      <x:c r="B231" s="16" t="str">
        <x:v>2000029701-U117</x:v>
      </x:c>
      <x:c r="C231" s="16" t="str">
        <x:v>ЛОПАТА ШТЫКОВАЯ ОСТРОКОНЕЧНАЯ ЛКО</x:v>
      </x:c>
      <x:c r="D231" s="16" t="str">
        <x:v>Инструмент и спецоснастка</x:v>
      </x:c>
      <x:c r="E231" s="16" t="str">
        <x:v>ШТ</x:v>
      </x:c>
      <x:c r="F231" s="21" t="n">
        <x:v>2085</x:v>
      </x:c>
      <x:c r="G231" s="17" t="n">
        <x:v>39.369400000000006</x:v>
      </x:c>
      <x:c r="H231" s="17" t="n">
        <x:f>G231*F231</x:f>
        <x:v>82085.19900000001</x:v>
      </x:c>
      <x:c r="I231" s="22" t="str">
        <x:f>HYPERLINK("https://etp-aktiv.ru/catalog/materialy/instrument-i-specosnastka/2000029701-U117/","Открыть позицию")</x:f>
        <x:v>Открыть позицию</x:v>
      </x:c>
    </x:row>
    <x:row r="232" ht="28" customHeight="1">
      <x:c r="A232" s="16" t="str">
        <x:v>Приморская ГРЭС</x:v>
      </x:c>
      <x:c r="B232" s="16" t="str">
        <x:v>2000963160-U117</x:v>
      </x:c>
      <x:c r="C232" s="16" t="str">
        <x:v>ЛОПАТКА 03.1492.154</x:v>
      </x:c>
      <x:c r="D232" s="16" t="str">
        <x:v>Запасные части к вентиляционному оборудованию</x:v>
      </x:c>
      <x:c r="E232" s="16" t="str">
        <x:v>ШТ</x:v>
      </x:c>
      <x:c r="F232" s="21" t="n">
        <x:v>36</x:v>
      </x:c>
      <x:c r="G232" s="17" t="n">
        <x:v>11353.869</x:v>
      </x:c>
      <x:c r="H232" s="17" t="n">
        <x:f>G232*F232</x:f>
        <x:v>408739.28400000004</x:v>
      </x:c>
      <x:c r="I232" s="22" t="str">
        <x:f>HYPERLINK("https://etp-aktiv.ru/catalog/materialy/zapasnye-chasti-promyshlennogo-oborudovaniya/2000963160-U117/","Открыть позицию")</x:f>
        <x:v>Открыть позицию</x:v>
      </x:c>
    </x:row>
    <x:row r="233" ht="28" customHeight="1">
      <x:c r="A233" s="16" t="str">
        <x:v>Приморская ГРЭС</x:v>
      </x:c>
      <x:c r="B233" s="16" t="str">
        <x:v>2000316966-U117</x:v>
      </x:c>
      <x:c r="C233" s="16" t="str">
        <x:v>МАСЛЕНКА ПРЯМАЯ М10*1</x:v>
      </x:c>
      <x:c r="D233" s="16" t="str">
        <x:v>Инструмент и спецоснастка специализированные, нестандартные</x:v>
      </x:c>
      <x:c r="E233" s="16" t="str">
        <x:v>ШТ</x:v>
      </x:c>
      <x:c r="F233" s="21" t="n">
        <x:v>12</x:v>
      </x:c>
      <x:c r="G233" s="17" t="n">
        <x:v>5.392399999999999</x:v>
      </x:c>
      <x:c r="H233" s="17" t="n">
        <x:f>G233*F233</x:f>
        <x:v>64.7088</x:v>
      </x:c>
      <x:c r="I233" s="22" t="str">
        <x:f>HYPERLINK("https://etp-aktiv.ru/catalog/materialy/instrument-i-specosnastka/2000316966-U117/","Открыть позицию")</x:f>
        <x:v>Открыть позицию</x:v>
      </x:c>
    </x:row>
    <x:row r="234" ht="28" customHeight="1">
      <x:c r="A234" s="16" t="str">
        <x:v>Приморская ГРЭС</x:v>
      </x:c>
      <x:c r="B234" s="16" t="str">
        <x:v>5000058136-U117</x:v>
      </x:c>
      <x:c r="C234" s="16" t="str">
        <x:v>МАШИНА ШЛИФОВАЛЬНАЯ ПНЕВМАТИЧ ИП-21150</x:v>
      </x:c>
      <x:c r="D234" s="16" t="str">
        <x:v>Средства малой механизации</x:v>
      </x:c>
      <x:c r="E234" s="16" t="str">
        <x:v>ШТ</x:v>
      </x:c>
      <x:c r="F234" s="21" t="n">
        <x:v>1</x:v>
      </x:c>
      <x:c r="G234" s="17" t="n">
        <x:v>10500.0032</x:v>
      </x:c>
      <x:c r="H234" s="17" t="n">
        <x:f>G234*F234</x:f>
        <x:v>10500.0032</x:v>
      </x:c>
      <x:c r="I234" s="22" t="str">
        <x:f>HYPERLINK("https://etp-aktiv.ru/catalog/materialy/prochie-materialy/5000058136-U117/","Открыть позицию")</x:f>
        <x:v>Открыть позицию</x:v>
      </x:c>
    </x:row>
    <x:row r="235" ht="28" customHeight="1">
      <x:c r="A235" s="16" t="str">
        <x:v>Приморская ГРЭС</x:v>
      </x:c>
      <x:c r="B235" s="16" t="str">
        <x:v>2000381507-U117</x:v>
      </x:c>
      <x:c r="C235" s="16" t="str">
        <x:v>МЕТРОШТОК МШС-2</x:v>
      </x:c>
      <x:c r="D235" s="16" t="str">
        <x:v>Инструмент и спецоснастка</x:v>
      </x:c>
      <x:c r="E235" s="16" t="str">
        <x:v>ШТ</x:v>
      </x:c>
      <x:c r="F235" s="21" t="n">
        <x:v>5</x:v>
      </x:c>
      <x:c r="G235" s="17" t="n">
        <x:v>2352.9286</x:v>
      </x:c>
      <x:c r="H235" s="17" t="n">
        <x:f>G235*F235</x:f>
        <x:v>11764.643</x:v>
      </x:c>
      <x:c r="I235" s="22" t="str">
        <x:f>HYPERLINK("https://etp-aktiv.ru/catalog/materialy/instrument-i-specosnastka/2000381507-U117/","Открыть позицию")</x:f>
        <x:v>Открыть позицию</x:v>
      </x:c>
    </x:row>
    <x:row r="236" ht="28" customHeight="1">
      <x:c r="A236" s="16" t="str">
        <x:v>Приморская ГРЭС</x:v>
      </x:c>
      <x:c r="B236" s="16" t="str">
        <x:v>2000342736-U117</x:v>
      </x:c>
      <x:c r="C236" s="16" t="str">
        <x:v>МИКРОМЕТР 0-25ММ 617698 UNIOR</x:v>
      </x:c>
      <x:c r="D236" s="16" t="str">
        <x:v>Инструмент и спецоснастка</x:v>
      </x:c>
      <x:c r="E236" s="16" t="str">
        <x:v>ШТ</x:v>
      </x:c>
      <x:c r="F236" s="21" t="n">
        <x:v>2</x:v>
      </x:c>
      <x:c r="G236" s="17" t="n">
        <x:v>3949.9939999999997</x:v>
      </x:c>
      <x:c r="H236" s="17" t="n">
        <x:f>G236*F236</x:f>
        <x:v>7899.987999999999</x:v>
      </x:c>
      <x:c r="I236" s="22" t="str">
        <x:f>HYPERLINK("https://etp-aktiv.ru/catalog/materialy/instrument-i-specosnastka/2000342736-U117/","Открыть позицию")</x:f>
        <x:v>Открыть позицию</x:v>
      </x:c>
    </x:row>
    <x:row r="237" ht="28" customHeight="1">
      <x:c r="A237" s="16" t="str">
        <x:v>Приморская ГРЭС</x:v>
      </x:c>
      <x:c r="B237" s="16" t="str">
        <x:v>2000030927-U117</x:v>
      </x:c>
      <x:c r="C237" s="16" t="str">
        <x:v>МИКРОМЕТР ГЛАДКИЙ 0-25 МК</x:v>
      </x:c>
      <x:c r="D237" s="16" t="str">
        <x:v>Инструмент и спецоснастка</x:v>
      </x:c>
      <x:c r="E237" s="16" t="str">
        <x:v>ШТ</x:v>
      </x:c>
      <x:c r="F237" s="21" t="n">
        <x:v>1</x:v>
      </x:c>
      <x:c r="G237" s="17" t="n">
        <x:v>985.7478</x:v>
      </x:c>
      <x:c r="H237" s="17" t="n">
        <x:f>G237*F237</x:f>
        <x:v>985.7478</x:v>
      </x:c>
      <x:c r="I237" s="22" t="str">
        <x:f>HYPERLINK("https://etp-aktiv.ru/catalog/materialy/instrument-i-specosnastka/2000030927-U117/","Открыть позицию")</x:f>
        <x:v>Открыть позицию</x:v>
      </x:c>
    </x:row>
    <x:row r="238" ht="28" customHeight="1">
      <x:c r="A238" s="16" t="str">
        <x:v>Приморская ГРЭС</x:v>
      </x:c>
      <x:c r="B238" s="16" t="str">
        <x:v>2000526003-U117</x:v>
      </x:c>
      <x:c r="C238" s="16" t="str">
        <x:v>МОЛОТОК 3587.02.001.00</x:v>
      </x:c>
      <x:c r="D238" s="16" t="str">
        <x:v>Запасные части к дробильно-сортировочному оборудованию</x:v>
      </x:c>
      <x:c r="E238" s="16" t="str">
        <x:v>ШТ</x:v>
      </x:c>
      <x:c r="F238" s="21" t="n">
        <x:v>108</x:v>
      </x:c>
      <x:c r="G238" s="17" t="n">
        <x:v>2181.2746</x:v>
      </x:c>
      <x:c r="H238" s="17" t="n">
        <x:f>G238*F238</x:f>
        <x:v>235577.65680000003</x:v>
      </x:c>
      <x:c r="I238" s="22" t="str">
        <x:f>HYPERLINK("https://etp-aktiv.ru/catalog/materialy/zapasnye-chasti-k-drobilno-sortirovochnomu-oborudovaniyu/2000526003-U117/","Открыть позицию")</x:f>
        <x:v>Открыть позицию</x:v>
      </x:c>
    </x:row>
    <x:row r="239" ht="28" customHeight="1">
      <x:c r="A239" s="16" t="str">
        <x:v>Приморская ГРЭС</x:v>
      </x:c>
      <x:c r="B239" s="16" t="str">
        <x:v>2000972385-U117</x:v>
      </x:c>
      <x:c r="C239" s="16" t="str">
        <x:v>МУФТА МЗ-10-1-63000-1-У2 ГОСТ5006-94</x:v>
      </x:c>
      <x:c r="D239" s="16" t="str">
        <x:v>Запасные части к ленточным конвейерам и перегружателям</x:v>
      </x:c>
      <x:c r="E239" s="16" t="str">
        <x:v>ШТ</x:v>
      </x:c>
      <x:c r="F239" s="21" t="n">
        <x:v>2</x:v>
      </x:c>
      <x:c r="G239" s="17" t="n">
        <x:v>131531.25</x:v>
      </x:c>
      <x:c r="H239" s="17" t="n">
        <x:f>G239*F239</x:f>
        <x:v>263062.5</x:v>
      </x:c>
      <x:c r="I239" s="22" t="str">
        <x:f>HYPERLINK("https://etp-aktiv.ru/catalog/materialy/zapasnye-chasti-k-gorno-shahtnomu-oborudovaniyu/2000972385-U117/","Открыть позицию")</x:f>
        <x:v>Открыть позицию</x:v>
      </x:c>
    </x:row>
    <x:row r="240" ht="28" customHeight="1">
      <x:c r="A240" s="16" t="str">
        <x:v>Приморская ГРЭС</x:v>
      </x:c>
      <x:c r="B240" s="16" t="str">
        <x:v>2000813234-U117</x:v>
      </x:c>
      <x:c r="C240" s="16" t="str">
        <x:v>МУФТА ПРЕДОХРАНИТЕЛЬН АХЦ S0043087 5/1СБ</x:v>
      </x:c>
      <x:c r="D240" s="16" t="str">
        <x:v>Детали редукторов, муфт и элементов муфт</x:v>
      </x:c>
      <x:c r="E240" s="16" t="str">
        <x:v>ШТ</x:v>
      </x:c>
      <x:c r="F240" s="21" t="n">
        <x:v>3</x:v>
      </x:c>
      <x:c r="G240" s="17" t="n">
        <x:v>211459.9526</x:v>
      </x:c>
      <x:c r="H240" s="17" t="n">
        <x:f>G240*F240</x:f>
        <x:v>634379.8578</x:v>
      </x:c>
      <x:c r="I240" s="22" t="str">
        <x:f>HYPERLINK("https://etp-aktiv.ru/catalog/materialy/reduktory/2000813234-U117/","Открыть позицию")</x:f>
        <x:v>Открыть позицию</x:v>
      </x:c>
    </x:row>
    <x:row r="241" ht="28" customHeight="1">
      <x:c r="A241" s="16" t="str">
        <x:v>Приморская ГРЭС</x:v>
      </x:c>
      <x:c r="B241" s="16" t="str">
        <x:v>2000064139-U117</x:v>
      </x:c>
      <x:c r="C241" s="16" t="str">
        <x:v>МУФТА СОЕДИНИТЕЛЬНАЯ 34.21.00.02-002</x:v>
      </x:c>
      <x:c r="D241" s="16" t="str">
        <x:v>Запасные части к компрессорам</x:v>
      </x:c>
      <x:c r="E241" s="16" t="str">
        <x:v>ШТ</x:v>
      </x:c>
      <x:c r="F241" s="21" t="n">
        <x:v>1</x:v>
      </x:c>
      <x:c r="G241" s="17" t="n">
        <x:v>5490</x:v>
      </x:c>
      <x:c r="H241" s="17" t="n">
        <x:f>G241*F241</x:f>
        <x:v>5490</x:v>
      </x:c>
      <x:c r="I241" s="22" t="str">
        <x:f>HYPERLINK("https://etp-aktiv.ru/catalog/materialy/zapasnye-chasti-promyshlennogo-oborudovaniya/2000064139-U117/","Открыть позицию")</x:f>
        <x:v>Открыть позицию</x:v>
      </x:c>
    </x:row>
    <x:row r="242" ht="28" customHeight="1">
      <x:c r="A242" s="16" t="str">
        <x:v>Приморская ГРЭС</x:v>
      </x:c>
      <x:c r="B242" s="16" t="str">
        <x:v>2000590900-U117</x:v>
      </x:c>
      <x:c r="C242" s="16" t="str">
        <x:v>МУФТА СТП01-72.810.00.18 ПЭ-380-185/200</x:v>
      </x:c>
      <x:c r="D242" s="16" t="str">
        <x:v>Запасные части к энергетическим насосам</x:v>
      </x:c>
      <x:c r="E242" s="16" t="str">
        <x:v>ШТ</x:v>
      </x:c>
      <x:c r="F242" s="21" t="n">
        <x:v>2</x:v>
      </x:c>
      <x:c r="G242" s="17" t="n">
        <x:v>1145336</x:v>
      </x:c>
      <x:c r="H242" s="17" t="n">
        <x:f>G242*F242</x:f>
        <x:v>2290672</x:v>
      </x:c>
      <x:c r="I242" s="22" t="str">
        <x:f>HYPERLINK("https://etp-aktiv.ru/catalog/materialy/zapasnye-chasti-promyshlennogo-oborudovaniya/2000590900-U117/","Открыть позицию")</x:f>
        <x:v>Открыть позицию</x:v>
      </x:c>
    </x:row>
    <x:row r="243" ht="28" customHeight="1">
      <x:c r="A243" s="16" t="str">
        <x:v>Приморская ГРЭС</x:v>
      </x:c>
      <x:c r="B243" s="16" t="str">
        <x:v>2000348194-U117</x:v>
      </x:c>
      <x:c r="C243" s="16" t="str">
        <x:v>МУФТА УПРУГАЯ С БОЛТАМИ 75570-2208005</x:v>
      </x:c>
      <x:c r="D243" s="16" t="str">
        <x:v>Запасные части к карьерной технике БЕЛАЗ</x:v>
      </x:c>
      <x:c r="E243" s="16" t="str">
        <x:v>ШТ</x:v>
      </x:c>
      <x:c r="F243" s="21" t="n">
        <x:v>1</x:v>
      </x:c>
      <x:c r="G243" s="17" t="n">
        <x:v>213905.5768</x:v>
      </x:c>
      <x:c r="H243" s="17" t="n">
        <x:f>G243*F243</x:f>
        <x:v>213905.5768</x:v>
      </x:c>
      <x:c r="I243" s="22" t="str">
        <x:f>HYPERLINK("https://etp-aktiv.ru/catalog/materialy/zapasnye-chasti-k-gorno-shahtnomu-oborudovaniyu/2000348194-U117/","Открыть позицию")</x:f>
        <x:v>Открыть позицию</x:v>
      </x:c>
    </x:row>
    <x:row r="244" ht="28" customHeight="1">
      <x:c r="A244" s="16" t="str">
        <x:v>Приморская ГРЭС</x:v>
      </x:c>
      <x:c r="B244" s="16" t="str">
        <x:v>2000330471-U117</x:v>
      </x:c>
      <x:c r="C244" s="16" t="str">
        <x:v>НАБОР ИНСТРУМЕНТА РЕЛЕЙЩИКА РЗА-ПРОФИ</x:v>
      </x:c>
      <x:c r="D244" s="16" t="str">
        <x:v>Инструмент и спецоснастка</x:v>
      </x:c>
      <x:c r="E244" s="16" t="str">
        <x:v>ШТ</x:v>
      </x:c>
      <x:c r="F244" s="21" t="n">
        <x:v>4</x:v>
      </x:c>
      <x:c r="G244" s="17" t="n">
        <x:v>11045.355399999999</x:v>
      </x:c>
      <x:c r="H244" s="17" t="n">
        <x:f>G244*F244</x:f>
        <x:v>44181.421599999994</x:v>
      </x:c>
      <x:c r="I244" s="22" t="str">
        <x:f>HYPERLINK("https://etp-aktiv.ru/catalog/materialy/instrument-i-specosnastka/2000330471-U117/","Открыть позицию")</x:f>
        <x:v>Открыть позицию</x:v>
      </x:c>
    </x:row>
    <x:row r="245" ht="28" customHeight="1">
      <x:c r="A245" s="16" t="str">
        <x:v>Приморская ГРЭС</x:v>
      </x:c>
      <x:c r="B245" s="16" t="str">
        <x:v>2000262345-U117</x:v>
      </x:c>
      <x:c r="C245" s="16" t="str">
        <x:v>НАБОР НАДФИЛЕЙ 100ММ 16010-H6</x:v>
      </x:c>
      <x:c r="D245" s="16" t="str">
        <x:v>Инструмент и спецоснастка</x:v>
      </x:c>
      <x:c r="E245" s="16" t="str">
        <x:v>ШТ</x:v>
      </x:c>
      <x:c r="F245" s="21" t="n">
        <x:v>5</x:v>
      </x:c>
      <x:c r="G245" s="17" t="n">
        <x:v>312.73479999999995</x:v>
      </x:c>
      <x:c r="H245" s="17" t="n">
        <x:f>G245*F245</x:f>
        <x:v>1563.6739999999998</x:v>
      </x:c>
      <x:c r="I245" s="22" t="str">
        <x:f>HYPERLINK("https://etp-aktiv.ru/catalog/materialy/instrument-i-specosnastka/2000262345-U117/","Открыть позицию")</x:f>
        <x:v>Открыть позицию</x:v>
      </x:c>
    </x:row>
    <x:row r="246" ht="28" customHeight="1">
      <x:c r="A246" s="16" t="str">
        <x:v>Приморская ГРЭС</x:v>
      </x:c>
      <x:c r="B246" s="16" t="str">
        <x:v>2000031946-U117</x:v>
      </x:c>
      <x:c r="C246" s="16" t="str">
        <x:v>НАПИЛЬНИК КВАДРАТНЫЙ 1*250</x:v>
      </x:c>
      <x:c r="D246" s="16" t="str">
        <x:v>Инструмент и спецоснастка</x:v>
      </x:c>
      <x:c r="E246" s="16" t="str">
        <x:v>ШТ</x:v>
      </x:c>
      <x:c r="F246" s="21" t="n">
        <x:v>4</x:v>
      </x:c>
      <x:c r="G246" s="17" t="n">
        <x:v>47.909400000000005</x:v>
      </x:c>
      <x:c r="H246" s="17" t="n">
        <x:f>G246*F246</x:f>
        <x:v>191.63760000000002</x:v>
      </x:c>
      <x:c r="I246" s="22" t="str">
        <x:f>HYPERLINK("https://etp-aktiv.ru/catalog/materialy/instrument-i-specosnastka/2000031946-U117/","Открыть позицию")</x:f>
        <x:v>Открыть позицию</x:v>
      </x:c>
    </x:row>
    <x:row r="247" ht="28" customHeight="1">
      <x:c r="A247" s="16" t="str">
        <x:v>Приморская ГРЭС</x:v>
      </x:c>
      <x:c r="B247" s="16" t="str">
        <x:v>2000543576-U117</x:v>
      </x:c>
      <x:c r="C247" s="16" t="str">
        <x:v>НАПИЛЬНИК КВАДРАТНЫЙ 350ММ</x:v>
      </x:c>
      <x:c r="D247" s="16" t="str">
        <x:v>Инструмент и спецоснастка</x:v>
      </x:c>
      <x:c r="E247" s="16" t="str">
        <x:v>ШТ</x:v>
      </x:c>
      <x:c r="F247" s="21" t="n">
        <x:v>4</x:v>
      </x:c>
      <x:c r="G247" s="17" t="n">
        <x:v>198.37199999999999</x:v>
      </x:c>
      <x:c r="H247" s="17" t="n">
        <x:f>G247*F247</x:f>
        <x:v>793.4879999999999</x:v>
      </x:c>
      <x:c r="I247" s="22" t="str">
        <x:f>HYPERLINK("https://etp-aktiv.ru/catalog/materialy/instrument-i-specosnastka/2000543576-U117/","Открыть позицию")</x:f>
        <x:v>Открыть позицию</x:v>
      </x:c>
    </x:row>
    <x:row r="248" ht="28" customHeight="1">
      <x:c r="A248" s="16" t="str">
        <x:v>Приморская ГРЭС</x:v>
      </x:c>
      <x:c r="B248" s="16" t="str">
        <x:v>2000031969-U117</x:v>
      </x:c>
      <x:c r="C248" s="16" t="str">
        <x:v>НАПИЛЬНИК КРУГЛЫЙ 2*250</x:v>
      </x:c>
      <x:c r="D248" s="16" t="str">
        <x:v>Инструмент и спецоснастка</x:v>
      </x:c>
      <x:c r="E248" s="16" t="str">
        <x:v>ШТ</x:v>
      </x:c>
      <x:c r="F248" s="21" t="n">
        <x:v>9</x:v>
      </x:c>
      <x:c r="G248" s="17" t="n">
        <x:v>70.211</x:v>
      </x:c>
      <x:c r="H248" s="17" t="n">
        <x:f>G248*F248</x:f>
        <x:v>631.899</x:v>
      </x:c>
      <x:c r="I248" s="22" t="str">
        <x:f>HYPERLINK("https://etp-aktiv.ru/catalog/materialy/instrument-i-specosnastka/2000031969-U117/","Открыть позицию")</x:f>
        <x:v>Открыть позицию</x:v>
      </x:c>
    </x:row>
    <x:row r="249" ht="28" customHeight="1">
      <x:c r="A249" s="16" t="str">
        <x:v>Приморская ГРЭС</x:v>
      </x:c>
      <x:c r="B249" s="16" t="str">
        <x:v>2000031970-U117</x:v>
      </x:c>
      <x:c r="C249" s="16" t="str">
        <x:v>НАПИЛЬНИК КРУГЛЫЙ 2*300</x:v>
      </x:c>
      <x:c r="D249" s="16" t="str">
        <x:v>Инструмент и спецоснастка</x:v>
      </x:c>
      <x:c r="E249" s="16" t="str">
        <x:v>ШТ</x:v>
      </x:c>
      <x:c r="F249" s="21" t="n">
        <x:v>1</x:v>
      </x:c>
      <x:c r="G249" s="17" t="n">
        <x:v>50.874</x:v>
      </x:c>
      <x:c r="H249" s="17" t="n">
        <x:f>G249*F249</x:f>
        <x:v>50.874</x:v>
      </x:c>
      <x:c r="I249" s="22" t="str">
        <x:f>HYPERLINK("https://etp-aktiv.ru/catalog/materialy/instrument-i-specosnastka/2000031970-U117/","Открыть позицию")</x:f>
        <x:v>Открыть позицию</x:v>
      </x:c>
    </x:row>
    <x:row r="250" ht="28" customHeight="1">
      <x:c r="A250" s="16" t="str">
        <x:v>Приморская ГРЭС</x:v>
      </x:c>
      <x:c r="B250" s="16" t="str">
        <x:v>2000704080-U117</x:v>
      </x:c>
      <x:c r="C250" s="16" t="str">
        <x:v>НАПИЛЬНИК КРУГЛЫЙ N2 L=250ММ</x:v>
      </x:c>
      <x:c r="D250" s="16" t="str">
        <x:v>Инструмент и спецоснастка</x:v>
      </x:c>
      <x:c r="E250" s="16" t="str">
        <x:v>ШТ</x:v>
      </x:c>
      <x:c r="F250" s="21" t="n">
        <x:v>4</x:v>
      </x:c>
      <x:c r="G250" s="17" t="n">
        <x:v>32.5374</x:v>
      </x:c>
      <x:c r="H250" s="17" t="n">
        <x:f>G250*F250</x:f>
        <x:v>130.1496</x:v>
      </x:c>
      <x:c r="I250" s="22" t="str">
        <x:f>HYPERLINK("https://etp-aktiv.ru/catalog/materialy/instrument-i-specosnastka/2000704080-U117/","Открыть позицию")</x:f>
        <x:v>Открыть позицию</x:v>
      </x:c>
    </x:row>
    <x:row r="251" ht="28" customHeight="1">
      <x:c r="A251" s="16" t="str">
        <x:v>Приморская ГРЭС</x:v>
      </x:c>
      <x:c r="B251" s="16" t="str">
        <x:v>2000031981-U117</x:v>
      </x:c>
      <x:c r="C251" s="16" t="str">
        <x:v>НАПИЛЬНИК ПЛОСКИЙ 1*200</x:v>
      </x:c>
      <x:c r="D251" s="16" t="str">
        <x:v>Инструмент и спецоснастка</x:v>
      </x:c>
      <x:c r="E251" s="16" t="str">
        <x:v>ШТ</x:v>
      </x:c>
      <x:c r="F251" s="21" t="n">
        <x:v>2</x:v>
      </x:c>
      <x:c r="G251" s="17" t="n">
        <x:v>37.3442</x:v>
      </x:c>
      <x:c r="H251" s="17" t="n">
        <x:f>G251*F251</x:f>
        <x:v>74.6884</x:v>
      </x:c>
      <x:c r="I251" s="22" t="str">
        <x:f>HYPERLINK("https://etp-aktiv.ru/catalog/materialy/instrument-i-specosnastka/2000031981-U117/","Открыть позицию")</x:f>
        <x:v>Открыть позицию</x:v>
      </x:c>
    </x:row>
    <x:row r="252" ht="28" customHeight="1">
      <x:c r="A252" s="16" t="str">
        <x:v>Приморская ГРЭС</x:v>
      </x:c>
      <x:c r="B252" s="16" t="str">
        <x:v>2000031987-U117</x:v>
      </x:c>
      <x:c r="C252" s="16" t="str">
        <x:v>НАПИЛЬНИК ПЛОСКИЙ 2*200</x:v>
      </x:c>
      <x:c r="D252" s="16" t="str">
        <x:v>Инструмент и спецоснастка</x:v>
      </x:c>
      <x:c r="E252" s="16" t="str">
        <x:v>ШТ</x:v>
      </x:c>
      <x:c r="F252" s="21" t="n">
        <x:v>1</x:v>
      </x:c>
      <x:c r="G252" s="17" t="n">
        <x:v>44.1762</x:v>
      </x:c>
      <x:c r="H252" s="17" t="n">
        <x:f>G252*F252</x:f>
        <x:v>44.1762</x:v>
      </x:c>
      <x:c r="I252" s="22" t="str">
        <x:f>HYPERLINK("https://etp-aktiv.ru/catalog/materialy/instrument-i-specosnastka/2000031987-U117/","Открыть позицию")</x:f>
        <x:v>Открыть позицию</x:v>
      </x:c>
    </x:row>
    <x:row r="253" ht="28" customHeight="1">
      <x:c r="A253" s="16" t="str">
        <x:v>Приморская ГРЭС</x:v>
      </x:c>
      <x:c r="B253" s="16" t="str">
        <x:v>2000031990-U117</x:v>
      </x:c>
      <x:c r="C253" s="16" t="str">
        <x:v>НАПИЛЬНИК ПЛОСКИЙ 2*350</x:v>
      </x:c>
      <x:c r="D253" s="16" t="str">
        <x:v>Инструмент и спецоснастка</x:v>
      </x:c>
      <x:c r="E253" s="16" t="str">
        <x:v>ШТ</x:v>
      </x:c>
      <x:c r="F253" s="21" t="n">
        <x:v>2</x:v>
      </x:c>
      <x:c r="G253" s="17" t="n">
        <x:v>231.7512</x:v>
      </x:c>
      <x:c r="H253" s="17" t="n">
        <x:f>G253*F253</x:f>
        <x:v>463.5024</x:v>
      </x:c>
      <x:c r="I253" s="22" t="str">
        <x:f>HYPERLINK("https://etp-aktiv.ru/catalog/materialy/instrument-i-specosnastka/2000031990-U117/","Открыть позицию")</x:f>
        <x:v>Открыть позицию</x:v>
      </x:c>
    </x:row>
    <x:row r="254" ht="28" customHeight="1">
      <x:c r="A254" s="16" t="str">
        <x:v>Приморская ГРЭС</x:v>
      </x:c>
      <x:c r="B254" s="16" t="str">
        <x:v>2000032001-U117</x:v>
      </x:c>
      <x:c r="C254" s="16" t="str">
        <x:v>НАПИЛЬНИК ПЛОСКИЙ 300ММ</x:v>
      </x:c>
      <x:c r="D254" s="16" t="str">
        <x:v>Инструмент и спецоснастка</x:v>
      </x:c>
      <x:c r="E254" s="16" t="str">
        <x:v>ШТ</x:v>
      </x:c>
      <x:c r="F254" s="21" t="n">
        <x:v>2</x:v>
      </x:c>
      <x:c r="G254" s="17" t="n">
        <x:v>153.781</x:v>
      </x:c>
      <x:c r="H254" s="17" t="n">
        <x:f>G254*F254</x:f>
        <x:v>307.562</x:v>
      </x:c>
      <x:c r="I254" s="22" t="str">
        <x:f>HYPERLINK("https://etp-aktiv.ru/catalog/materialy/instrument-i-specosnastka/2000032001-U117/","Открыть позицию")</x:f>
        <x:v>Открыть позицию</x:v>
      </x:c>
    </x:row>
    <x:row r="255" ht="28" customHeight="1">
      <x:c r="A255" s="16" t="str">
        <x:v>Приморская ГРЭС</x:v>
      </x:c>
      <x:c r="B255" s="16" t="str">
        <x:v>2000712240-U117</x:v>
      </x:c>
      <x:c r="C255" s="16" t="str">
        <x:v>НАСОС ВОД 42020.0402-20-1307010-10</x:v>
      </x:c>
      <x:c r="D255" s="16" t="str">
        <x:v>Запасные части к автотранспортному оборудованию</x:v>
      </x:c>
      <x:c r="E255" s="16" t="str">
        <x:v>ШТ</x:v>
      </x:c>
      <x:c r="F255" s="21" t="n">
        <x:v>1</x:v>
      </x:c>
      <x:c r="G255" s="17" t="n">
        <x:v>2350.0006</x:v>
      </x:c>
      <x:c r="H255" s="17" t="n">
        <x:f>G255*F255</x:f>
        <x:v>2350.0006</x:v>
      </x:c>
      <x:c r="I255" s="22" t="str">
        <x:f>HYPERLINK("https://etp-aktiv.ru/catalog/materialy/zapasnye-chasti-k-avtotransportnomu-oborudovaniyu/2000712240-U117/","Открыть позицию")</x:f>
        <x:v>Открыть позицию</x:v>
      </x:c>
    </x:row>
    <x:row r="256" ht="28" customHeight="1">
      <x:c r="A256" s="16" t="str">
        <x:v>Приморская ГРЭС</x:v>
      </x:c>
      <x:c r="B256" s="16" t="str">
        <x:v>2000949327-U117</x:v>
      </x:c>
      <x:c r="C256" s="16" t="str">
        <x:v>НАСОС ГИДРАВЛИЧЕСКИЙ НРГ-7020 2Л</x:v>
      </x:c>
      <x:c r="D256" s="16" t="str">
        <x:v>Инструмент и спецоснастка</x:v>
      </x:c>
      <x:c r="E256" s="16" t="str">
        <x:v>ШТ</x:v>
      </x:c>
      <x:c r="F256" s="21" t="n">
        <x:v>5</x:v>
      </x:c>
      <x:c r="G256" s="17" t="n">
        <x:v>20949.6204</x:v>
      </x:c>
      <x:c r="H256" s="17" t="n">
        <x:f>G256*F256</x:f>
        <x:v>104748.102</x:v>
      </x:c>
      <x:c r="I256" s="22" t="str">
        <x:f>HYPERLINK("https://etp-aktiv.ru/catalog/materialy/instrument-i-specosnastka/2000949327-U117/","Открыть позицию")</x:f>
        <x:v>Открыть позицию</x:v>
      </x:c>
    </x:row>
    <x:row r="257" ht="28" customHeight="1">
      <x:c r="A257" s="16" t="str">
        <x:v>Приморская ГРЭС</x:v>
      </x:c>
      <x:c r="B257" s="16" t="str">
        <x:v>2000293897-U117</x:v>
      </x:c>
      <x:c r="C257" s="16" t="str">
        <x:v>НАСОС ГИДРАВЛИЧЕСКИЙ РУЧНОЙ НРГ-7010</x:v>
      </x:c>
      <x:c r="D257" s="16" t="str">
        <x:v>Инструмент и спецоснастка</x:v>
      </x:c>
      <x:c r="E257" s="16" t="str">
        <x:v>ШТ</x:v>
      </x:c>
      <x:c r="F257" s="21" t="n">
        <x:v>1</x:v>
      </x:c>
      <x:c r="G257" s="17" t="n">
        <x:v>17224.143</x:v>
      </x:c>
      <x:c r="H257" s="17" t="n">
        <x:f>G257*F257</x:f>
        <x:v>17224.143</x:v>
      </x:c>
      <x:c r="I257" s="22" t="str">
        <x:f>HYPERLINK("https://etp-aktiv.ru/catalog/materialy/instrument-i-specosnastka/2000293897-U117/","Открыть позицию")</x:f>
        <x:v>Открыть позицию</x:v>
      </x:c>
    </x:row>
    <x:row r="258" ht="28" customHeight="1">
      <x:c r="A258" s="16" t="str">
        <x:v>Приморская ГРЭС</x:v>
      </x:c>
      <x:c r="B258" s="16" t="str">
        <x:v>5000077212-U117</x:v>
      </x:c>
      <x:c r="C258" s="16" t="str">
        <x:v>НАСОС Д200-125-500А 85/380/1480 297 74</x:v>
      </x:c>
      <x:c r="D258" s="16" t="str">
        <x:v>Насосы одноступенчатые энергетические</x:v>
      </x:c>
      <x:c r="E258" s="16" t="str">
        <x:v>ШТ</x:v>
      </x:c>
      <x:c r="F258" s="21" t="n">
        <x:v>1</x:v>
      </x:c>
      <x:c r="G258" s="17" t="n">
        <x:v>992317.5</x:v>
      </x:c>
      <x:c r="H258" s="17" t="n">
        <x:f>G258*F258</x:f>
        <x:v>992317.5</x:v>
      </x:c>
      <x:c r="I258" s="22" t="str">
        <x:f>HYPERLINK("https://etp-aktiv.ru/catalog/materialy/nasosno-kompressornoe-oborudovanie/5000077212-U117/","Открыть позицию")</x:f>
        <x:v>Открыть позицию</x:v>
      </x:c>
    </x:row>
    <x:row r="259" ht="28" customHeight="1">
      <x:c r="A259" s="16" t="str">
        <x:v>Приморская ГРЭС</x:v>
      </x:c>
      <x:c r="B259" s="16" t="str">
        <x:v>2000062726-U117</x:v>
      </x:c>
      <x:c r="C259" s="16" t="str">
        <x:v>НАСОС МАСЛОПРОКАЧИВАЮЩИЙ 2Д100.70.001 СБ</x:v>
      </x:c>
      <x:c r="D259" s="16" t="str">
        <x:v>Запасные части к локомотивам</x:v>
      </x:c>
      <x:c r="E259" s="16" t="str">
        <x:v>ШТ</x:v>
      </x:c>
      <x:c r="F259" s="21" t="n">
        <x:v>1</x:v>
      </x:c>
      <x:c r="G259" s="17" t="n">
        <x:v>30512.383</x:v>
      </x:c>
      <x:c r="H259" s="17" t="n">
        <x:f>G259*F259</x:f>
        <x:v>30512.383</x:v>
      </x:c>
      <x:c r="I259" s="22" t="str">
        <x:f>HYPERLINK("https://etp-aktiv.ru/catalog/materialy/zapasnye-chasti-k-zhd-oborudovaniyu-i-podvizhnomu-sostavu/2000062726-U117/","Открыть позицию")</x:f>
        <x:v>Открыть позицию</x:v>
      </x:c>
    </x:row>
    <x:row r="260" ht="28" customHeight="1">
      <x:c r="A260" s="16" t="str">
        <x:v>Приморская ГРЭС</x:v>
      </x:c>
      <x:c r="B260" s="16" t="str">
        <x:v>5000074737-U117</x:v>
      </x:c>
      <x:c r="C260" s="16" t="str">
        <x:v>НАСОС МАСЛЯНЫЙ Д-240</x:v>
      </x:c>
      <x:c r="D260" s="16" t="str">
        <x:v>Насосы</x:v>
      </x:c>
      <x:c r="E260" s="16" t="str">
        <x:v>ШТ</x:v>
      </x:c>
      <x:c r="F260" s="21" t="n">
        <x:v>2</x:v>
      </x:c>
      <x:c r="G260" s="17" t="n">
        <x:v>318.29799999999994</x:v>
      </x:c>
      <x:c r="H260" s="17" t="n">
        <x:f>G260*F260</x:f>
        <x:v>636.5959999999999</x:v>
      </x:c>
      <x:c r="I260" s="22" t="str">
        <x:f>HYPERLINK("https://etp-aktiv.ru/catalog/materialy/nasosno-kompressornoe-oborudovanie/5000074737-U117/","Открыть позицию")</x:f>
        <x:v>Открыть позицию</x:v>
      </x:c>
    </x:row>
    <x:row r="261" ht="28" customHeight="1">
      <x:c r="A261" s="16" t="str">
        <x:v>Приморская ГРЭС</x:v>
      </x:c>
      <x:c r="B261" s="16" t="str">
        <x:v>2000163260-U117</x:v>
      </x:c>
      <x:c r="C261" s="16" t="str">
        <x:v>НАСОС ТОПЛИВНЫЙ 3160-51-1139020</x:v>
      </x:c>
      <x:c r="D261" s="16" t="str">
        <x:v>Запасные части к автотранспортному оборудованию</x:v>
      </x:c>
      <x:c r="E261" s="16" t="str">
        <x:v>ШТ</x:v>
      </x:c>
      <x:c r="F261" s="21" t="n">
        <x:v>1</x:v>
      </x:c>
      <x:c r="G261" s="17" t="n">
        <x:v>748.5187999999999</x:v>
      </x:c>
      <x:c r="H261" s="17" t="n">
        <x:f>G261*F261</x:f>
        <x:v>748.5187999999999</x:v>
      </x:c>
      <x:c r="I261" s="22" t="str">
        <x:f>HYPERLINK("https://etp-aktiv.ru/catalog/materialy/zapasnye-chasti-k-avtotransportnomu-oborudovaniyu/2000163260-U117/","Открыть позицию")</x:f>
        <x:v>Открыть позицию</x:v>
      </x:c>
    </x:row>
    <x:row r="262" ht="28" customHeight="1">
      <x:c r="A262" s="16" t="str">
        <x:v>Приморская ГРЭС</x:v>
      </x:c>
      <x:c r="B262" s="16" t="str">
        <x:v>2000112757-U117</x:v>
      </x:c>
      <x:c r="C262" s="16" t="str">
        <x:v>НАСОС ШЕСТЕРЕННЫЙ НШ-50Л</x:v>
      </x:c>
      <x:c r="D262" s="16" t="str">
        <x:v>Запасные части к инструментальным насосам</x:v>
      </x:c>
      <x:c r="E262" s="16" t="str">
        <x:v>ШТ</x:v>
      </x:c>
      <x:c r="F262" s="21" t="n">
        <x:v>1</x:v>
      </x:c>
      <x:c r="G262" s="17" t="n">
        <x:v>7320</x:v>
      </x:c>
      <x:c r="H262" s="17" t="n">
        <x:f>G262*F262</x:f>
        <x:v>7320</x:v>
      </x:c>
      <x:c r="I262" s="22" t="str">
        <x:f>HYPERLINK("https://etp-aktiv.ru/catalog/materialy/nasosno-kompressornoe-oborudovanie/2000112757-U117/","Открыть позицию")</x:f>
        <x:v>Открыть позицию</x:v>
      </x:c>
    </x:row>
    <x:row r="263" ht="28" customHeight="1">
      <x:c r="A263" s="16" t="str">
        <x:v>Приморская ГРЭС</x:v>
      </x:c>
      <x:c r="B263" s="16" t="str">
        <x:v>2000078235-U117</x:v>
      </x:c>
      <x:c r="C263" s="16" t="str">
        <x:v>НОЖОВКА ПО МЕТАЛЛУ С ПОЛОТНОМ 1 UNIOR</x:v>
      </x:c>
      <x:c r="D263" s="16" t="str">
        <x:v>Инструмент и спецоснастка</x:v>
      </x:c>
      <x:c r="E263" s="16" t="str">
        <x:v>ШТ</x:v>
      </x:c>
      <x:c r="F263" s="21" t="n">
        <x:v>6</x:v>
      </x:c>
      <x:c r="G263" s="17" t="n">
        <x:v>2667.4934</x:v>
      </x:c>
      <x:c r="H263" s="17" t="n">
        <x:f>G263*F263</x:f>
        <x:v>16004.9604</x:v>
      </x:c>
      <x:c r="I263" s="22" t="str">
        <x:f>HYPERLINK("https://etp-aktiv.ru/catalog/materialy/instrument-i-specosnastka/2000078235-U117/","Открыть позицию")</x:f>
        <x:v>Открыть позицию</x:v>
      </x:c>
    </x:row>
    <x:row r="264" ht="28" customHeight="1">
      <x:c r="A264" s="16" t="str">
        <x:v>Приморская ГРЭС</x:v>
      </x:c>
      <x:c r="B264" s="16" t="str">
        <x:v>2000517524-U117</x:v>
      </x:c>
      <x:c r="C264" s="16" t="str">
        <x:v>НОСИЛКИ ОЦИНК СТРОИТ 509</x:v>
      </x:c>
      <x:c r="D264" s="16" t="str">
        <x:v>Инструмент и спецоснастка</x:v>
      </x:c>
      <x:c r="E264" s="16" t="str">
        <x:v>ШТ</x:v>
      </x:c>
      <x:c r="F264" s="21" t="n">
        <x:v>4</x:v>
      </x:c>
      <x:c r="G264" s="17" t="n">
        <x:v>669.1456000000001</x:v>
      </x:c>
      <x:c r="H264" s="17" t="n">
        <x:f>G264*F264</x:f>
        <x:v>2676.5824000000002</x:v>
      </x:c>
      <x:c r="I264" s="22" t="str">
        <x:f>HYPERLINK("https://etp-aktiv.ru/catalog/materialy/instrument-i-specosnastka/2000517524-U117/","Открыть позицию")</x:f>
        <x:v>Открыть позицию</x:v>
      </x:c>
    </x:row>
    <x:row r="265" ht="28" customHeight="1">
      <x:c r="A265" s="16" t="str">
        <x:v>Приморская ГРЭС</x:v>
      </x:c>
      <x:c r="B265" s="16" t="str">
        <x:v>2000716246-U117</x:v>
      </x:c>
      <x:c r="C265" s="16" t="str">
        <x:v>ОСЬ ЗВЕНА ДРОБЯЩЕГО ПОЛОТНА 3589.00.011</x:v>
      </x:c>
      <x:c r="D265" s="16" t="str">
        <x:v>Запасные части к дробильно-сортировочному оборудованию</x:v>
      </x:c>
      <x:c r="E265" s="16" t="str">
        <x:v>ШТ</x:v>
      </x:c>
      <x:c r="F265" s="21" t="n">
        <x:v>45</x:v>
      </x:c>
      <x:c r="G265" s="17" t="n">
        <x:v>1874.0664</x:v>
      </x:c>
      <x:c r="H265" s="17" t="n">
        <x:f>G265*F265</x:f>
        <x:v>84332.988</x:v>
      </x:c>
      <x:c r="I265" s="22" t="str">
        <x:f>HYPERLINK("https://etp-aktiv.ru/catalog/materialy/zapasnye-chasti-k-drobilno-sortirovochnomu-oborudovaniyu/2000716246-U117/","Открыть позицию")</x:f>
        <x:v>Открыть позицию</x:v>
      </x:c>
    </x:row>
    <x:row r="266" ht="28" customHeight="1">
      <x:c r="A266" s="16" t="str">
        <x:v>Приморская ГРЭС</x:v>
      </x:c>
      <x:c r="B266" s="16" t="str">
        <x:v>2000170160-U117</x:v>
      </x:c>
      <x:c r="C266" s="16" t="str">
        <x:v>ОТВЕРТКА MATRIX SL8*150ММ 1000В</x:v>
      </x:c>
      <x:c r="D266" s="16" t="str">
        <x:v>Инструмент и спецоснастка</x:v>
      </x:c>
      <x:c r="E266" s="16" t="str">
        <x:v>ШТ</x:v>
      </x:c>
      <x:c r="F266" s="21" t="n">
        <x:v>10</x:v>
      </x:c>
      <x:c r="G266" s="17" t="n">
        <x:v>290.0062</x:v>
      </x:c>
      <x:c r="H266" s="17" t="n">
        <x:f>G266*F266</x:f>
        <x:v>2900.062</x:v>
      </x:c>
      <x:c r="I266" s="22" t="str">
        <x:f>HYPERLINK("https://etp-aktiv.ru/catalog/materialy/instrument-i-specosnastka/2000170160-U117/","Открыть позицию")</x:f>
        <x:v>Открыть позицию</x:v>
      </x:c>
    </x:row>
    <x:row r="267" ht="28" customHeight="1">
      <x:c r="A267" s="16" t="str">
        <x:v>Приморская ГРЭС</x:v>
      </x:c>
      <x:c r="B267" s="16" t="str">
        <x:v>2000542672-U117</x:v>
      </x:c>
      <x:c r="C267" s="16" t="str">
        <x:v>ОТВЕРТКА PH 1*80 TBI 613-616444</x:v>
      </x:c>
      <x:c r="D267" s="16" t="str">
        <x:v>Инструмент и спецоснастка</x:v>
      </x:c>
      <x:c r="E267" s="16" t="str">
        <x:v>ШТ</x:v>
      </x:c>
      <x:c r="F267" s="21" t="n">
        <x:v>6</x:v>
      </x:c>
      <x:c r="G267" s="17" t="n">
        <x:v>67.5514</x:v>
      </x:c>
      <x:c r="H267" s="17" t="n">
        <x:f>G267*F267</x:f>
        <x:v>405.3084</x:v>
      </x:c>
      <x:c r="I267" s="22" t="str">
        <x:f>HYPERLINK("https://etp-aktiv.ru/catalog/materialy/instrument-i-specosnastka/2000542672-U117/","Открыть позицию")</x:f>
        <x:v>Открыть позицию</x:v>
      </x:c>
    </x:row>
    <x:row r="268" ht="28" customHeight="1">
      <x:c r="A268" s="16" t="str">
        <x:v>Приморская ГРЭС</x:v>
      </x:c>
      <x:c r="B268" s="16" t="str">
        <x:v>2000542744-U117</x:v>
      </x:c>
      <x:c r="C268" s="16" t="str">
        <x:v>ОТВЕРТКА SF-SL 0,6*3,5*100 SVDE 1212587</x:v>
      </x:c>
      <x:c r="D268" s="16" t="str">
        <x:v>Инструмент и спецоснастка</x:v>
      </x:c>
      <x:c r="E268" s="16" t="str">
        <x:v>ШТ</x:v>
      </x:c>
      <x:c r="F268" s="21" t="n">
        <x:v>12</x:v>
      </x:c>
      <x:c r="G268" s="17" t="n">
        <x:v>144.1918</x:v>
      </x:c>
      <x:c r="H268" s="17" t="n">
        <x:f>G268*F268</x:f>
        <x:v>1730.3016</x:v>
      </x:c>
      <x:c r="I268" s="22" t="str">
        <x:f>HYPERLINK("https://etp-aktiv.ru/catalog/materialy/instrument-i-specosnastka/2000542744-U117/","Открыть позицию")</x:f>
        <x:v>Открыть позицию</x:v>
      </x:c>
    </x:row>
    <x:row r="269" ht="28" customHeight="1">
      <x:c r="A269" s="16" t="str">
        <x:v>Приморская ГРЭС</x:v>
      </x:c>
      <x:c r="B269" s="16" t="str">
        <x:v>2000341704-U117</x:v>
      </x:c>
      <x:c r="C269" s="16" t="str">
        <x:v>ОТВЕРТКА ШЛИЦЕВАЯ 616474 UNIOR</x:v>
      </x:c>
      <x:c r="D269" s="16" t="str">
        <x:v>Инструмент и спецоснастка</x:v>
      </x:c>
      <x:c r="E269" s="16" t="str">
        <x:v>ШТ</x:v>
      </x:c>
      <x:c r="F269" s="21" t="n">
        <x:v>27</x:v>
      </x:c>
      <x:c r="G269" s="17" t="n">
        <x:v>88.3158</x:v>
      </x:c>
      <x:c r="H269" s="17" t="n">
        <x:f>G269*F269</x:f>
        <x:v>2384.5265999999997</x:v>
      </x:c>
      <x:c r="I269" s="22" t="str">
        <x:f>HYPERLINK("https://etp-aktiv.ru/catalog/materialy/instrument-i-specosnastka/2000341704-U117/","Открыть позицию")</x:f>
        <x:v>Открыть позицию</x:v>
      </x:c>
    </x:row>
    <x:row r="270" ht="28" customHeight="1">
      <x:c r="A270" s="16" t="str">
        <x:v>Приморская ГРЭС</x:v>
      </x:c>
      <x:c r="B270" s="16" t="str">
        <x:v>2000806881-U117</x:v>
      </x:c>
      <x:c r="C270" s="16" t="str">
        <x:v>ПАЛЕЦ ЗГ1144И2-1 МВ 3300/800/490</x:v>
      </x:c>
      <x:c r="D270" s="16" t="str">
        <x:v>Запасные части к мельницам</x:v>
      </x:c>
      <x:c r="E270" s="16" t="str">
        <x:v>ШТ</x:v>
      </x:c>
      <x:c r="F270" s="21" t="n">
        <x:v>186</x:v>
      </x:c>
      <x:c r="G270" s="17" t="n">
        <x:v>10170.5422</x:v>
      </x:c>
      <x:c r="H270" s="17" t="n">
        <x:f>G270*F270</x:f>
        <x:v>1891720.8492</x:v>
      </x:c>
      <x:c r="I270" s="22" t="str">
        <x:f>HYPERLINK("https://etp-aktiv.ru/catalog/materialy/zapasnye-chasti-promyshlennogo-oborudovaniya/2000806881-U117/","Открыть позицию")</x:f>
        <x:v>Открыть позицию</x:v>
      </x:c>
    </x:row>
    <x:row r="271" ht="28" customHeight="1">
      <x:c r="A271" s="16" t="str">
        <x:v>Приморская ГРЭС</x:v>
      </x:c>
      <x:c r="B271" s="16" t="str">
        <x:v>2000128593-U117</x:v>
      </x:c>
      <x:c r="C271" s="16" t="str">
        <x:v>ПАЯЛЬНИК 60ВТ HAUPA HAU-160142</x:v>
      </x:c>
      <x:c r="D271" s="16" t="str">
        <x:v>Инструмент и спецоснастка</x:v>
      </x:c>
      <x:c r="E271" s="16" t="str">
        <x:v>ШТ</x:v>
      </x:c>
      <x:c r="F271" s="21" t="n">
        <x:v>5</x:v>
      </x:c>
      <x:c r="G271" s="17" t="n">
        <x:v>410.43240000000003</x:v>
      </x:c>
      <x:c r="H271" s="17" t="n">
        <x:f>G271*F271</x:f>
        <x:v>2052.1620000000003</x:v>
      </x:c>
      <x:c r="I271" s="22" t="str">
        <x:f>HYPERLINK("https://etp-aktiv.ru/catalog/materialy/instrument-i-specosnastka/2000128593-U117/","Открыть позицию")</x:f>
        <x:v>Открыть позицию</x:v>
      </x:c>
    </x:row>
    <x:row r="272" ht="28" customHeight="1">
      <x:c r="A272" s="16" t="str">
        <x:v>Приморская ГРЭС</x:v>
      </x:c>
      <x:c r="B272" s="16" t="str">
        <x:v>2000378252-U117</x:v>
      </x:c>
      <x:c r="C272" s="16" t="str">
        <x:v>ПАЯЛЬНИК ЭЛЕКТРИЧЕСКИЙ ЗУБР 55400-40_Z01</x:v>
      </x:c>
      <x:c r="D272" s="16" t="str">
        <x:v>Инструмент и спецоснастка</x:v>
      </x:c>
      <x:c r="E272" s="16" t="str">
        <x:v>ШТ</x:v>
      </x:c>
      <x:c r="F272" s="21" t="n">
        <x:v>5</x:v>
      </x:c>
      <x:c r="G272" s="17" t="n">
        <x:v>637.8770000000001</x:v>
      </x:c>
      <x:c r="H272" s="17" t="n">
        <x:f>G272*F272</x:f>
        <x:v>3189.385</x:v>
      </x:c>
      <x:c r="I272" s="22" t="str">
        <x:f>HYPERLINK("https://etp-aktiv.ru/catalog/materialy/instrument-i-specosnastka/2000378252-U117/","Открыть позицию")</x:f>
        <x:v>Открыть позицию</x:v>
      </x:c>
    </x:row>
    <x:row r="273" ht="28" customHeight="1">
      <x:c r="A273" s="16" t="str">
        <x:v>Приморская ГРЭС</x:v>
      </x:c>
      <x:c r="B273" s="16" t="str">
        <x:v>2000632553-U117</x:v>
      </x:c>
      <x:c r="C273" s="16" t="str">
        <x:v>ПИЛКА Д/ЛОБЗ Т244D 2ШТ STAYER 15986-4Z02</x:v>
      </x:c>
      <x:c r="D273" s="16" t="str">
        <x:v>Инструмент и спецоснастка</x:v>
      </x:c>
      <x:c r="E273" s="16" t="str">
        <x:v>ШТ</x:v>
      </x:c>
      <x:c r="F273" s="21" t="n">
        <x:v>14</x:v>
      </x:c>
      <x:c r="G273" s="17" t="n">
        <x:v>130.0032</x:v>
      </x:c>
      <x:c r="H273" s="17" t="n">
        <x:f>G273*F273</x:f>
        <x:v>1820.0448</x:v>
      </x:c>
      <x:c r="I273" s="22" t="str">
        <x:f>HYPERLINK("https://etp-aktiv.ru/catalog/materialy/instrument-i-specosnastka/2000632553-U117/","Открыть позицию")</x:f>
        <x:v>Открыть позицию</x:v>
      </x:c>
    </x:row>
    <x:row r="274" ht="28" customHeight="1">
      <x:c r="A274" s="16" t="str">
        <x:v>Приморская ГРЭС</x:v>
      </x:c>
      <x:c r="B274" s="16" t="str">
        <x:v>2000358806-U117</x:v>
      </x:c>
      <x:c r="C274" s="16" t="str">
        <x:v>ПИЛКА Д/ЛОБЗИКА 150ММ 5954876 5ШТ</x:v>
      </x:c>
      <x:c r="D274" s="16" t="str">
        <x:v>Инструмент и спецоснастка</x:v>
      </x:c>
      <x:c r="E274" s="16" t="str">
        <x:v>КМП</x:v>
      </x:c>
      <x:c r="F274" s="21" t="n">
        <x:v>4</x:v>
      </x:c>
      <x:c r="G274" s="17" t="n">
        <x:v>797.2456</x:v>
      </x:c>
      <x:c r="H274" s="17" t="n">
        <x:f>G274*F274</x:f>
        <x:v>3188.9824</x:v>
      </x:c>
      <x:c r="I274" s="22" t="str">
        <x:f>HYPERLINK("https://etp-aktiv.ru/catalog/materialy/instrument-i-specosnastka/2000358806-U117/","Открыть позицию")</x:f>
        <x:v>Открыть позицию</x:v>
      </x:c>
    </x:row>
    <x:row r="275" ht="28" customHeight="1">
      <x:c r="A275" s="16" t="str">
        <x:v>Приморская ГРЭС</x:v>
      </x:c>
      <x:c r="B275" s="16" t="str">
        <x:v>2000543591-U117</x:v>
      </x:c>
      <x:c r="C275" s="16" t="str">
        <x:v>ПЛАШКА КРУГЛАЯ М10*1,25</x:v>
      </x:c>
      <x:c r="D275" s="16" t="str">
        <x:v>Инструмент и спецоснастка</x:v>
      </x:c>
      <x:c r="E275" s="16" t="str">
        <x:v>ШТ</x:v>
      </x:c>
      <x:c r="F275" s="21" t="n">
        <x:v>9</x:v>
      </x:c>
      <x:c r="G275" s="17" t="n">
        <x:v>48.348600000000005</x:v>
      </x:c>
      <x:c r="H275" s="17" t="n">
        <x:f>G275*F275</x:f>
        <x:v>435.13740000000007</x:v>
      </x:c>
      <x:c r="I275" s="22" t="str">
        <x:f>HYPERLINK("https://etp-aktiv.ru/catalog/materialy/instrument-i-specosnastka/2000543591-U117/","Открыть позицию")</x:f>
        <x:v>Открыть позицию</x:v>
      </x:c>
    </x:row>
    <x:row r="276" ht="28" customHeight="1">
      <x:c r="A276" s="16" t="str">
        <x:v>Приморская ГРЭС</x:v>
      </x:c>
      <x:c r="B276" s="16" t="str">
        <x:v>2000635578-U117</x:v>
      </x:c>
      <x:c r="C276" s="16" t="str">
        <x:v>ПЛАШКА КРУГЛАЯ М14*2 2650-1791</x:v>
      </x:c>
      <x:c r="D276" s="16" t="str">
        <x:v>Инструмент и спецоснастка</x:v>
      </x:c>
      <x:c r="E276" s="16" t="str">
        <x:v>ШТ</x:v>
      </x:c>
      <x:c r="F276" s="21" t="n">
        <x:v>9</x:v>
      </x:c>
      <x:c r="G276" s="17" t="n">
        <x:v>77.2016</x:v>
      </x:c>
      <x:c r="H276" s="17" t="n">
        <x:f>G276*F276</x:f>
        <x:v>694.8144</x:v>
      </x:c>
      <x:c r="I276" s="22" t="str">
        <x:f>HYPERLINK("https://etp-aktiv.ru/catalog/materialy/instrument-i-specosnastka/2000635578-U117/","Открыть позицию")</x:f>
        <x:v>Открыть позицию</x:v>
      </x:c>
    </x:row>
    <x:row r="277" ht="28" customHeight="1">
      <x:c r="A277" s="16" t="str">
        <x:v>Приморская ГРЭС</x:v>
      </x:c>
      <x:c r="B277" s="16" t="str">
        <x:v>2000635611-U117</x:v>
      </x:c>
      <x:c r="C277" s="16" t="str">
        <x:v>ПЛАШКА КРУГЛАЯ М30*2 2650-2361</x:v>
      </x:c>
      <x:c r="D277" s="16" t="str">
        <x:v>Инструмент и спецоснастка</x:v>
      </x:c>
      <x:c r="E277" s="16" t="str">
        <x:v>ШТ</x:v>
      </x:c>
      <x:c r="F277" s="21" t="n">
        <x:v>9</x:v>
      </x:c>
      <x:c r="G277" s="17" t="n">
        <x:v>328.8266</x:v>
      </x:c>
      <x:c r="H277" s="17" t="n">
        <x:f>G277*F277</x:f>
        <x:v>2959.4393999999998</x:v>
      </x:c>
      <x:c r="I277" s="22" t="str">
        <x:f>HYPERLINK("https://etp-aktiv.ru/catalog/materialy/instrument-i-specosnastka/2000635611-U117/","Открыть позицию")</x:f>
        <x:v>Открыть позицию</x:v>
      </x:c>
    </x:row>
    <x:row r="278" ht="28" customHeight="1">
      <x:c r="A278" s="16" t="str">
        <x:v>Приморская ГРЭС</x:v>
      </x:c>
      <x:c r="B278" s="16" t="str">
        <x:v>2000785540-U117</x:v>
      </x:c>
      <x:c r="C278" s="16" t="str">
        <x:v>ПЛИТА ПРИВАЛОЧНОЙ СТЕНКИ Т.3342-00-00</x:v>
      </x:c>
      <x:c r="D278" s="16" t="str">
        <x:v>Запасные части к вагоноопрокидывателям</x:v>
      </x:c>
      <x:c r="E278" s="16" t="str">
        <x:v>ШТ</x:v>
      </x:c>
      <x:c r="F278" s="21" t="n">
        <x:v>30</x:v>
      </x:c>
      <x:c r="G278" s="17" t="n">
        <x:v>6968.615599999999</x:v>
      </x:c>
      <x:c r="H278" s="17" t="n">
        <x:f>G278*F278</x:f>
        <x:v>209058.46799999996</x:v>
      </x:c>
      <x:c r="I278" s="22" t="str">
        <x:f>HYPERLINK("https://etp-aktiv.ru/catalog/materialy/zapasnye-chasti-k-drobilno-sortirovochnomu-oborudovaniyu/2000785540-U117/","Открыть позицию")</x:f>
        <x:v>Открыть позицию</x:v>
      </x:c>
    </x:row>
    <x:row r="279" ht="28" customHeight="1">
      <x:c r="A279" s="16" t="str">
        <x:v>Приморская ГРЭС</x:v>
      </x:c>
      <x:c r="B279" s="16" t="str">
        <x:v>2000534423-U117</x:v>
      </x:c>
      <x:c r="C279" s="16" t="str">
        <x:v>ПОДУШКА ГИДРОПЯТЫ Н17.59.108.03</x:v>
      </x:c>
      <x:c r="D279" s="16" t="str">
        <x:v>Запасные части к энергетическим насосам</x:v>
      </x:c>
      <x:c r="E279" s="16" t="str">
        <x:v>ШТ</x:v>
      </x:c>
      <x:c r="F279" s="21" t="n">
        <x:v>2</x:v>
      </x:c>
      <x:c r="G279" s="17" t="n">
        <x:v>49347.3774</x:v>
      </x:c>
      <x:c r="H279" s="17" t="n">
        <x:f>G279*F279</x:f>
        <x:v>98694.7548</x:v>
      </x:c>
      <x:c r="I279" s="22" t="str">
        <x:f>HYPERLINK("https://etp-aktiv.ru/catalog/materialy/zapasnye-chasti-promyshlennogo-oborudovaniya/2000534423-U117/","Открыть позицию")</x:f>
        <x:v>Открыть позицию</x:v>
      </x:c>
    </x:row>
    <x:row r="280" ht="28" customHeight="1">
      <x:c r="A280" s="16" t="str">
        <x:v>Приморская ГРЭС</x:v>
      </x:c>
      <x:c r="B280" s="16" t="str">
        <x:v>2000013115-U117</x:v>
      </x:c>
      <x:c r="C280" s="16" t="str">
        <x:v>ПОДШИПНИК 1000856</x:v>
      </x:c>
      <x:c r="D280" s="16" t="str">
        <x:v>Подшипники</x:v>
      </x:c>
      <x:c r="E280" s="16" t="str">
        <x:v>ШТ</x:v>
      </x:c>
      <x:c r="F280" s="21" t="n">
        <x:v>8</x:v>
      </x:c>
      <x:c r="G280" s="17" t="n">
        <x:v>9831.4432</x:v>
      </x:c>
      <x:c r="H280" s="17" t="n">
        <x:f>G280*F280</x:f>
        <x:v>78651.5456</x:v>
      </x:c>
      <x:c r="I280" s="22" t="str">
        <x:f>HYPERLINK("https://etp-aktiv.ru/catalog/materialy/podshipniki/2000013115-U117/","Открыть позицию")</x:f>
        <x:v>Открыть позицию</x:v>
      </x:c>
    </x:row>
    <x:row r="281" ht="28" customHeight="1">
      <x:c r="A281" s="16" t="str">
        <x:v>Приморская ГРЭС</x:v>
      </x:c>
      <x:c r="B281" s="16" t="str">
        <x:v>2000034242-U117</x:v>
      </x:c>
      <x:c r="C281" s="16" t="str">
        <x:v>ПОДШИПНИК 102</x:v>
      </x:c>
      <x:c r="D281" s="16" t="str">
        <x:v>Подшипники</x:v>
      </x:c>
      <x:c r="E281" s="16" t="str">
        <x:v>ШТ</x:v>
      </x:c>
      <x:c r="F281" s="21" t="n">
        <x:v>2</x:v>
      </x:c>
      <x:c r="G281" s="17" t="n">
        <x:v>17.568</x:v>
      </x:c>
      <x:c r="H281" s="17" t="n">
        <x:f>G281*F281</x:f>
        <x:v>35.136</x:v>
      </x:c>
      <x:c r="I281" s="22" t="str">
        <x:f>HYPERLINK("https://etp-aktiv.ru/catalog/materialy/podshipniki/2000034242-U117/","Открыть позицию")</x:f>
        <x:v>Открыть позицию</x:v>
      </x:c>
    </x:row>
    <x:row r="282" ht="28" customHeight="1">
      <x:c r="A282" s="16" t="str">
        <x:v>Приморская ГРЭС</x:v>
      </x:c>
      <x:c r="B282" s="16" t="str">
        <x:v>2000116300-U117</x:v>
      </x:c>
      <x:c r="C282" s="16" t="str">
        <x:v>ПОДШИПНИК 105</x:v>
      </x:c>
      <x:c r="D282" s="16" t="str">
        <x:v>Подшипники</x:v>
      </x:c>
      <x:c r="E282" s="16" t="str">
        <x:v>ШТ</x:v>
      </x:c>
      <x:c r="F282" s="21" t="n">
        <x:v>4</x:v>
      </x:c>
      <x:c r="G282" s="17" t="n">
        <x:v>41.2726</x:v>
      </x:c>
      <x:c r="H282" s="17" t="n">
        <x:f>G282*F282</x:f>
        <x:v>165.0904</x:v>
      </x:c>
      <x:c r="I282" s="22" t="str">
        <x:f>HYPERLINK("https://etp-aktiv.ru/catalog/materialy/podshipniki/2000116300-U117/","Открыть позицию")</x:f>
        <x:v>Открыть позицию</x:v>
      </x:c>
    </x:row>
    <x:row r="283" ht="28" customHeight="1">
      <x:c r="A283" s="16" t="str">
        <x:v>Приморская ГРЭС</x:v>
      </x:c>
      <x:c r="B283" s="16" t="str">
        <x:v>2000116347-U117</x:v>
      </x:c>
      <x:c r="C283" s="16" t="str">
        <x:v>ПОДШИПНИК 109</x:v>
      </x:c>
      <x:c r="D283" s="16" t="str">
        <x:v>Подшипники</x:v>
      </x:c>
      <x:c r="E283" s="16" t="str">
        <x:v>ШТ</x:v>
      </x:c>
      <x:c r="F283" s="21" t="n">
        <x:v>2</x:v>
      </x:c>
      <x:c r="G283" s="17" t="n">
        <x:v>108.88499999999999</x:v>
      </x:c>
      <x:c r="H283" s="17" t="n">
        <x:f>G283*F283</x:f>
        <x:v>217.76999999999998</x:v>
      </x:c>
      <x:c r="I283" s="22" t="str">
        <x:f>HYPERLINK("https://etp-aktiv.ru/catalog/materialy/podshipniki/2000116347-U117/","Открыть позицию")</x:f>
        <x:v>Открыть позицию</x:v>
      </x:c>
    </x:row>
    <x:row r="284" ht="28" customHeight="1">
      <x:c r="A284" s="16" t="str">
        <x:v>Приморская ГРЭС</x:v>
      </x:c>
      <x:c r="B284" s="16" t="str">
        <x:v>2000003267-U117</x:v>
      </x:c>
      <x:c r="C284" s="16" t="str">
        <x:v>ПОДШИПНИК 112</x:v>
      </x:c>
      <x:c r="D284" s="16" t="str">
        <x:v>Подшипники</x:v>
      </x:c>
      <x:c r="E284" s="16" t="str">
        <x:v>ШТ</x:v>
      </x:c>
      <x:c r="F284" s="21" t="n">
        <x:v>3</x:v>
      </x:c>
      <x:c r="G284" s="17" t="n">
        <x:v>111.8374</x:v>
      </x:c>
      <x:c r="H284" s="17" t="n">
        <x:f>G284*F284</x:f>
        <x:v>335.5122</x:v>
      </x:c>
      <x:c r="I284" s="22" t="str">
        <x:f>HYPERLINK("https://etp-aktiv.ru/catalog/materialy/podshipniki/2000003267-U117/","Открыть позицию")</x:f>
        <x:v>Открыть позицию</x:v>
      </x:c>
    </x:row>
    <x:row r="285" ht="28" customHeight="1">
      <x:c r="A285" s="16" t="str">
        <x:v>Приморская ГРЭС</x:v>
      </x:c>
      <x:c r="B285" s="16" t="str">
        <x:v>2000137676-U117</x:v>
      </x:c>
      <x:c r="C285" s="16" t="str">
        <x:v>ПОДШИПНИК 11208</x:v>
      </x:c>
      <x:c r="D285" s="16" t="str">
        <x:v>Подшипники</x:v>
      </x:c>
      <x:c r="E285" s="16" t="str">
        <x:v>ШТ</x:v>
      </x:c>
      <x:c r="F285" s="21" t="n">
        <x:v>18</x:v>
      </x:c>
      <x:c r="G285" s="17" t="n">
        <x:v>298.0216</x:v>
      </x:c>
      <x:c r="H285" s="17" t="n">
        <x:f>G285*F285</x:f>
        <x:v>5364.3888</x:v>
      </x:c>
      <x:c r="I285" s="22" t="str">
        <x:f>HYPERLINK("https://etp-aktiv.ru/catalog/materialy/podshipniki/2000137676-U117/","Открыть позицию")</x:f>
        <x:v>Открыть позицию</x:v>
      </x:c>
    </x:row>
    <x:row r="286" ht="28" customHeight="1">
      <x:c r="A286" s="16" t="str">
        <x:v>Приморская ГРЭС</x:v>
      </x:c>
      <x:c r="B286" s="16" t="str">
        <x:v>2000005870-U117</x:v>
      </x:c>
      <x:c r="C286" s="16" t="str">
        <x:v>ПОДШИПНИК 116</x:v>
      </x:c>
      <x:c r="D286" s="16" t="str">
        <x:v>Подшипники</x:v>
      </x:c>
      <x:c r="E286" s="16" t="str">
        <x:v>ШТ</x:v>
      </x:c>
      <x:c r="F286" s="21" t="n">
        <x:v>7</x:v>
      </x:c>
      <x:c r="G286" s="17" t="n">
        <x:v>252.3814</x:v>
      </x:c>
      <x:c r="H286" s="17" t="n">
        <x:f>G286*F286</x:f>
        <x:v>1766.6698000000001</x:v>
      </x:c>
      <x:c r="I286" s="22" t="str">
        <x:f>HYPERLINK("https://etp-aktiv.ru/catalog/materialy/podshipniki/2000005870-U117/","Открыть позицию")</x:f>
        <x:v>Открыть позицию</x:v>
      </x:c>
    </x:row>
    <x:row r="287" ht="28" customHeight="1">
      <x:c r="A287" s="16" t="str">
        <x:v>Приморская ГРЭС</x:v>
      </x:c>
      <x:c r="B287" s="16" t="str">
        <x:v>2000116471-U117</x:v>
      </x:c>
      <x:c r="C287" s="16" t="str">
        <x:v>ПОДШИПНИК 118</x:v>
      </x:c>
      <x:c r="D287" s="16" t="str">
        <x:v>Подшипники</x:v>
      </x:c>
      <x:c r="E287" s="16" t="str">
        <x:v>ШТ</x:v>
      </x:c>
      <x:c r="F287" s="21" t="n">
        <x:v>13</x:v>
      </x:c>
      <x:c r="G287" s="17" t="n">
        <x:v>566.8852</x:v>
      </x:c>
      <x:c r="H287" s="17" t="n">
        <x:f>G287*F287</x:f>
        <x:v>7369.507600000001</x:v>
      </x:c>
      <x:c r="I287" s="22" t="str">
        <x:f>HYPERLINK("https://etp-aktiv.ru/catalog/materialy/podshipniki/2000116471-U117/","Открыть позицию")</x:f>
        <x:v>Открыть позицию</x:v>
      </x:c>
    </x:row>
    <x:row r="288" ht="28" customHeight="1">
      <x:c r="A288" s="16" t="str">
        <x:v>Приморская ГРЭС</x:v>
      </x:c>
      <x:c r="B288" s="16" t="str">
        <x:v>2000002069-U117</x:v>
      </x:c>
      <x:c r="C288" s="16" t="str">
        <x:v>ПОДШИПНИК 1204</x:v>
      </x:c>
      <x:c r="D288" s="16" t="str">
        <x:v>Подшипники</x:v>
      </x:c>
      <x:c r="E288" s="16" t="str">
        <x:v>ШТ</x:v>
      </x:c>
      <x:c r="F288" s="21" t="n">
        <x:v>1</x:v>
      </x:c>
      <x:c r="G288" s="17" t="n">
        <x:v>15.677</x:v>
      </x:c>
      <x:c r="H288" s="17" t="n">
        <x:f>G288*F288</x:f>
        <x:v>15.677</x:v>
      </x:c>
      <x:c r="I288" s="22" t="str">
        <x:f>HYPERLINK("https://etp-aktiv.ru/catalog/materialy/podshipniki/2000002069-U117/","Открыть позицию")</x:f>
        <x:v>Открыть позицию</x:v>
      </x:c>
    </x:row>
    <x:row r="289" ht="28" customHeight="1">
      <x:c r="A289" s="16" t="str">
        <x:v>Приморская ГРЭС</x:v>
      </x:c>
      <x:c r="B289" s="16" t="str">
        <x:v>2000556512-U117</x:v>
      </x:c>
      <x:c r="C289" s="16" t="str">
        <x:v>ПОДШИПНИК 122</x:v>
      </x:c>
      <x:c r="D289" s="16" t="str">
        <x:v>Подшипники</x:v>
      </x:c>
      <x:c r="E289" s="16" t="str">
        <x:v>ШТ</x:v>
      </x:c>
      <x:c r="F289" s="21" t="n">
        <x:v>19</x:v>
      </x:c>
      <x:c r="G289" s="17" t="n">
        <x:v>875.3743999999999</x:v>
      </x:c>
      <x:c r="H289" s="17" t="n">
        <x:f>G289*F289</x:f>
        <x:v>16632.113599999997</x:v>
      </x:c>
      <x:c r="I289" s="22" t="str">
        <x:f>HYPERLINK("https://etp-aktiv.ru/catalog/materialy/podshipniki/2000556512-U117/","Открыть позицию")</x:f>
        <x:v>Открыть позицию</x:v>
      </x:c>
    </x:row>
    <x:row r="290" ht="28" customHeight="1">
      <x:c r="A290" s="16" t="str">
        <x:v>Приморская ГРЭС</x:v>
      </x:c>
      <x:c r="B290" s="16" t="str">
        <x:v>2000556513-U117</x:v>
      </x:c>
      <x:c r="C290" s="16" t="str">
        <x:v>ПОДШИПНИК 124</x:v>
      </x:c>
      <x:c r="D290" s="16" t="str">
        <x:v>Подшипники</x:v>
      </x:c>
      <x:c r="E290" s="16" t="str">
        <x:v>ШТ</x:v>
      </x:c>
      <x:c r="F290" s="21" t="n">
        <x:v>2</x:v>
      </x:c>
      <x:c r="G290" s="17" t="n">
        <x:v>768.6</x:v>
      </x:c>
      <x:c r="H290" s="17" t="n">
        <x:f>G290*F290</x:f>
        <x:v>1537.2</x:v>
      </x:c>
      <x:c r="I290" s="22" t="str">
        <x:f>HYPERLINK("https://etp-aktiv.ru/catalog/materialy/podshipniki/2000556513-U117/","Открыть позицию")</x:f>
        <x:v>Открыть позицию</x:v>
      </x:c>
    </x:row>
    <x:row r="291" ht="28" customHeight="1">
      <x:c r="A291" s="16" t="str">
        <x:v>Приморская ГРЭС</x:v>
      </x:c>
      <x:c r="B291" s="16" t="str">
        <x:v>2000116435-U117</x:v>
      </x:c>
      <x:c r="C291" s="16" t="str">
        <x:v>ПОДШИПНИК 1309</x:v>
      </x:c>
      <x:c r="D291" s="16" t="str">
        <x:v>Подшипники</x:v>
      </x:c>
      <x:c r="E291" s="16" t="str">
        <x:v>ШТ</x:v>
      </x:c>
      <x:c r="F291" s="21" t="n">
        <x:v>2</x:v>
      </x:c>
      <x:c r="G291" s="17" t="n">
        <x:v>314.76</x:v>
      </x:c>
      <x:c r="H291" s="17" t="n">
        <x:f>G291*F291</x:f>
        <x:v>629.52</x:v>
      </x:c>
      <x:c r="I291" s="22" t="str">
        <x:f>HYPERLINK("https://etp-aktiv.ru/catalog/materialy/podshipniki/2000116435-U117/","Открыть позицию")</x:f>
        <x:v>Открыть позицию</x:v>
      </x:c>
    </x:row>
    <x:row r="292" ht="28" customHeight="1">
      <x:c r="A292" s="16" t="str">
        <x:v>Приморская ГРЭС</x:v>
      </x:c>
      <x:c r="B292" s="16" t="str">
        <x:v>2000599104-U117</x:v>
      </x:c>
      <x:c r="C292" s="16" t="str">
        <x:v>ПОДШИПНИК 1318Л</x:v>
      </x:c>
      <x:c r="D292" s="16" t="str">
        <x:v>Подшипники</x:v>
      </x:c>
      <x:c r="E292" s="16" t="str">
        <x:v>ШТ</x:v>
      </x:c>
      <x:c r="F292" s="21" t="n">
        <x:v>4</x:v>
      </x:c>
      <x:c r="G292" s="17" t="n">
        <x:v>2131.34</x:v>
      </x:c>
      <x:c r="H292" s="17" t="n">
        <x:f>G292*F292</x:f>
        <x:v>8525.36</x:v>
      </x:c>
      <x:c r="I292" s="22" t="str">
        <x:f>HYPERLINK("https://etp-aktiv.ru/catalog/materialy/podshipniki/2000599104-U117/","Открыть позицию")</x:f>
        <x:v>Открыть позицию</x:v>
      </x:c>
    </x:row>
    <x:row r="293" ht="28" customHeight="1">
      <x:c r="A293" s="16" t="str">
        <x:v>Приморская ГРЭС</x:v>
      </x:c>
      <x:c r="B293" s="16" t="str">
        <x:v>2000116522-U117</x:v>
      </x:c>
      <x:c r="C293" s="16" t="str">
        <x:v>ПОДШИПНИК 1611</x:v>
      </x:c>
      <x:c r="D293" s="16" t="str">
        <x:v>Подшипники</x:v>
      </x:c>
      <x:c r="E293" s="16" t="str">
        <x:v>ШТ</x:v>
      </x:c>
      <x:c r="F293" s="21" t="n">
        <x:v>2</x:v>
      </x:c>
      <x:c r="G293" s="17" t="n">
        <x:v>703.635</x:v>
      </x:c>
      <x:c r="H293" s="17" t="n">
        <x:f>G293*F293</x:f>
        <x:v>1407.27</x:v>
      </x:c>
      <x:c r="I293" s="22" t="str">
        <x:f>HYPERLINK("https://etp-aktiv.ru/catalog/materialy/podshipniki/2000116522-U117/","Открыть позицию")</x:f>
        <x:v>Открыть позицию</x:v>
      </x:c>
    </x:row>
    <x:row r="294" ht="28" customHeight="1">
      <x:c r="A294" s="16" t="str">
        <x:v>Приморская ГРЭС</x:v>
      </x:c>
      <x:c r="B294" s="16" t="str">
        <x:v>2000116628-U117</x:v>
      </x:c>
      <x:c r="C294" s="16" t="str">
        <x:v>ПОДШИПНИК 1612</x:v>
      </x:c>
      <x:c r="D294" s="16" t="str">
        <x:v>Подшипники</x:v>
      </x:c>
      <x:c r="E294" s="16" t="str">
        <x:v>ШТ</x:v>
      </x:c>
      <x:c r="F294" s="21" t="n">
        <x:v>2</x:v>
      </x:c>
      <x:c r="G294" s="17" t="n">
        <x:v>1244.3999999999999</x:v>
      </x:c>
      <x:c r="H294" s="17" t="n">
        <x:f>G294*F294</x:f>
        <x:v>2488.7999999999997</x:v>
      </x:c>
      <x:c r="I294" s="22" t="str">
        <x:f>HYPERLINK("https://etp-aktiv.ru/catalog/materialy/podshipniki/2000116628-U117/","Открыть позицию")</x:f>
        <x:v>Открыть позицию</x:v>
      </x:c>
    </x:row>
    <x:row r="295" ht="28" customHeight="1">
      <x:c r="A295" s="16" t="str">
        <x:v>Приморская ГРЭС</x:v>
      </x:c>
      <x:c r="B295" s="16" t="str">
        <x:v>2000116319-U117</x:v>
      </x:c>
      <x:c r="C295" s="16" t="str">
        <x:v>ПОДШИПНИК 180204</x:v>
      </x:c>
      <x:c r="D295" s="16" t="str">
        <x:v>Подшипники</x:v>
      </x:c>
      <x:c r="E295" s="16" t="str">
        <x:v>ШТ</x:v>
      </x:c>
      <x:c r="F295" s="21" t="n">
        <x:v>18</x:v>
      </x:c>
      <x:c r="G295" s="17" t="n">
        <x:v>136.78640000000001</x:v>
      </x:c>
      <x:c r="H295" s="17" t="n">
        <x:f>G295*F295</x:f>
        <x:v>2462.1552</x:v>
      </x:c>
      <x:c r="I295" s="22" t="str">
        <x:f>HYPERLINK("https://etp-aktiv.ru/catalog/materialy/podshipniki/2000116319-U117/","Открыть позицию")</x:f>
        <x:v>Открыть позицию</x:v>
      </x:c>
    </x:row>
    <x:row r="296" ht="28" customHeight="1">
      <x:c r="A296" s="16" t="str">
        <x:v>Приморская ГРЭС</x:v>
      </x:c>
      <x:c r="B296" s="16" t="str">
        <x:v>2000290671-U117</x:v>
      </x:c>
      <x:c r="C296" s="16" t="str">
        <x:v>ПОДШИПНИК 180212</x:v>
      </x:c>
      <x:c r="D296" s="16" t="str">
        <x:v>Подшипники</x:v>
      </x:c>
      <x:c r="E296" s="16" t="str">
        <x:v>ШТ</x:v>
      </x:c>
      <x:c r="F296" s="21" t="n">
        <x:v>1</x:v>
      </x:c>
      <x:c r="G296" s="17" t="n">
        <x:v>211.365</x:v>
      </x:c>
      <x:c r="H296" s="17" t="n">
        <x:f>G296*F296</x:f>
        <x:v>211.365</x:v>
      </x:c>
      <x:c r="I296" s="22" t="str">
        <x:f>HYPERLINK("https://etp-aktiv.ru/catalog/materialy/podshipniki/2000290671-U117/","Открыть позицию")</x:f>
        <x:v>Открыть позицию</x:v>
      </x:c>
    </x:row>
    <x:row r="297" ht="28" customHeight="1">
      <x:c r="A297" s="16" t="str">
        <x:v>Приморская ГРЭС</x:v>
      </x:c>
      <x:c r="B297" s="16" t="str">
        <x:v>2000116363-U117</x:v>
      </x:c>
      <x:c r="C297" s="16" t="str">
        <x:v>ПОДШИПНИК 180307</x:v>
      </x:c>
      <x:c r="D297" s="16" t="str">
        <x:v>Подшипники</x:v>
      </x:c>
      <x:c r="E297" s="16" t="str">
        <x:v>ШТ</x:v>
      </x:c>
      <x:c r="F297" s="21" t="n">
        <x:v>1</x:v>
      </x:c>
      <x:c r="G297" s="17" t="n">
        <x:v>131.45499999999998</x:v>
      </x:c>
      <x:c r="H297" s="17" t="n">
        <x:f>G297*F297</x:f>
        <x:v>131.45499999999998</x:v>
      </x:c>
      <x:c r="I297" s="22" t="str">
        <x:f>HYPERLINK("https://etp-aktiv.ru/catalog/materialy/podshipniki/2000116363-U117/","Открыть позицию")</x:f>
        <x:v>Открыть позицию</x:v>
      </x:c>
    </x:row>
    <x:row r="298" ht="28" customHeight="1">
      <x:c r="A298" s="16" t="str">
        <x:v>Приморская ГРЭС</x:v>
      </x:c>
      <x:c r="B298" s="16" t="str">
        <x:v>2000115330-U117</x:v>
      </x:c>
      <x:c r="C298" s="16" t="str">
        <x:v>ПОДШИПНИК 180310</x:v>
      </x:c>
      <x:c r="D298" s="16" t="str">
        <x:v>Подшипники</x:v>
      </x:c>
      <x:c r="E298" s="16" t="str">
        <x:v>ШТ</x:v>
      </x:c>
      <x:c r="F298" s="21" t="n">
        <x:v>2</x:v>
      </x:c>
      <x:c r="G298" s="17" t="n">
        <x:v>201.0316</x:v>
      </x:c>
      <x:c r="H298" s="17" t="n">
        <x:f>G298*F298</x:f>
        <x:v>402.0632</x:v>
      </x:c>
      <x:c r="I298" s="22" t="str">
        <x:f>HYPERLINK("https://etp-aktiv.ru/catalog/materialy/podshipniki/2000115330-U117/","Открыть позицию")</x:f>
        <x:v>Открыть позицию</x:v>
      </x:c>
    </x:row>
    <x:row r="299" ht="28" customHeight="1">
      <x:c r="A299" s="16" t="str">
        <x:v>Приморская ГРЭС</x:v>
      </x:c>
      <x:c r="B299" s="16" t="str">
        <x:v>2000158891-U117</x:v>
      </x:c>
      <x:c r="C299" s="16" t="str">
        <x:v>ПОДШИПНИК 180315</x:v>
      </x:c>
      <x:c r="D299" s="16" t="str">
        <x:v>Подшипники</x:v>
      </x:c>
      <x:c r="E299" s="16" t="str">
        <x:v>ШТ</x:v>
      </x:c>
      <x:c r="F299" s="21" t="n">
        <x:v>1</x:v>
      </x:c>
      <x:c r="G299" s="17" t="n">
        <x:v>976.3416</x:v>
      </x:c>
      <x:c r="H299" s="17" t="n">
        <x:f>G299*F299</x:f>
        <x:v>976.3416</x:v>
      </x:c>
      <x:c r="I299" s="22" t="str">
        <x:f>HYPERLINK("https://etp-aktiv.ru/catalog/materialy/podshipniki/2000158891-U117/","Открыть позицию")</x:f>
        <x:v>Открыть позицию</x:v>
      </x:c>
    </x:row>
    <x:row r="300" ht="28" customHeight="1">
      <x:c r="A300" s="16" t="str">
        <x:v>Приморская ГРЭС</x:v>
      </x:c>
      <x:c r="B300" s="16" t="str">
        <x:v>2000619872-U117</x:v>
      </x:c>
      <x:c r="C300" s="16" t="str">
        <x:v>ПОДШИПНИК 2007138М</x:v>
      </x:c>
      <x:c r="D300" s="16" t="str">
        <x:v>Подшипники</x:v>
      </x:c>
      <x:c r="E300" s="16" t="str">
        <x:v>ШТ</x:v>
      </x:c>
      <x:c r="F300" s="21" t="n">
        <x:v>1</x:v>
      </x:c>
      <x:c r="G300" s="17" t="n">
        <x:v>8900.0098</x:v>
      </x:c>
      <x:c r="H300" s="17" t="n">
        <x:f>G300*F300</x:f>
        <x:v>8900.0098</x:v>
      </x:c>
      <x:c r="I300" s="22" t="str">
        <x:f>HYPERLINK("https://etp-aktiv.ru/catalog/materialy/podshipniki/2000619872-U117/","Открыть позицию")</x:f>
        <x:v>Открыть позицию</x:v>
      </x:c>
    </x:row>
    <x:row r="301" ht="28" customHeight="1">
      <x:c r="A301" s="16" t="str">
        <x:v>Приморская ГРЭС</x:v>
      </x:c>
      <x:c r="B301" s="16" t="str">
        <x:v>2000116822-U117</x:v>
      </x:c>
      <x:c r="C301" s="16" t="str">
        <x:v>ПОДШИПНИК 2007148</x:v>
      </x:c>
      <x:c r="D301" s="16" t="str">
        <x:v>Подшипники</x:v>
      </x:c>
      <x:c r="E301" s="16" t="str">
        <x:v>ШТ</x:v>
      </x:c>
      <x:c r="F301" s="21" t="n">
        <x:v>2</x:v>
      </x:c>
      <x:c r="G301" s="17" t="n">
        <x:v>15881.8868</x:v>
      </x:c>
      <x:c r="H301" s="17" t="n">
        <x:f>G301*F301</x:f>
        <x:v>31763.7736</x:v>
      </x:c>
      <x:c r="I301" s="22" t="str">
        <x:f>HYPERLINK("https://etp-aktiv.ru/catalog/materialy/podshipniki/2000116822-U117/","Открыть позицию")</x:f>
        <x:v>Открыть позицию</x:v>
      </x:c>
    </x:row>
    <x:row r="302" ht="28" customHeight="1">
      <x:c r="A302" s="16" t="str">
        <x:v>Приморская ГРЭС</x:v>
      </x:c>
      <x:c r="B302" s="16" t="str">
        <x:v>2000474435-U117</x:v>
      </x:c>
      <x:c r="C302" s="16" t="str">
        <x:v>ПОДШИПНИК 2007944М1</x:v>
      </x:c>
      <x:c r="D302" s="16" t="str">
        <x:v>Подшипники</x:v>
      </x:c>
      <x:c r="E302" s="16" t="str">
        <x:v>ШТ</x:v>
      </x:c>
      <x:c r="F302" s="21" t="n">
        <x:v>1</x:v>
      </x:c>
      <x:c r="G302" s="17" t="n">
        <x:v>5115.765</x:v>
      </x:c>
      <x:c r="H302" s="17" t="n">
        <x:f>G302*F302</x:f>
        <x:v>5115.765</x:v>
      </x:c>
      <x:c r="I302" s="22" t="str">
        <x:f>HYPERLINK("https://etp-aktiv.ru/catalog/materialy/podshipniki/2000474435-U117/","Открыть позицию")</x:f>
        <x:v>Открыть позицию</x:v>
      </x:c>
    </x:row>
    <x:row r="303" ht="28" customHeight="1">
      <x:c r="A303" s="16" t="str">
        <x:v>Приморская ГРЭС</x:v>
      </x:c>
      <x:c r="B303" s="16" t="str">
        <x:v>2000116301-U117</x:v>
      </x:c>
      <x:c r="C303" s="16" t="str">
        <x:v>ПОДШИПНИК 203</x:v>
      </x:c>
      <x:c r="D303" s="16" t="str">
        <x:v>Подшипники</x:v>
      </x:c>
      <x:c r="E303" s="16" t="str">
        <x:v>ШТ</x:v>
      </x:c>
      <x:c r="F303" s="21" t="n">
        <x:v>39</x:v>
      </x:c>
      <x:c r="G303" s="17" t="n">
        <x:v>32.4154</x:v>
      </x:c>
      <x:c r="H303" s="17" t="n">
        <x:f>G303*F303</x:f>
        <x:v>1264.2006</x:v>
      </x:c>
      <x:c r="I303" s="22" t="str">
        <x:f>HYPERLINK("https://etp-aktiv.ru/catalog/materialy/podshipniki/2000116301-U117/","Открыть позицию")</x:f>
        <x:v>Открыть позицию</x:v>
      </x:c>
    </x:row>
    <x:row r="304" ht="28" customHeight="1">
      <x:c r="A304" s="16" t="str">
        <x:v>Приморская ГРЭС</x:v>
      </x:c>
      <x:c r="B304" s="16" t="str">
        <x:v>2000116321-U117</x:v>
      </x:c>
      <x:c r="C304" s="16" t="str">
        <x:v>ПОДШИПНИК 205</x:v>
      </x:c>
      <x:c r="D304" s="16" t="str">
        <x:v>Подшипники</x:v>
      </x:c>
      <x:c r="E304" s="16" t="str">
        <x:v>ШТ</x:v>
      </x:c>
      <x:c r="F304" s="21" t="n">
        <x:v>19</x:v>
      </x:c>
      <x:c r="G304" s="17" t="n">
        <x:v>35.4898</x:v>
      </x:c>
      <x:c r="H304" s="17" t="n">
        <x:f>G304*F304</x:f>
        <x:v>674.3062</x:v>
      </x:c>
      <x:c r="I304" s="22" t="str">
        <x:f>HYPERLINK("https://etp-aktiv.ru/catalog/materialy/podshipniki/2000116321-U117/","Открыть позицию")</x:f>
        <x:v>Открыть позицию</x:v>
      </x:c>
    </x:row>
    <x:row r="305" ht="28" customHeight="1">
      <x:c r="A305" s="16" t="str">
        <x:v>Приморская ГРЭС</x:v>
      </x:c>
      <x:c r="B305" s="16" t="str">
        <x:v>2000116393-U117</x:v>
      </x:c>
      <x:c r="C305" s="16" t="str">
        <x:v>ПОДШИПНИК 212</x:v>
      </x:c>
      <x:c r="D305" s="16" t="str">
        <x:v>Подшипники</x:v>
      </x:c>
      <x:c r="E305" s="16" t="str">
        <x:v>ШТ</x:v>
      </x:c>
      <x:c r="F305" s="21" t="n">
        <x:v>14</x:v>
      </x:c>
      <x:c r="G305" s="17" t="n">
        <x:v>290.0062</x:v>
      </x:c>
      <x:c r="H305" s="17" t="n">
        <x:f>G305*F305</x:f>
        <x:v>4060.0867999999996</x:v>
      </x:c>
      <x:c r="I305" s="22" t="str">
        <x:f>HYPERLINK("https://etp-aktiv.ru/catalog/materialy/podshipniki/2000116393-U117/","Открыть позицию")</x:f>
        <x:v>Открыть позицию</x:v>
      </x:c>
    </x:row>
    <x:row r="306" ht="28" customHeight="1">
      <x:c r="A306" s="16" t="str">
        <x:v>Приморская ГРЭС</x:v>
      </x:c>
      <x:c r="B306" s="16" t="str">
        <x:v>2000116539-U117</x:v>
      </x:c>
      <x:c r="C306" s="16" t="str">
        <x:v>ПОДШИПНИК 220</x:v>
      </x:c>
      <x:c r="D306" s="16" t="str">
        <x:v>Подшипники</x:v>
      </x:c>
      <x:c r="E306" s="16" t="str">
        <x:v>ШТ</x:v>
      </x:c>
      <x:c r="F306" s="21" t="n">
        <x:v>62</x:v>
      </x:c>
      <x:c r="G306" s="17" t="n">
        <x:v>853.634</x:v>
      </x:c>
      <x:c r="H306" s="17" t="n">
        <x:f>G306*F306</x:f>
        <x:v>52925.308000000005</x:v>
      </x:c>
      <x:c r="I306" s="22" t="str">
        <x:f>HYPERLINK("https://etp-aktiv.ru/catalog/materialy/podshipniki/2000116539-U117/","Открыть позицию")</x:f>
        <x:v>Открыть позицию</x:v>
      </x:c>
    </x:row>
    <x:row r="307" ht="28" customHeight="1">
      <x:c r="A307" s="16" t="str">
        <x:v>Приморская ГРЭС</x:v>
      </x:c>
      <x:c r="B307" s="16" t="str">
        <x:v>2000116775-U117</x:v>
      </x:c>
      <x:c r="C307" s="16" t="str">
        <x:v>ПОДШИПНИК 22318</x:v>
      </x:c>
      <x:c r="D307" s="16" t="str">
        <x:v>Подшипники</x:v>
      </x:c>
      <x:c r="E307" s="16" t="str">
        <x:v>ШТ</x:v>
      </x:c>
      <x:c r="F307" s="21" t="n">
        <x:v>4</x:v>
      </x:c>
      <x:c r="G307" s="17" t="n">
        <x:v>1659.1756</x:v>
      </x:c>
      <x:c r="H307" s="17" t="n">
        <x:f>G307*F307</x:f>
        <x:v>6636.7024</x:v>
      </x:c>
      <x:c r="I307" s="22" t="str">
        <x:f>HYPERLINK("https://etp-aktiv.ru/catalog/materialy/podshipniki/2000116775-U117/","Открыть позицию")</x:f>
        <x:v>Открыть позицию</x:v>
      </x:c>
    </x:row>
    <x:row r="308" ht="28" customHeight="1">
      <x:c r="A308" s="16" t="str">
        <x:v>Приморская ГРЭС</x:v>
      </x:c>
      <x:c r="B308" s="16" t="str">
        <x:v>2000034350-U117</x:v>
      </x:c>
      <x:c r="C308" s="16" t="str">
        <x:v>ПОДШИПНИК 22320</x:v>
      </x:c>
      <x:c r="D308" s="16" t="str">
        <x:v>Подшипники</x:v>
      </x:c>
      <x:c r="E308" s="16" t="str">
        <x:v>ШТ</x:v>
      </x:c>
      <x:c r="F308" s="21" t="n">
        <x:v>4</x:v>
      </x:c>
      <x:c r="G308" s="17" t="n">
        <x:v>5084.5696</x:v>
      </x:c>
      <x:c r="H308" s="17" t="n">
        <x:f>G308*F308</x:f>
        <x:v>20338.2784</x:v>
      </x:c>
      <x:c r="I308" s="22" t="str">
        <x:f>HYPERLINK("https://etp-aktiv.ru/catalog/materialy/podshipniki/2000034350-U117/","Открыть позицию")</x:f>
        <x:v>Открыть позицию</x:v>
      </x:c>
    </x:row>
    <x:row r="309" ht="28" customHeight="1">
      <x:c r="A309" s="16" t="str">
        <x:v>Приморская ГРЭС</x:v>
      </x:c>
      <x:c r="B309" s="16" t="str">
        <x:v>2000034353-U117</x:v>
      </x:c>
      <x:c r="C309" s="16" t="str">
        <x:v>ПОДШИПНИК 22328</x:v>
      </x:c>
      <x:c r="D309" s="16" t="str">
        <x:v>Подшипники</x:v>
      </x:c>
      <x:c r="E309" s="16" t="str">
        <x:v>ШТ</x:v>
      </x:c>
      <x:c r="F309" s="21" t="n">
        <x:v>2</x:v>
      </x:c>
      <x:c r="G309" s="17" t="n">
        <x:v>11827.5218</x:v>
      </x:c>
      <x:c r="H309" s="17" t="n">
        <x:f>G309*F309</x:f>
        <x:v>23655.0436</x:v>
      </x:c>
      <x:c r="I309" s="22" t="str">
        <x:f>HYPERLINK("https://etp-aktiv.ru/catalog/materialy/podshipniki/2000034353-U117/","Открыть позицию")</x:f>
        <x:v>Открыть позицию</x:v>
      </x:c>
    </x:row>
    <x:row r="310" ht="28" customHeight="1">
      <x:c r="A310" s="16" t="str">
        <x:v>Приморская ГРЭС</x:v>
      </x:c>
      <x:c r="B310" s="16" t="str">
        <x:v>2000116863-U117</x:v>
      </x:c>
      <x:c r="C310" s="16" t="str">
        <x:v>ПОДШИПНИК 230</x:v>
      </x:c>
      <x:c r="D310" s="16" t="str">
        <x:v>Подшипники</x:v>
      </x:c>
      <x:c r="E310" s="16" t="str">
        <x:v>ШТ</x:v>
      </x:c>
      <x:c r="F310" s="21" t="n">
        <x:v>4</x:v>
      </x:c>
      <x:c r="G310" s="17" t="n">
        <x:v>3195.18</x:v>
      </x:c>
      <x:c r="H310" s="17" t="n">
        <x:f>G310*F310</x:f>
        <x:v>12780.72</x:v>
      </x:c>
      <x:c r="I310" s="22" t="str">
        <x:f>HYPERLINK("https://etp-aktiv.ru/catalog/materialy/podshipniki/2000116863-U117/","Открыть позицию")</x:f>
        <x:v>Открыть позицию</x:v>
      </x:c>
    </x:row>
    <x:row r="311" ht="28" customHeight="1">
      <x:c r="A311" s="16" t="str">
        <x:v>Приморская ГРЭС</x:v>
      </x:c>
      <x:c r="B311" s="16" t="str">
        <x:v>2000006819-U117</x:v>
      </x:c>
      <x:c r="C311" s="16" t="str">
        <x:v>ПОДШИПНИК 2308</x:v>
      </x:c>
      <x:c r="D311" s="16" t="str">
        <x:v>Подшипники</x:v>
      </x:c>
      <x:c r="E311" s="16" t="str">
        <x:v>ШТ</x:v>
      </x:c>
      <x:c r="F311" s="21" t="n">
        <x:v>24</x:v>
      </x:c>
      <x:c r="G311" s="17" t="n">
        <x:v>328.3508</x:v>
      </x:c>
      <x:c r="H311" s="17" t="n">
        <x:f>G311*F311</x:f>
        <x:v>7880.4192</x:v>
      </x:c>
      <x:c r="I311" s="22" t="str">
        <x:f>HYPERLINK("https://etp-aktiv.ru/catalog/materialy/podshipniki/2000006819-U117/","Открыть позицию")</x:f>
        <x:v>Открыть позицию</x:v>
      </x:c>
    </x:row>
    <x:row r="312" ht="28" customHeight="1">
      <x:c r="A312" s="16" t="str">
        <x:v>Приморская ГРЭС</x:v>
      </x:c>
      <x:c r="B312" s="16" t="str">
        <x:v>2000387049-U117</x:v>
      </x:c>
      <x:c r="C312" s="16" t="str">
        <x:v>ПОДШИПНИК 23144CC/C3W33</x:v>
      </x:c>
      <x:c r="D312" s="16" t="str">
        <x:v>Подшипники</x:v>
      </x:c>
      <x:c r="E312" s="16" t="str">
        <x:v>ШТ</x:v>
      </x:c>
      <x:c r="F312" s="21" t="n">
        <x:v>2</x:v>
      </x:c>
      <x:c r="G312" s="17" t="n">
        <x:v>42213.22</x:v>
      </x:c>
      <x:c r="H312" s="17" t="n">
        <x:f>G312*F312</x:f>
        <x:v>84426.44</x:v>
      </x:c>
      <x:c r="I312" s="22" t="str">
        <x:f>HYPERLINK("https://etp-aktiv.ru/catalog/materialy/podshipniki/2000387049-U117/","Открыть позицию")</x:f>
        <x:v>Открыть позицию</x:v>
      </x:c>
    </x:row>
    <x:row r="313" ht="28" customHeight="1">
      <x:c r="A313" s="16" t="str">
        <x:v>Приморская ГРЭС</x:v>
      </x:c>
      <x:c r="B313" s="16" t="str">
        <x:v>2000208805-U117</x:v>
      </x:c>
      <x:c r="C313" s="16" t="str">
        <x:v>ПОДШИПНИК 2317 КМ</x:v>
      </x:c>
      <x:c r="D313" s="16" t="str">
        <x:v>Подшипники</x:v>
      </x:c>
      <x:c r="E313" s="16" t="str">
        <x:v>ШТ</x:v>
      </x:c>
      <x:c r="F313" s="21" t="n">
        <x:v>2</x:v>
      </x:c>
      <x:c r="G313" s="17" t="n">
        <x:v>2171.295</x:v>
      </x:c>
      <x:c r="H313" s="17" t="n">
        <x:f>G313*F313</x:f>
        <x:v>4342.59</x:v>
      </x:c>
      <x:c r="I313" s="22" t="str">
        <x:f>HYPERLINK("https://etp-aktiv.ru/catalog/materialy/podshipniki/2000208805-U117/","Открыть позицию")</x:f>
        <x:v>Открыть позицию</x:v>
      </x:c>
    </x:row>
    <x:row r="314" ht="28" customHeight="1">
      <x:c r="A314" s="16" t="str">
        <x:v>Приморская ГРЭС</x:v>
      </x:c>
      <x:c r="B314" s="16" t="str">
        <x:v>2000556592-U117</x:v>
      </x:c>
      <x:c r="C314" s="16" t="str">
        <x:v>ПОДШИПНИК 2317 Л</x:v>
      </x:c>
      <x:c r="D314" s="16" t="str">
        <x:v>Подшипники</x:v>
      </x:c>
      <x:c r="E314" s="16" t="str">
        <x:v>ШТ</x:v>
      </x:c>
      <x:c r="F314" s="21" t="n">
        <x:v>1</x:v>
      </x:c>
      <x:c r="G314" s="17" t="n">
        <x:v>2830.3633999999997</x:v>
      </x:c>
      <x:c r="H314" s="17" t="n">
        <x:f>G314*F314</x:f>
        <x:v>2830.3633999999997</x:v>
      </x:c>
      <x:c r="I314" s="22" t="str">
        <x:f>HYPERLINK("https://etp-aktiv.ru/catalog/materialy/podshipniki/2000556592-U117/","Открыть позицию")</x:f>
        <x:v>Открыть позицию</x:v>
      </x:c>
    </x:row>
    <x:row r="315" ht="28" customHeight="1">
      <x:c r="A315" s="16" t="str">
        <x:v>Приморская ГРЭС</x:v>
      </x:c>
      <x:c r="B315" s="16" t="str">
        <x:v>2000556600-U117</x:v>
      </x:c>
      <x:c r="C315" s="16" t="str">
        <x:v>ПОДШИПНИК 2324 Л</x:v>
      </x:c>
      <x:c r="D315" s="16" t="str">
        <x:v>Подшипники</x:v>
      </x:c>
      <x:c r="E315" s="16" t="str">
        <x:v>ШТ</x:v>
      </x:c>
      <x:c r="F315" s="21" t="n">
        <x:v>11</x:v>
      </x:c>
      <x:c r="G315" s="17" t="n">
        <x:v>6144.566599999999</x:v>
      </x:c>
      <x:c r="H315" s="17" t="n">
        <x:f>G315*F315</x:f>
        <x:v>67590.23259999999</x:v>
      </x:c>
      <x:c r="I315" s="22" t="str">
        <x:f>HYPERLINK("https://etp-aktiv.ru/catalog/materialy/podshipniki/2000556600-U117/","Открыть позицию")</x:f>
        <x:v>Открыть позицию</x:v>
      </x:c>
    </x:row>
    <x:row r="316" ht="28" customHeight="1">
      <x:c r="A316" s="16" t="str">
        <x:v>Приморская ГРЭС</x:v>
      </x:c>
      <x:c r="B316" s="16" t="str">
        <x:v>2000116789-U117</x:v>
      </x:c>
      <x:c r="C316" s="16" t="str">
        <x:v>ПОДШИПНИК 3003156</x:v>
      </x:c>
      <x:c r="D316" s="16" t="str">
        <x:v>Подшипники</x:v>
      </x:c>
      <x:c r="E316" s="16" t="str">
        <x:v>ШТ</x:v>
      </x:c>
      <x:c r="F316" s="21" t="n">
        <x:v>1</x:v>
      </x:c>
      <x:c r="G316" s="17" t="n">
        <x:v>16135.4516</x:v>
      </x:c>
      <x:c r="H316" s="17" t="n">
        <x:f>G316*F316</x:f>
        <x:v>16135.4516</x:v>
      </x:c>
      <x:c r="I316" s="22" t="str">
        <x:f>HYPERLINK("https://etp-aktiv.ru/catalog/materialy/podshipniki/2000116789-U117/","Открыть позицию")</x:f>
        <x:v>Открыть позицию</x:v>
      </x:c>
    </x:row>
    <x:row r="317" ht="28" customHeight="1">
      <x:c r="A317" s="16" t="str">
        <x:v>Приморская ГРЭС</x:v>
      </x:c>
      <x:c r="B317" s="16" t="str">
        <x:v>2000116845-U117</x:v>
      </x:c>
      <x:c r="C317" s="16" t="str">
        <x:v>ПОДШИПНИК 3003264</x:v>
      </x:c>
      <x:c r="D317" s="16" t="str">
        <x:v>Подшипники</x:v>
      </x:c>
      <x:c r="E317" s="16" t="str">
        <x:v>ШТ</x:v>
      </x:c>
      <x:c r="F317" s="21" t="n">
        <x:v>1</x:v>
      </x:c>
      <x:c r="G317" s="17" t="n">
        <x:v>65581.3562</x:v>
      </x:c>
      <x:c r="H317" s="17" t="n">
        <x:f>G317*F317</x:f>
        <x:v>65581.3562</x:v>
      </x:c>
      <x:c r="I317" s="22" t="str">
        <x:f>HYPERLINK("https://etp-aktiv.ru/catalog/materialy/podshipniki/2000116845-U117/","Открыть позицию")</x:f>
        <x:v>Открыть позицию</x:v>
      </x:c>
    </x:row>
    <x:row r="318" ht="28" customHeight="1">
      <x:c r="A318" s="16" t="str">
        <x:v>Приморская ГРЭС</x:v>
      </x:c>
      <x:c r="B318" s="16" t="str">
        <x:v>2000138683-U117</x:v>
      </x:c>
      <x:c r="C318" s="16" t="str">
        <x:v>ПОДШИПНИК 3003744</x:v>
      </x:c>
      <x:c r="D318" s="16" t="str">
        <x:v>Подшипники</x:v>
      </x:c>
      <x:c r="E318" s="16" t="str">
        <x:v>ШТ</x:v>
      </x:c>
      <x:c r="F318" s="21" t="n">
        <x:v>17</x:v>
      </x:c>
      <x:c r="G318" s="17" t="n">
        <x:v>15750.175599999999</x:v>
      </x:c>
      <x:c r="H318" s="17" t="n">
        <x:f>G318*F318</x:f>
        <x:v>267752.9852</x:v>
      </x:c>
      <x:c r="I318" s="22" t="str">
        <x:f>HYPERLINK("https://etp-aktiv.ru/catalog/materialy/podshipniki/2000138683-U117/","Открыть позицию")</x:f>
        <x:v>Открыть позицию</x:v>
      </x:c>
    </x:row>
    <x:row r="319" ht="28" customHeight="1">
      <x:c r="A319" s="16" t="str">
        <x:v>Приморская ГРЭС</x:v>
      </x:c>
      <x:c r="B319" s="16" t="str">
        <x:v>2000115320-U117</x:v>
      </x:c>
      <x:c r="C319" s="16" t="str">
        <x:v>ПОДШИПНИК 305</x:v>
      </x:c>
      <x:c r="D319" s="16" t="str">
        <x:v>Подшипники</x:v>
      </x:c>
      <x:c r="E319" s="16" t="str">
        <x:v>ШТ</x:v>
      </x:c>
      <x:c r="F319" s="21" t="n">
        <x:v>32</x:v>
      </x:c>
      <x:c r="G319" s="17" t="n">
        <x:v>57.217999999999996</x:v>
      </x:c>
      <x:c r="H319" s="17" t="n">
        <x:f>G319*F319</x:f>
        <x:v>1830.9759999999999</x:v>
      </x:c>
      <x:c r="I319" s="22" t="str">
        <x:f>HYPERLINK("https://etp-aktiv.ru/catalog/materialy/podshipniki/2000115320-U117/","Открыть позицию")</x:f>
        <x:v>Открыть позицию</x:v>
      </x:c>
    </x:row>
    <x:row r="320" ht="28" customHeight="1">
      <x:c r="A320" s="16" t="str">
        <x:v>Приморская ГРЭС</x:v>
      </x:c>
      <x:c r="B320" s="16" t="str">
        <x:v>2000116348-U117</x:v>
      </x:c>
      <x:c r="C320" s="16" t="str">
        <x:v>ПОДШИПНИК 306</x:v>
      </x:c>
      <x:c r="D320" s="16" t="str">
        <x:v>Подшипники</x:v>
      </x:c>
      <x:c r="E320" s="16" t="str">
        <x:v>ШТ</x:v>
      </x:c>
      <x:c r="F320" s="21" t="n">
        <x:v>2</x:v>
      </x:c>
      <x:c r="G320" s="17" t="n">
        <x:v>122</x:v>
      </x:c>
      <x:c r="H320" s="17" t="n">
        <x:f>G320*F320</x:f>
        <x:v>244</x:v>
      </x:c>
      <x:c r="I320" s="22" t="str">
        <x:f>HYPERLINK("https://etp-aktiv.ru/catalog/materialy/podshipniki/2000116348-U117/","Открыть позицию")</x:f>
        <x:v>Открыть позицию</x:v>
      </x:c>
    </x:row>
    <x:row r="321" ht="28" customHeight="1">
      <x:c r="A321" s="16" t="str">
        <x:v>Приморская ГРЭС</x:v>
      </x:c>
      <x:c r="B321" s="16" t="str">
        <x:v>2000116357-U117</x:v>
      </x:c>
      <x:c r="C321" s="16" t="str">
        <x:v>ПОДШИПНИК 307</x:v>
      </x:c>
      <x:c r="D321" s="16" t="str">
        <x:v>Подшипники</x:v>
      </x:c>
      <x:c r="E321" s="16" t="str">
        <x:v>ШТ</x:v>
      </x:c>
      <x:c r="F321" s="21" t="n">
        <x:v>4</x:v>
      </x:c>
      <x:c r="G321" s="17" t="n">
        <x:v>145.13119999999998</x:v>
      </x:c>
      <x:c r="H321" s="17" t="n">
        <x:f>G321*F321</x:f>
        <x:v>580.5247999999999</x:v>
      </x:c>
      <x:c r="I321" s="22" t="str">
        <x:f>HYPERLINK("https://etp-aktiv.ru/catalog/materialy/podshipniki/2000116357-U117/","Открыть позицию")</x:f>
        <x:v>Открыть позицию</x:v>
      </x:c>
    </x:row>
    <x:row r="322" ht="28" customHeight="1">
      <x:c r="A322" s="16" t="str">
        <x:v>Приморская ГРЭС</x:v>
      </x:c>
      <x:c r="B322" s="16" t="str">
        <x:v>2000116410-U117</x:v>
      </x:c>
      <x:c r="C322" s="16" t="str">
        <x:v>ПОДШИПНИК 309</x:v>
      </x:c>
      <x:c r="D322" s="16" t="str">
        <x:v>Подшипники</x:v>
      </x:c>
      <x:c r="E322" s="16" t="str">
        <x:v>ШТ</x:v>
      </x:c>
      <x:c r="F322" s="21" t="n">
        <x:v>4</x:v>
      </x:c>
      <x:c r="G322" s="17" t="n">
        <x:v>182.7316</x:v>
      </x:c>
      <x:c r="H322" s="17" t="n">
        <x:f>G322*F322</x:f>
        <x:v>730.9264</x:v>
      </x:c>
      <x:c r="I322" s="22" t="str">
        <x:f>HYPERLINK("https://etp-aktiv.ru/catalog/materialy/podshipniki/2000116410-U117/","Открыть позицию")</x:f>
        <x:v>Открыть позицию</x:v>
      </x:c>
    </x:row>
    <x:row r="323" ht="28" customHeight="1">
      <x:c r="A323" s="16" t="str">
        <x:v>Приморская ГРЭС</x:v>
      </x:c>
      <x:c r="B323" s="16" t="str">
        <x:v>2000135453-U117</x:v>
      </x:c>
      <x:c r="C323" s="16" t="str">
        <x:v>ПОДШИПНИК 310А</x:v>
      </x:c>
      <x:c r="D323" s="16" t="str">
        <x:v>Подшипники</x:v>
      </x:c>
      <x:c r="E323" s="16" t="str">
        <x:v>ШТ</x:v>
      </x:c>
      <x:c r="F323" s="21" t="n">
        <x:v>2</x:v>
      </x:c>
      <x:c r="G323" s="17" t="n">
        <x:v>274.8904</x:v>
      </x:c>
      <x:c r="H323" s="17" t="n">
        <x:f>G323*F323</x:f>
        <x:v>549.7808</x:v>
      </x:c>
      <x:c r="I323" s="22" t="str">
        <x:f>HYPERLINK("https://etp-aktiv.ru/catalog/materialy/podshipniki/2000135453-U117/","Открыть позицию")</x:f>
        <x:v>Открыть позицию</x:v>
      </x:c>
    </x:row>
    <x:row r="324" ht="28" customHeight="1">
      <x:c r="A324" s="16" t="str">
        <x:v>Приморская ГРЭС</x:v>
      </x:c>
      <x:c r="B324" s="16" t="str">
        <x:v>2000116438-U117</x:v>
      </x:c>
      <x:c r="C324" s="16" t="str">
        <x:v>ПОДШИПНИК 311</x:v>
      </x:c>
      <x:c r="D324" s="16" t="str">
        <x:v>Подшипники</x:v>
      </x:c>
      <x:c r="E324" s="16" t="str">
        <x:v>ШТ</x:v>
      </x:c>
      <x:c r="F324" s="21" t="n">
        <x:v>4</x:v>
      </x:c>
      <x:c r="G324" s="17" t="n">
        <x:v>290.0062</x:v>
      </x:c>
      <x:c r="H324" s="17" t="n">
        <x:f>G324*F324</x:f>
        <x:v>1160.0248</x:v>
      </x:c>
      <x:c r="I324" s="22" t="str">
        <x:f>HYPERLINK("https://etp-aktiv.ru/catalog/materialy/podshipniki/2000116438-U117/","Открыть позицию")</x:f>
        <x:v>Открыть позицию</x:v>
      </x:c>
    </x:row>
    <x:row r="325" ht="28" customHeight="1">
      <x:c r="A325" s="16" t="str">
        <x:v>Приморская ГРЭС</x:v>
      </x:c>
      <x:c r="B325" s="16" t="str">
        <x:v>2000116461-U117</x:v>
      </x:c>
      <x:c r="C325" s="16" t="str">
        <x:v>ПОДШИПНИК 312</x:v>
      </x:c>
      <x:c r="D325" s="16" t="str">
        <x:v>Подшипники</x:v>
      </x:c>
      <x:c r="E325" s="16" t="str">
        <x:v>ШТ</x:v>
      </x:c>
      <x:c r="F325" s="21" t="n">
        <x:v>9</x:v>
      </x:c>
      <x:c r="G325" s="17" t="n">
        <x:v>374.0154</x:v>
      </x:c>
      <x:c r="H325" s="17" t="n">
        <x:f>G325*F325</x:f>
        <x:v>3366.1386</x:v>
      </x:c>
      <x:c r="I325" s="22" t="str">
        <x:f>HYPERLINK("https://etp-aktiv.ru/catalog/materialy/podshipniki/2000116461-U117/","Открыть позицию")</x:f>
        <x:v>Открыть позицию</x:v>
      </x:c>
    </x:row>
    <x:row r="326" ht="28" customHeight="1">
      <x:c r="A326" s="16" t="str">
        <x:v>Приморская ГРЭС</x:v>
      </x:c>
      <x:c r="B326" s="16" t="str">
        <x:v>2000116557-U117</x:v>
      </x:c>
      <x:c r="C326" s="16" t="str">
        <x:v>ПОДШИПНИК 317</x:v>
      </x:c>
      <x:c r="D326" s="16" t="str">
        <x:v>Подшипники</x:v>
      </x:c>
      <x:c r="E326" s="16" t="str">
        <x:v>ШТ</x:v>
      </x:c>
      <x:c r="F326" s="21" t="n">
        <x:v>40</x:v>
      </x:c>
      <x:c r="G326" s="17" t="n">
        <x:v>1688.9314</x:v>
      </x:c>
      <x:c r="H326" s="17" t="n">
        <x:f>G326*F326</x:f>
        <x:v>67557.256</x:v>
      </x:c>
      <x:c r="I326" s="22" t="str">
        <x:f>HYPERLINK("https://etp-aktiv.ru/catalog/materialy/podshipniki/2000116557-U117/","Открыть позицию")</x:f>
        <x:v>Открыть позицию</x:v>
      </x:c>
    </x:row>
    <x:row r="327" ht="28" customHeight="1">
      <x:c r="A327" s="16" t="str">
        <x:v>Приморская ГРЭС</x:v>
      </x:c>
      <x:c r="B327" s="16" t="str">
        <x:v>2000072762-U117</x:v>
      </x:c>
      <x:c r="C327" s="16" t="str">
        <x:v>ПОДШИПНИК 32232</x:v>
      </x:c>
      <x:c r="D327" s="16" t="str">
        <x:v>Подшипники</x:v>
      </x:c>
      <x:c r="E327" s="16" t="str">
        <x:v>ШТ</x:v>
      </x:c>
      <x:c r="F327" s="21" t="n">
        <x:v>2</x:v>
      </x:c>
      <x:c r="G327" s="17" t="n">
        <x:v>10150.3756</x:v>
      </x:c>
      <x:c r="H327" s="17" t="n">
        <x:f>G327*F327</x:f>
        <x:v>20300.7512</x:v>
      </x:c>
      <x:c r="I327" s="22" t="str">
        <x:f>HYPERLINK("https://etp-aktiv.ru/catalog/materialy/podshipniki/2000072762-U117/","Открыть позицию")</x:f>
        <x:v>Открыть позицию</x:v>
      </x:c>
    </x:row>
    <x:row r="328" ht="28" customHeight="1">
      <x:c r="A328" s="16" t="str">
        <x:v>Приморская ГРЭС</x:v>
      </x:c>
      <x:c r="B328" s="16" t="str">
        <x:v>2000116621-U117</x:v>
      </x:c>
      <x:c r="C328" s="16" t="str">
        <x:v>ПОДШИПНИК 32310</x:v>
      </x:c>
      <x:c r="D328" s="16" t="str">
        <x:v>Подшипники</x:v>
      </x:c>
      <x:c r="E328" s="16" t="str">
        <x:v>ШТ</x:v>
      </x:c>
      <x:c r="F328" s="21" t="n">
        <x:v>1</x:v>
      </x:c>
      <x:c r="G328" s="17" t="n">
        <x:v>556.0516</x:v>
      </x:c>
      <x:c r="H328" s="17" t="n">
        <x:f>G328*F328</x:f>
        <x:v>556.0516</x:v>
      </x:c>
      <x:c r="I328" s="22" t="str">
        <x:f>HYPERLINK("https://etp-aktiv.ru/catalog/materialy/podshipniki/2000116621-U117/","Открыть позицию")</x:f>
        <x:v>Открыть позицию</x:v>
      </x:c>
    </x:row>
    <x:row r="329" ht="28" customHeight="1">
      <x:c r="A329" s="16" t="str">
        <x:v>Приморская ГРЭС</x:v>
      </x:c>
      <x:c r="B329" s="16" t="str">
        <x:v>2000556562-U117</x:v>
      </x:c>
      <x:c r="C329" s="16" t="str">
        <x:v>ПОДШИПНИК 346320</x:v>
      </x:c>
      <x:c r="D329" s="16" t="str">
        <x:v>Подшипники</x:v>
      </x:c>
      <x:c r="E329" s="16" t="str">
        <x:v>ШТ</x:v>
      </x:c>
      <x:c r="F329" s="21" t="n">
        <x:v>3</x:v>
      </x:c>
      <x:c r="G329" s="17" t="n">
        <x:v>14044.64</x:v>
      </x:c>
      <x:c r="H329" s="17" t="n">
        <x:f>G329*F329</x:f>
        <x:v>42133.92</x:v>
      </x:c>
      <x:c r="I329" s="22" t="str">
        <x:f>HYPERLINK("https://etp-aktiv.ru/catalog/materialy/podshipniki/2000556562-U117/","Открыть позицию")</x:f>
        <x:v>Открыть позицию</x:v>
      </x:c>
    </x:row>
    <x:row r="330" ht="28" customHeight="1">
      <x:c r="A330" s="16" t="str">
        <x:v>Приморская ГРЭС</x:v>
      </x:c>
      <x:c r="B330" s="16" t="str">
        <x:v>2000116640-U117</x:v>
      </x:c>
      <x:c r="C330" s="16" t="str">
        <x:v>ПОДШИПНИК 3518</x:v>
      </x:c>
      <x:c r="D330" s="16" t="str">
        <x:v>Подшипники</x:v>
      </x:c>
      <x:c r="E330" s="16" t="str">
        <x:v>ШТ</x:v>
      </x:c>
      <x:c r="F330" s="21" t="n">
        <x:v>10</x:v>
      </x:c>
      <x:c r="G330" s="17" t="n">
        <x:v>2008.5836000000002</x:v>
      </x:c>
      <x:c r="H330" s="17" t="n">
        <x:f>G330*F330</x:f>
        <x:v>20085.836000000003</x:v>
      </x:c>
      <x:c r="I330" s="22" t="str">
        <x:f>HYPERLINK("https://etp-aktiv.ru/catalog/materialy/podshipniki/2000116640-U117/","Открыть позицию")</x:f>
        <x:v>Открыть позицию</x:v>
      </x:c>
    </x:row>
    <x:row r="331" ht="28" customHeight="1">
      <x:c r="A331" s="16" t="str">
        <x:v>Приморская ГРЭС</x:v>
      </x:c>
      <x:c r="B331" s="16" t="str">
        <x:v>2000116653-U117</x:v>
      </x:c>
      <x:c r="C331" s="16" t="str">
        <x:v>ПОДШИПНИК 3522</x:v>
      </x:c>
      <x:c r="D331" s="16" t="str">
        <x:v>Подшипники</x:v>
      </x:c>
      <x:c r="E331" s="16" t="str">
        <x:v>ШТ</x:v>
      </x:c>
      <x:c r="F331" s="21" t="n">
        <x:v>6</x:v>
      </x:c>
      <x:c r="G331" s="17" t="n">
        <x:v>4503.9594</x:v>
      </x:c>
      <x:c r="H331" s="17" t="n">
        <x:f>G331*F331</x:f>
        <x:v>27023.7564</x:v>
      </x:c>
      <x:c r="I331" s="22" t="str">
        <x:f>HYPERLINK("https://etp-aktiv.ru/catalog/materialy/podshipniki/2000116653-U117/","Открыть позицию")</x:f>
        <x:v>Открыть позицию</x:v>
      </x:c>
    </x:row>
    <x:row r="332" ht="28" customHeight="1">
      <x:c r="A332" s="16" t="str">
        <x:v>Приморская ГРЭС</x:v>
      </x:c>
      <x:c r="B332" s="16" t="str">
        <x:v>2000116910-U117</x:v>
      </x:c>
      <x:c r="C332" s="16" t="str">
        <x:v>ПОДШИПНИК 3524</x:v>
      </x:c>
      <x:c r="D332" s="16" t="str">
        <x:v>Подшипники</x:v>
      </x:c>
      <x:c r="E332" s="16" t="str">
        <x:v>ШТ</x:v>
      </x:c>
      <x:c r="F332" s="21" t="n">
        <x:v>5</x:v>
      </x:c>
      <x:c r="G332" s="17" t="n">
        <x:v>4228.398</x:v>
      </x:c>
      <x:c r="H332" s="17" t="n">
        <x:f>G332*F332</x:f>
        <x:v>21141.99</x:v>
      </x:c>
      <x:c r="I332" s="22" t="str">
        <x:f>HYPERLINK("https://etp-aktiv.ru/catalog/materialy/podshipniki/2000116910-U117/","Открыть позицию")</x:f>
        <x:v>Открыть позицию</x:v>
      </x:c>
    </x:row>
    <x:row r="333" ht="28" customHeight="1">
      <x:c r="A333" s="16" t="str">
        <x:v>Приморская ГРЭС</x:v>
      </x:c>
      <x:c r="B333" s="16" t="str">
        <x:v>2000116728-U117</x:v>
      </x:c>
      <x:c r="C333" s="16" t="str">
        <x:v>ПОДШИПНИК 3526</x:v>
      </x:c>
      <x:c r="D333" s="16" t="str">
        <x:v>Подшипники</x:v>
      </x:c>
      <x:c r="E333" s="16" t="str">
        <x:v>ШТ</x:v>
      </x:c>
      <x:c r="F333" s="21" t="n">
        <x:v>3</x:v>
      </x:c>
      <x:c r="G333" s="17" t="n">
        <x:v>2877.6749999999997</x:v>
      </x:c>
      <x:c r="H333" s="17" t="n">
        <x:f>G333*F333</x:f>
        <x:v>8633.025</x:v>
      </x:c>
      <x:c r="I333" s="22" t="str">
        <x:f>HYPERLINK("https://etp-aktiv.ru/catalog/materialy/podshipniki/2000116728-U117/","Открыть позицию")</x:f>
        <x:v>Открыть позицию</x:v>
      </x:c>
    </x:row>
    <x:row r="334" ht="28" customHeight="1">
      <x:c r="A334" s="16" t="str">
        <x:v>Приморская ГРЭС</x:v>
      </x:c>
      <x:c r="B334" s="16" t="str">
        <x:v>2000116703-U117</x:v>
      </x:c>
      <x:c r="C334" s="16" t="str">
        <x:v>ПОДШИПНИК 3528</x:v>
      </x:c>
      <x:c r="D334" s="16" t="str">
        <x:v>Подшипники</x:v>
      </x:c>
      <x:c r="E334" s="16" t="str">
        <x:v>ШТ</x:v>
      </x:c>
      <x:c r="F334" s="21" t="n">
        <x:v>3</x:v>
      </x:c>
      <x:c r="G334" s="17" t="n">
        <x:v>6009.2808</x:v>
      </x:c>
      <x:c r="H334" s="17" t="n">
        <x:f>G334*F334</x:f>
        <x:v>18027.8424</x:v>
      </x:c>
      <x:c r="I334" s="22" t="str">
        <x:f>HYPERLINK("https://etp-aktiv.ru/catalog/materialy/podshipniki/2000116703-U117/","Открыть позицию")</x:f>
        <x:v>Открыть позицию</x:v>
      </x:c>
    </x:row>
    <x:row r="335" ht="28" customHeight="1">
      <x:c r="A335" s="16" t="str">
        <x:v>Приморская ГРЭС</x:v>
      </x:c>
      <x:c r="B335" s="16" t="str">
        <x:v>2000116742-U117</x:v>
      </x:c>
      <x:c r="C335" s="16" t="str">
        <x:v>ПОДШИПНИК 3532</x:v>
      </x:c>
      <x:c r="D335" s="16" t="str">
        <x:v>Подшипники</x:v>
      </x:c>
      <x:c r="E335" s="16" t="str">
        <x:v>ШТ</x:v>
      </x:c>
      <x:c r="F335" s="21" t="n">
        <x:v>6</x:v>
      </x:c>
      <x:c r="G335" s="17" t="n">
        <x:v>8305.2354</x:v>
      </x:c>
      <x:c r="H335" s="17" t="n">
        <x:f>G335*F335</x:f>
        <x:v>49831.4124</x:v>
      </x:c>
      <x:c r="I335" s="22" t="str">
        <x:f>HYPERLINK("https://etp-aktiv.ru/catalog/materialy/podshipniki/2000116742-U117/","Открыть позицию")</x:f>
        <x:v>Открыть позицию</x:v>
      </x:c>
    </x:row>
    <x:row r="336" ht="28" customHeight="1">
      <x:c r="A336" s="16" t="str">
        <x:v>Приморская ГРЭС</x:v>
      </x:c>
      <x:c r="B336" s="16" t="str">
        <x:v>2000011761-U117</x:v>
      </x:c>
      <x:c r="C336" s="16" t="str">
        <x:v>ПОДШИПНИК 3534</x:v>
      </x:c>
      <x:c r="D336" s="16" t="str">
        <x:v>Подшипники</x:v>
      </x:c>
      <x:c r="E336" s="16" t="str">
        <x:v>ШТ</x:v>
      </x:c>
      <x:c r="F336" s="21" t="n">
        <x:v>9</x:v>
      </x:c>
      <x:c r="G336" s="17" t="n">
        <x:v>9226.006</x:v>
      </x:c>
      <x:c r="H336" s="17" t="n">
        <x:f>G336*F336</x:f>
        <x:v>83034.05399999999</x:v>
      </x:c>
      <x:c r="I336" s="22" t="str">
        <x:f>HYPERLINK("https://etp-aktiv.ru/catalog/materialy/podshipniki/2000011761-U117/","Открыть позицию")</x:f>
        <x:v>Открыть позицию</x:v>
      </x:c>
    </x:row>
    <x:row r="337" ht="28" customHeight="1">
      <x:c r="A337" s="16" t="str">
        <x:v>Приморская ГРЭС</x:v>
      </x:c>
      <x:c r="B337" s="16" t="str">
        <x:v>2000116779-U117</x:v>
      </x:c>
      <x:c r="C337" s="16" t="str">
        <x:v>ПОДШИПНИК 3538</x:v>
      </x:c>
      <x:c r="D337" s="16" t="str">
        <x:v>Подшипники</x:v>
      </x:c>
      <x:c r="E337" s="16" t="str">
        <x:v>ШТ</x:v>
      </x:c>
      <x:c r="F337" s="21" t="n">
        <x:v>8</x:v>
      </x:c>
      <x:c r="G337" s="17" t="n">
        <x:v>17714.7782</x:v>
      </x:c>
      <x:c r="H337" s="17" t="n">
        <x:f>G337*F337</x:f>
        <x:v>141718.2256</x:v>
      </x:c>
      <x:c r="I337" s="22" t="str">
        <x:f>HYPERLINK("https://etp-aktiv.ru/catalog/materialy/podshipniki/2000116779-U117/","Открыть позицию")</x:f>
        <x:v>Открыть позицию</x:v>
      </x:c>
    </x:row>
    <x:row r="338" ht="28" customHeight="1">
      <x:c r="A338" s="16" t="str">
        <x:v>Приморская ГРЭС</x:v>
      </x:c>
      <x:c r="B338" s="16" t="str">
        <x:v>2000116604-U117</x:v>
      </x:c>
      <x:c r="C338" s="16" t="str">
        <x:v>ПОДШИПНИК 3612</x:v>
      </x:c>
      <x:c r="D338" s="16" t="str">
        <x:v>Подшипники</x:v>
      </x:c>
      <x:c r="E338" s="16" t="str">
        <x:v>ШТ</x:v>
      </x:c>
      <x:c r="F338" s="21" t="n">
        <x:v>9</x:v>
      </x:c>
      <x:c r="G338" s="17" t="n">
        <x:v>1371.5240000000001</x:v>
      </x:c>
      <x:c r="H338" s="17" t="n">
        <x:f>G338*F338</x:f>
        <x:v>12343.716</x:v>
      </x:c>
      <x:c r="I338" s="22" t="str">
        <x:f>HYPERLINK("https://etp-aktiv.ru/catalog/materialy/podshipniki/2000116604-U117/","Открыть позицию")</x:f>
        <x:v>Открыть позицию</x:v>
      </x:c>
    </x:row>
    <x:row r="339" ht="28" customHeight="1">
      <x:c r="A339" s="16" t="str">
        <x:v>Приморская ГРЭС</x:v>
      </x:c>
      <x:c r="B339" s="16" t="str">
        <x:v>2000116184-U117</x:v>
      </x:c>
      <x:c r="C339" s="16" t="str">
        <x:v>ПОДШИПНИК 3616</x:v>
      </x:c>
      <x:c r="D339" s="16" t="str">
        <x:v>Подшипники</x:v>
      </x:c>
      <x:c r="E339" s="16" t="str">
        <x:v>ШТ</x:v>
      </x:c>
      <x:c r="F339" s="21" t="n">
        <x:v>8</x:v>
      </x:c>
      <x:c r="G339" s="17" t="n">
        <x:v>3202.2925999999998</x:v>
      </x:c>
      <x:c r="H339" s="17" t="n">
        <x:f>G339*F339</x:f>
        <x:v>25618.340799999998</x:v>
      </x:c>
      <x:c r="I339" s="22" t="str">
        <x:f>HYPERLINK("https://etp-aktiv.ru/catalog/materialy/podshipniki/2000116184-U117/","Открыть позицию")</x:f>
        <x:v>Открыть позицию</x:v>
      </x:c>
    </x:row>
    <x:row r="340" ht="28" customHeight="1">
      <x:c r="A340" s="16" t="str">
        <x:v>Приморская ГРЭС</x:v>
      </x:c>
      <x:c r="B340" s="16" t="str">
        <x:v>2000182351-U117</x:v>
      </x:c>
      <x:c r="C340" s="16" t="str">
        <x:v>ПОДШИПНИК 3618 АМН</x:v>
      </x:c>
      <x:c r="D340" s="16" t="str">
        <x:v>Подшипники</x:v>
      </x:c>
      <x:c r="E340" s="16" t="str">
        <x:v>ШТ</x:v>
      </x:c>
      <x:c r="F340" s="21" t="n">
        <x:v>2</x:v>
      </x:c>
      <x:c r="G340" s="17" t="n">
        <x:v>4446.9</x:v>
      </x:c>
      <x:c r="H340" s="17" t="n">
        <x:f>G340*F340</x:f>
        <x:v>8893.8</x:v>
      </x:c>
      <x:c r="I340" s="22" t="str">
        <x:f>HYPERLINK("https://etp-aktiv.ru/catalog/materialy/podshipniki/2000182351-U117/","Открыть позицию")</x:f>
        <x:v>Открыть позицию</x:v>
      </x:c>
    </x:row>
    <x:row r="341" ht="28" customHeight="1">
      <x:c r="A341" s="16" t="str">
        <x:v>Приморская ГРЭС</x:v>
      </x:c>
      <x:c r="B341" s="16" t="str">
        <x:v>2000116708-U117</x:v>
      </x:c>
      <x:c r="C341" s="16" t="str">
        <x:v>ПОДШИПНИК 3620</x:v>
      </x:c>
      <x:c r="D341" s="16" t="str">
        <x:v>Подшипники</x:v>
      </x:c>
      <x:c r="E341" s="16" t="str">
        <x:v>ШТ</x:v>
      </x:c>
      <x:c r="F341" s="21" t="n">
        <x:v>7</x:v>
      </x:c>
      <x:c r="G341" s="17" t="n">
        <x:v>7479.9054</x:v>
      </x:c>
      <x:c r="H341" s="17" t="n">
        <x:f>G341*F341</x:f>
        <x:v>52359.337799999994</x:v>
      </x:c>
      <x:c r="I341" s="22" t="str">
        <x:f>HYPERLINK("https://etp-aktiv.ru/catalog/materialy/podshipniki/2000116708-U117/","Открыть позицию")</x:f>
        <x:v>Открыть позицию</x:v>
      </x:c>
    </x:row>
    <x:row r="342" ht="28" customHeight="1">
      <x:c r="A342" s="16" t="str">
        <x:v>Приморская ГРЭС</x:v>
      </x:c>
      <x:c r="B342" s="16" t="str">
        <x:v>2000116706-U117</x:v>
      </x:c>
      <x:c r="C342" s="16" t="str">
        <x:v>ПОДШИПНИК 3622</x:v>
      </x:c>
      <x:c r="D342" s="16" t="str">
        <x:v>Подшипники</x:v>
      </x:c>
      <x:c r="E342" s="16" t="str">
        <x:v>ШТ</x:v>
      </x:c>
      <x:c r="F342" s="21" t="n">
        <x:v>4</x:v>
      </x:c>
      <x:c r="G342" s="17" t="n">
        <x:v>6228.832</x:v>
      </x:c>
      <x:c r="H342" s="17" t="n">
        <x:f>G342*F342</x:f>
        <x:v>24915.328</x:v>
      </x:c>
      <x:c r="I342" s="22" t="str">
        <x:f>HYPERLINK("https://etp-aktiv.ru/catalog/materialy/podshipniki/2000116706-U117/","Открыть позицию")</x:f>
        <x:v>Открыть позицию</x:v>
      </x:c>
    </x:row>
    <x:row r="343" ht="28" customHeight="1">
      <x:c r="A343" s="16" t="str">
        <x:v>Приморская ГРЭС</x:v>
      </x:c>
      <x:c r="B343" s="16" t="str">
        <x:v>2000645950-U117</x:v>
      </x:c>
      <x:c r="C343" s="16" t="str">
        <x:v>ПОДШИПНИК 3622 АМНК5</x:v>
      </x:c>
      <x:c r="D343" s="16" t="str">
        <x:v>Подшипники</x:v>
      </x:c>
      <x:c r="E343" s="16" t="str">
        <x:v>ШТ</x:v>
      </x:c>
      <x:c r="F343" s="21" t="n">
        <x:v>20</x:v>
      </x:c>
      <x:c r="G343" s="17" t="n">
        <x:v>12492.775599999999</x:v>
      </x:c>
      <x:c r="H343" s="17" t="n">
        <x:f>G343*F343</x:f>
        <x:v>249855.512</x:v>
      </x:c>
      <x:c r="I343" s="22" t="str">
        <x:f>HYPERLINK("https://etp-aktiv.ru/catalog/materialy/podshipniki/2000645950-U117/","Открыть позицию")</x:f>
        <x:v>Открыть позицию</x:v>
      </x:c>
    </x:row>
    <x:row r="344" ht="28" customHeight="1">
      <x:c r="A344" s="16" t="str">
        <x:v>Приморская ГРЭС</x:v>
      </x:c>
      <x:c r="B344" s="16" t="str">
        <x:v>2000115360-U117</x:v>
      </x:c>
      <x:c r="C344" s="16" t="str">
        <x:v>ПОДШИПНИК 3628</x:v>
      </x:c>
      <x:c r="D344" s="16" t="str">
        <x:v>Подшипники</x:v>
      </x:c>
      <x:c r="E344" s="16" t="str">
        <x:v>ШТ</x:v>
      </x:c>
      <x:c r="F344" s="21" t="n">
        <x:v>2</x:v>
      </x:c>
      <x:c r="G344" s="17" t="n">
        <x:v>23031.7944</x:v>
      </x:c>
      <x:c r="H344" s="17" t="n">
        <x:f>G344*F344</x:f>
        <x:v>46063.5888</x:v>
      </x:c>
      <x:c r="I344" s="22" t="str">
        <x:f>HYPERLINK("https://etp-aktiv.ru/catalog/materialy/podshipniki/2000115360-U117/","Открыть позицию")</x:f>
        <x:v>Открыть позицию</x:v>
      </x:c>
    </x:row>
    <x:row r="345" ht="28" customHeight="1">
      <x:c r="A345" s="16" t="str">
        <x:v>Приморская ГРЭС</x:v>
      </x:c>
      <x:c r="B345" s="16" t="str">
        <x:v>2000902502-U117</x:v>
      </x:c>
      <x:c r="C345" s="16" t="str">
        <x:v>ПОДШИПНИК 3634Н</x:v>
      </x:c>
      <x:c r="D345" s="16" t="str">
        <x:v>Подшипники</x:v>
      </x:c>
      <x:c r="E345" s="16" t="str">
        <x:v>ШТ</x:v>
      </x:c>
      <x:c r="F345" s="21" t="n">
        <x:v>4</x:v>
      </x:c>
      <x:c r="G345" s="17" t="n">
        <x:v>21585.057399999998</x:v>
      </x:c>
      <x:c r="H345" s="17" t="n">
        <x:f>G345*F345</x:f>
        <x:v>86340.22959999999</x:v>
      </x:c>
      <x:c r="I345" s="22" t="str">
        <x:f>HYPERLINK("https://etp-aktiv.ru/catalog/materialy/podshipniki/2000902502-U117/","Открыть позицию")</x:f>
        <x:v>Открыть позицию</x:v>
      </x:c>
    </x:row>
    <x:row r="346" ht="28" customHeight="1">
      <x:c r="A346" s="16" t="str">
        <x:v>Приморская ГРЭС</x:v>
      </x:c>
      <x:c r="B346" s="16" t="str">
        <x:v>2000253777-U117</x:v>
      </x:c>
      <x:c r="C346" s="16" t="str">
        <x:v>ПОДШИПНИК 4024109</x:v>
      </x:c>
      <x:c r="D346" s="16" t="str">
        <x:v>Подшипники</x:v>
      </x:c>
      <x:c r="E346" s="16" t="str">
        <x:v>ШТ</x:v>
      </x:c>
      <x:c r="F346" s="21" t="n">
        <x:v>8</x:v>
      </x:c>
      <x:c r="G346" s="17" t="n">
        <x:v>274.5</x:v>
      </x:c>
      <x:c r="H346" s="17" t="n">
        <x:f>G346*F346</x:f>
        <x:v>2196</x:v>
      </x:c>
      <x:c r="I346" s="22" t="str">
        <x:f>HYPERLINK("https://etp-aktiv.ru/catalog/materialy/podshipniki/2000253777-U117/","Открыть позицию")</x:f>
        <x:v>Открыть позицию</x:v>
      </x:c>
    </x:row>
    <x:row r="347" ht="28" customHeight="1">
      <x:c r="A347" s="16" t="str">
        <x:v>Приморская ГРЭС</x:v>
      </x:c>
      <x:c r="B347" s="16" t="str">
        <x:v>2000116540-U117</x:v>
      </x:c>
      <x:c r="C347" s="16" t="str">
        <x:v>ПОДШИПНИК 402411</x:v>
      </x:c>
      <x:c r="D347" s="16" t="str">
        <x:v>Подшипники</x:v>
      </x:c>
      <x:c r="E347" s="16" t="str">
        <x:v>ШТ</x:v>
      </x:c>
      <x:c r="F347" s="21" t="n">
        <x:v>2</x:v>
      </x:c>
      <x:c r="G347" s="17" t="n">
        <x:v>716.7134</x:v>
      </x:c>
      <x:c r="H347" s="17" t="n">
        <x:f>G347*F347</x:f>
        <x:v>1433.4268</x:v>
      </x:c>
      <x:c r="I347" s="22" t="str">
        <x:f>HYPERLINK("https://etp-aktiv.ru/catalog/materialy/podshipniki/2000116540-U117/","Открыть позицию")</x:f>
        <x:v>Открыть позицию</x:v>
      </x:c>
    </x:row>
    <x:row r="348" ht="28" customHeight="1">
      <x:c r="A348" s="16" t="str">
        <x:v>Приморская ГРЭС</x:v>
      </x:c>
      <x:c r="B348" s="16" t="str">
        <x:v>2000116436-U117</x:v>
      </x:c>
      <x:c r="C348" s="16" t="str">
        <x:v>ПОДШИПНИК 408</x:v>
      </x:c>
      <x:c r="D348" s="16" t="str">
        <x:v>Подшипники</x:v>
      </x:c>
      <x:c r="E348" s="16" t="str">
        <x:v>ШТ</x:v>
      </x:c>
      <x:c r="F348" s="21" t="n">
        <x:v>4</x:v>
      </x:c>
      <x:c r="G348" s="17" t="n">
        <x:v>232.776</x:v>
      </x:c>
      <x:c r="H348" s="17" t="n">
        <x:f>G348*F348</x:f>
        <x:v>931.104</x:v>
      </x:c>
      <x:c r="I348" s="22" t="str">
        <x:f>HYPERLINK("https://etp-aktiv.ru/catalog/materialy/podshipniki/2000116436-U117/","Открыть позицию")</x:f>
        <x:v>Открыть позицию</x:v>
      </x:c>
    </x:row>
    <x:row r="349" ht="28" customHeight="1">
      <x:c r="A349" s="16" t="str">
        <x:v>Приморская ГРЭС</x:v>
      </x:c>
      <x:c r="B349" s="16" t="str">
        <x:v>2000116489-U117</x:v>
      </x:c>
      <x:c r="C349" s="16" t="str">
        <x:v>ПОДШИПНИК 410</x:v>
      </x:c>
      <x:c r="D349" s="16" t="str">
        <x:v>Подшипники</x:v>
      </x:c>
      <x:c r="E349" s="16" t="str">
        <x:v>ШТ</x:v>
      </x:c>
      <x:c r="F349" s="21" t="n">
        <x:v>25</x:v>
      </x:c>
      <x:c r="G349" s="17" t="n">
        <x:v>584.0018</x:v>
      </x:c>
      <x:c r="H349" s="17" t="n">
        <x:f>G349*F349</x:f>
        <x:v>14600.045</x:v>
      </x:c>
      <x:c r="I349" s="22" t="str">
        <x:f>HYPERLINK("https://etp-aktiv.ru/catalog/materialy/podshipniki/2000116489-U117/","Открыть позицию")</x:f>
        <x:v>Открыть позицию</x:v>
      </x:c>
    </x:row>
    <x:row r="350" ht="28" customHeight="1">
      <x:c r="A350" s="16" t="str">
        <x:v>Приморская ГРЭС</x:v>
      </x:c>
      <x:c r="B350" s="16" t="str">
        <x:v>2000116513-U117</x:v>
      </x:c>
      <x:c r="C350" s="16" t="str">
        <x:v>ПОДШИПНИК 412</x:v>
      </x:c>
      <x:c r="D350" s="16" t="str">
        <x:v>Подшипники</x:v>
      </x:c>
      <x:c r="E350" s="16" t="str">
        <x:v>ШТ</x:v>
      </x:c>
      <x:c r="F350" s="21" t="n">
        <x:v>13</x:v>
      </x:c>
      <x:c r="G350" s="17" t="n">
        <x:v>918.172</x:v>
      </x:c>
      <x:c r="H350" s="17" t="n">
        <x:f>G350*F350</x:f>
        <x:v>11936.236</x:v>
      </x:c>
      <x:c r="I350" s="22" t="str">
        <x:f>HYPERLINK("https://etp-aktiv.ru/catalog/materialy/podshipniki/2000116513-U117/","Открыть позицию")</x:f>
        <x:v>Открыть позицию</x:v>
      </x:c>
    </x:row>
    <x:row r="351" ht="28" customHeight="1">
      <x:c r="A351" s="16" t="str">
        <x:v>Приморская ГРЭС</x:v>
      </x:c>
      <x:c r="B351" s="16" t="str">
        <x:v>2000556631-U117</x:v>
      </x:c>
      <x:c r="C351" s="16" t="str">
        <x:v>ПОДШИПНИК 42221 Л</x:v>
      </x:c>
      <x:c r="D351" s="16" t="str">
        <x:v>Подшипники</x:v>
      </x:c>
      <x:c r="E351" s="16" t="str">
        <x:v>ШТ</x:v>
      </x:c>
      <x:c r="F351" s="21" t="n">
        <x:v>4</x:v>
      </x:c>
      <x:c r="G351" s="17" t="n">
        <x:v>2312.205</x:v>
      </x:c>
      <x:c r="H351" s="17" t="n">
        <x:f>G351*F351</x:f>
        <x:v>9248.82</x:v>
      </x:c>
      <x:c r="I351" s="22" t="str">
        <x:f>HYPERLINK("https://etp-aktiv.ru/catalog/materialy/podshipniki/2000556631-U117/","Открыть позицию")</x:f>
        <x:v>Открыть позицию</x:v>
      </x:c>
    </x:row>
    <x:row r="352" ht="28" customHeight="1">
      <x:c r="A352" s="16" t="str">
        <x:v>Приморская ГРЭС</x:v>
      </x:c>
      <x:c r="B352" s="16" t="str">
        <x:v>2000167507-U117</x:v>
      </x:c>
      <x:c r="C352" s="16" t="str">
        <x:v>ПОДШИПНИК 46318Л</x:v>
      </x:c>
      <x:c r="D352" s="16" t="str">
        <x:v>Подшипники</x:v>
      </x:c>
      <x:c r="E352" s="16" t="str">
        <x:v>ШТ</x:v>
      </x:c>
      <x:c r="F352" s="21" t="n">
        <x:v>6</x:v>
      </x:c>
      <x:c r="G352" s="17" t="n">
        <x:v>1492.5358</x:v>
      </x:c>
      <x:c r="H352" s="17" t="n">
        <x:f>G352*F352</x:f>
        <x:v>8955.214800000002</x:v>
      </x:c>
      <x:c r="I352" s="22" t="str">
        <x:f>HYPERLINK("https://etp-aktiv.ru/catalog/materialy/podshipniki/2000167507-U117/","Открыть позицию")</x:f>
        <x:v>Открыть позицию</x:v>
      </x:c>
    </x:row>
    <x:row r="353" ht="28" customHeight="1">
      <x:c r="A353" s="16" t="str">
        <x:v>Приморская ГРЭС</x:v>
      </x:c>
      <x:c r="B353" s="16" t="str">
        <x:v>2000220433-U117</x:v>
      </x:c>
      <x:c r="C353" s="16" t="str">
        <x:v>ПОДШИПНИК 46320Л</x:v>
      </x:c>
      <x:c r="D353" s="16" t="str">
        <x:v>Подшипники</x:v>
      </x:c>
      <x:c r="E353" s="16" t="str">
        <x:v>ШТ</x:v>
      </x:c>
      <x:c r="F353" s="21" t="n">
        <x:v>2</x:v>
      </x:c>
      <x:c r="G353" s="17" t="n">
        <x:v>3976.5899999999997</x:v>
      </x:c>
      <x:c r="H353" s="17" t="n">
        <x:f>G353*F353</x:f>
        <x:v>7953.179999999999</x:v>
      </x:c>
      <x:c r="I353" s="22" t="str">
        <x:f>HYPERLINK("https://etp-aktiv.ru/catalog/materialy/podshipniki/2000220433-U117/","Открыть позицию")</x:f>
        <x:v>Открыть позицию</x:v>
      </x:c>
    </x:row>
    <x:row r="354" ht="28" customHeight="1">
      <x:c r="A354" s="16" t="str">
        <x:v>Приморская ГРЭС</x:v>
      </x:c>
      <x:c r="B354" s="16" t="str">
        <x:v>2000116783-U117</x:v>
      </x:c>
      <x:c r="C354" s="16" t="str">
        <x:v>ПОДШИПНИК 46330</x:v>
      </x:c>
      <x:c r="D354" s="16" t="str">
        <x:v>Подшипники</x:v>
      </x:c>
      <x:c r="E354" s="16" t="str">
        <x:v>ШТ</x:v>
      </x:c>
      <x:c r="F354" s="21" t="n">
        <x:v>4</x:v>
      </x:c>
      <x:c r="G354" s="17" t="n">
        <x:v>12590.4</x:v>
      </x:c>
      <x:c r="H354" s="17" t="n">
        <x:f>G354*F354</x:f>
        <x:v>50361.6</x:v>
      </x:c>
      <x:c r="I354" s="22" t="str">
        <x:f>HYPERLINK("https://etp-aktiv.ru/catalog/materialy/podshipniki/2000116783-U117/","Открыть позицию")</x:f>
        <x:v>Открыть позицию</x:v>
      </x:c>
    </x:row>
    <x:row r="355" ht="28" customHeight="1">
      <x:c r="A355" s="16" t="str">
        <x:v>Приморская ГРЭС</x:v>
      </x:c>
      <x:c r="B355" s="16" t="str">
        <x:v>2000167522-U117</x:v>
      </x:c>
      <x:c r="C355" s="16" t="str">
        <x:v>ПОДШИПНИК 46330Л</x:v>
      </x:c>
      <x:c r="D355" s="16" t="str">
        <x:v>Подшипники</x:v>
      </x:c>
      <x:c r="E355" s="16" t="str">
        <x:v>ШТ</x:v>
      </x:c>
      <x:c r="F355" s="21" t="n">
        <x:v>4</x:v>
      </x:c>
      <x:c r="G355" s="17" t="n">
        <x:v>21722.2342</x:v>
      </x:c>
      <x:c r="H355" s="17" t="n">
        <x:f>G355*F355</x:f>
        <x:v>86888.9368</x:v>
      </x:c>
      <x:c r="I355" s="22" t="str">
        <x:f>HYPERLINK("https://etp-aktiv.ru/catalog/materialy/podshipniki/2000167522-U117/","Открыть позицию")</x:f>
        <x:v>Открыть позицию</x:v>
      </x:c>
    </x:row>
    <x:row r="356" ht="28" customHeight="1">
      <x:c r="A356" s="16" t="str">
        <x:v>Приморская ГРЭС</x:v>
      </x:c>
      <x:c r="B356" s="16" t="str">
        <x:v>2000034507-U117</x:v>
      </x:c>
      <x:c r="C356" s="16" t="str">
        <x:v>ПОДШИПНИК 46416</x:v>
      </x:c>
      <x:c r="D356" s="16" t="str">
        <x:v>Подшипники</x:v>
      </x:c>
      <x:c r="E356" s="16" t="str">
        <x:v>ШТ</x:v>
      </x:c>
      <x:c r="F356" s="21" t="n">
        <x:v>5</x:v>
      </x:c>
      <x:c r="G356" s="17" t="n">
        <x:v>4614.6012</x:v>
      </x:c>
      <x:c r="H356" s="17" t="n">
        <x:f>G356*F356</x:f>
        <x:v>23073.006</x:v>
      </x:c>
      <x:c r="I356" s="22" t="str">
        <x:f>HYPERLINK("https://etp-aktiv.ru/catalog/materialy/podshipniki/2000034507-U117/","Открыть позицию")</x:f>
        <x:v>Открыть позицию</x:v>
      </x:c>
    </x:row>
    <x:row r="357" ht="28" customHeight="1">
      <x:c r="A357" s="16" t="str">
        <x:v>Приморская ГРЭС</x:v>
      </x:c>
      <x:c r="B357" s="16" t="str">
        <x:v>2000116554-U117</x:v>
      </x:c>
      <x:c r="C357" s="16" t="str">
        <x:v>ПОДШИПНИК 53518</x:v>
      </x:c>
      <x:c r="D357" s="16" t="str">
        <x:v>Подшипники</x:v>
      </x:c>
      <x:c r="E357" s="16" t="str">
        <x:v>ШТ</x:v>
      </x:c>
      <x:c r="F357" s="21" t="n">
        <x:v>18</x:v>
      </x:c>
      <x:c r="G357" s="17" t="n">
        <x:v>1447.225</x:v>
      </x:c>
      <x:c r="H357" s="17" t="n">
        <x:f>G357*F357</x:f>
        <x:v>26050.05</x:v>
      </x:c>
      <x:c r="I357" s="22" t="str">
        <x:f>HYPERLINK("https://etp-aktiv.ru/catalog/materialy/podshipniki/2000116554-U117/","Открыть позицию")</x:f>
        <x:v>Открыть позицию</x:v>
      </x:c>
    </x:row>
    <x:row r="358" ht="28" customHeight="1">
      <x:c r="A358" s="16" t="str">
        <x:v>Приморская ГРЭС</x:v>
      </x:c>
      <x:c r="B358" s="16" t="str">
        <x:v>2000010923-U117</x:v>
      </x:c>
      <x:c r="C358" s="16" t="str">
        <x:v>ПОДШИПНИК 53522</x:v>
      </x:c>
      <x:c r="D358" s="16" t="str">
        <x:v>Подшипники</x:v>
      </x:c>
      <x:c r="E358" s="16" t="str">
        <x:v>ШТ</x:v>
      </x:c>
      <x:c r="F358" s="21" t="n">
        <x:v>13</x:v>
      </x:c>
      <x:c r="G358" s="17" t="n">
        <x:v>3117.8686000000002</x:v>
      </x:c>
      <x:c r="H358" s="17" t="n">
        <x:f>G358*F358</x:f>
        <x:v>40532.291800000006</x:v>
      </x:c>
      <x:c r="I358" s="22" t="str">
        <x:f>HYPERLINK("https://etp-aktiv.ru/catalog/materialy/podshipniki/2000010923-U117/","Открыть позицию")</x:f>
        <x:v>Открыть позицию</x:v>
      </x:c>
    </x:row>
    <x:row r="359" ht="28" customHeight="1">
      <x:c r="A359" s="16" t="str">
        <x:v>Приморская ГРЭС</x:v>
      </x:c>
      <x:c r="B359" s="16" t="str">
        <x:v>2000116624-U117</x:v>
      </x:c>
      <x:c r="C359" s="16" t="str">
        <x:v>ПОДШИПНИК 53612</x:v>
      </x:c>
      <x:c r="D359" s="16" t="str">
        <x:v>Подшипники</x:v>
      </x:c>
      <x:c r="E359" s="16" t="str">
        <x:v>ШТ</x:v>
      </x:c>
      <x:c r="F359" s="21" t="n">
        <x:v>2</x:v>
      </x:c>
      <x:c r="G359" s="17" t="n">
        <x:v>890.6732</x:v>
      </x:c>
      <x:c r="H359" s="17" t="n">
        <x:f>G359*F359</x:f>
        <x:v>1781.3464</x:v>
      </x:c>
      <x:c r="I359" s="22" t="str">
        <x:f>HYPERLINK("https://etp-aktiv.ru/catalog/materialy/podshipniki/2000116624-U117/","Открыть позицию")</x:f>
        <x:v>Открыть позицию</x:v>
      </x:c>
    </x:row>
    <x:row r="360" ht="28" customHeight="1">
      <x:c r="A360" s="16" t="str">
        <x:v>Приморская ГРЭС</x:v>
      </x:c>
      <x:c r="B360" s="16" t="str">
        <x:v>2000116622-U117</x:v>
      </x:c>
      <x:c r="C360" s="16" t="str">
        <x:v>ПОДШИПНИК 53614</x:v>
      </x:c>
      <x:c r="D360" s="16" t="str">
        <x:v>Подшипники</x:v>
      </x:c>
      <x:c r="E360" s="16" t="str">
        <x:v>ШТ</x:v>
      </x:c>
      <x:c r="F360" s="21" t="n">
        <x:v>2</x:v>
      </x:c>
      <x:c r="G360" s="17" t="n">
        <x:v>1569.8106</x:v>
      </x:c>
      <x:c r="H360" s="17" t="n">
        <x:f>G360*F360</x:f>
        <x:v>3139.6212</x:v>
      </x:c>
      <x:c r="I360" s="22" t="str">
        <x:f>HYPERLINK("https://etp-aktiv.ru/catalog/materialy/podshipniki/2000116622-U117/","Открыть позицию")</x:f>
        <x:v>Открыть позицию</x:v>
      </x:c>
    </x:row>
    <x:row r="361" ht="28" customHeight="1">
      <x:c r="A361" s="16" t="str">
        <x:v>Приморская ГРЭС</x:v>
      </x:c>
      <x:c r="B361" s="16" t="str">
        <x:v>2000231238-U117</x:v>
      </x:c>
      <x:c r="C361" s="16" t="str">
        <x:v>ПОДШИПНИК 6-180204АС17</x:v>
      </x:c>
      <x:c r="D361" s="16" t="str">
        <x:v>Подшипники</x:v>
      </x:c>
      <x:c r="E361" s="16" t="str">
        <x:v>ШТ</x:v>
      </x:c>
      <x:c r="F361" s="21" t="n">
        <x:v>4</x:v>
      </x:c>
      <x:c r="G361" s="17" t="n">
        <x:v>54.9</x:v>
      </x:c>
      <x:c r="H361" s="17" t="n">
        <x:f>G361*F361</x:f>
        <x:v>219.6</x:v>
      </x:c>
      <x:c r="I361" s="22" t="str">
        <x:f>HYPERLINK("https://etp-aktiv.ru/catalog/materialy/podshipniki/2000231238-U117/","Открыть позицию")</x:f>
        <x:v>Открыть позицию</x:v>
      </x:c>
    </x:row>
    <x:row r="362" ht="28" customHeight="1">
      <x:c r="A362" s="16" t="str">
        <x:v>Приморская ГРЭС</x:v>
      </x:c>
      <x:c r="B362" s="16" t="str">
        <x:v>2000699114-U117</x:v>
      </x:c>
      <x:c r="C362" s="16" t="str">
        <x:v>ПОДШИПНИК 6-180215</x:v>
      </x:c>
      <x:c r="D362" s="16" t="str">
        <x:v>Подшипники</x:v>
      </x:c>
      <x:c r="E362" s="16" t="str">
        <x:v>ШТ</x:v>
      </x:c>
      <x:c r="F362" s="21" t="n">
        <x:v>1</x:v>
      </x:c>
      <x:c r="G362" s="17" t="n">
        <x:v>390.3634</x:v>
      </x:c>
      <x:c r="H362" s="17" t="n">
        <x:f>G362*F362</x:f>
        <x:v>390.3634</x:v>
      </x:c>
      <x:c r="I362" s="22" t="str">
        <x:f>HYPERLINK("https://etp-aktiv.ru/catalog/materialy/podshipniki/2000699114-U117/","Открыть позицию")</x:f>
        <x:v>Открыть позицию</x:v>
      </x:c>
    </x:row>
    <x:row r="363" ht="28" customHeight="1">
      <x:c r="A363" s="16" t="str">
        <x:v>Приморская ГРЭС</x:v>
      </x:c>
      <x:c r="B363" s="16" t="str">
        <x:v>2000556641-U117</x:v>
      </x:c>
      <x:c r="C363" s="16" t="str">
        <x:v>ПОДШИПНИК 6-180308</x:v>
      </x:c>
      <x:c r="D363" s="16" t="str">
        <x:v>Подшипники</x:v>
      </x:c>
      <x:c r="E363" s="16" t="str">
        <x:v>ШТ</x:v>
      </x:c>
      <x:c r="F363" s="21" t="n">
        <x:v>8</x:v>
      </x:c>
      <x:c r="G363" s="17" t="n">
        <x:v>290.0062</x:v>
      </x:c>
      <x:c r="H363" s="17" t="n">
        <x:f>G363*F363</x:f>
        <x:v>2320.0496</x:v>
      </x:c>
      <x:c r="I363" s="22" t="str">
        <x:f>HYPERLINK("https://etp-aktiv.ru/catalog/materialy/podshipniki/2000556641-U117/","Открыть позицию")</x:f>
        <x:v>Открыть позицию</x:v>
      </x:c>
    </x:row>
    <x:row r="364" ht="28" customHeight="1">
      <x:c r="A364" s="16" t="str">
        <x:v>Приморская ГРЭС</x:v>
      </x:c>
      <x:c r="B364" s="16" t="str">
        <x:v>2000220711-U117</x:v>
      </x:c>
      <x:c r="C364" s="16" t="str">
        <x:v>ПОДШИПНИК 6-180313С17</x:v>
      </x:c>
      <x:c r="D364" s="16" t="str">
        <x:v>Подшипники</x:v>
      </x:c>
      <x:c r="E364" s="16" t="str">
        <x:v>ШТ</x:v>
      </x:c>
      <x:c r="F364" s="21" t="n">
        <x:v>1</x:v>
      </x:c>
      <x:c r="G364" s="17" t="n">
        <x:v>837.225</x:v>
      </x:c>
      <x:c r="H364" s="17" t="n">
        <x:f>G364*F364</x:f>
        <x:v>837.225</x:v>
      </x:c>
      <x:c r="I364" s="22" t="str">
        <x:f>HYPERLINK("https://etp-aktiv.ru/catalog/materialy/podshipniki/2000220711-U117/","Открыть позицию")</x:f>
        <x:v>Открыть позицию</x:v>
      </x:c>
    </x:row>
    <x:row r="365" ht="28" customHeight="1">
      <x:c r="A365" s="16" t="str">
        <x:v>Приморская ГРЭС</x:v>
      </x:c>
      <x:c r="B365" s="16" t="str">
        <x:v>2000207581-U117</x:v>
      </x:c>
      <x:c r="C365" s="16" t="str">
        <x:v>ПОДШИПНИК 6-180606</x:v>
      </x:c>
      <x:c r="D365" s="16" t="str">
        <x:v>Подшипники</x:v>
      </x:c>
      <x:c r="E365" s="16" t="str">
        <x:v>ШТ</x:v>
      </x:c>
      <x:c r="F365" s="21" t="n">
        <x:v>2</x:v>
      </x:c>
      <x:c r="G365" s="17" t="n">
        <x:v>200.93399999999997</x:v>
      </x:c>
      <x:c r="H365" s="17" t="n">
        <x:f>G365*F365</x:f>
        <x:v>401.86799999999994</x:v>
      </x:c>
      <x:c r="I365" s="22" t="str">
        <x:f>HYPERLINK("https://etp-aktiv.ru/catalog/materialy/podshipniki/2000207581-U117/","Открыть позицию")</x:f>
        <x:v>Открыть позицию</x:v>
      </x:c>
    </x:row>
    <x:row r="366" ht="28" customHeight="1">
      <x:c r="A366" s="16" t="str">
        <x:v>Приморская ГРЭС</x:v>
      </x:c>
      <x:c r="B366" s="16" t="str">
        <x:v>2000556652-U117</x:v>
      </x:c>
      <x:c r="C366" s="16" t="str">
        <x:v>ПОДШИПНИК 6-310</x:v>
      </x:c>
      <x:c r="D366" s="16" t="str">
        <x:v>Подшипники</x:v>
      </x:c>
      <x:c r="E366" s="16" t="str">
        <x:v>ШТ</x:v>
      </x:c>
      <x:c r="F366" s="21" t="n">
        <x:v>1</x:v>
      </x:c>
      <x:c r="G366" s="17" t="n">
        <x:v>309.1846</x:v>
      </x:c>
      <x:c r="H366" s="17" t="n">
        <x:f>G366*F366</x:f>
        <x:v>309.1846</x:v>
      </x:c>
      <x:c r="I366" s="22" t="str">
        <x:f>HYPERLINK("https://etp-aktiv.ru/catalog/materialy/podshipniki/2000556652-U117/","Открыть позицию")</x:f>
        <x:v>Открыть позицию</x:v>
      </x:c>
    </x:row>
    <x:row r="367" ht="28" customHeight="1">
      <x:c r="A367" s="16" t="str">
        <x:v>Приморская ГРЭС</x:v>
      </x:c>
      <x:c r="B367" s="16" t="str">
        <x:v>2000220673-U117</x:v>
      </x:c>
      <x:c r="C367" s="16" t="str">
        <x:v>ПОДШИПНИК 6-312А</x:v>
      </x:c>
      <x:c r="D367" s="16" t="str">
        <x:v>Подшипники</x:v>
      </x:c>
      <x:c r="E367" s="16" t="str">
        <x:v>ШТ</x:v>
      </x:c>
      <x:c r="F367" s="21" t="n">
        <x:v>4</x:v>
      </x:c>
      <x:c r="G367" s="17" t="n">
        <x:v>550.0004</x:v>
      </x:c>
      <x:c r="H367" s="17" t="n">
        <x:f>G367*F367</x:f>
        <x:v>2200.0016</x:v>
      </x:c>
      <x:c r="I367" s="22" t="str">
        <x:f>HYPERLINK("https://etp-aktiv.ru/catalog/materialy/podshipniki/2000220673-U117/","Открыть позицию")</x:f>
        <x:v>Открыть позицию</x:v>
      </x:c>
    </x:row>
    <x:row r="368" ht="28" customHeight="1">
      <x:c r="A368" s="16" t="str">
        <x:v>Приморская ГРЭС</x:v>
      </x:c>
      <x:c r="B368" s="16" t="str">
        <x:v>2000512242-U117</x:v>
      </x:c>
      <x:c r="C368" s="16" t="str">
        <x:v>ПОДШИПНИК 6-313Ш2У</x:v>
      </x:c>
      <x:c r="D368" s="16" t="str">
        <x:v>Подшипники</x:v>
      </x:c>
      <x:c r="E368" s="16" t="str">
        <x:v>ШТ</x:v>
      </x:c>
      <x:c r="F368" s="21" t="n">
        <x:v>4</x:v>
      </x:c>
      <x:c r="G368" s="17" t="n">
        <x:v>512.4</x:v>
      </x:c>
      <x:c r="H368" s="17" t="n">
        <x:f>G368*F368</x:f>
        <x:v>2049.6</x:v>
      </x:c>
      <x:c r="I368" s="22" t="str">
        <x:f>HYPERLINK("https://etp-aktiv.ru/catalog/materialy/podshipniki/2000512242-U117/","Открыть позицию")</x:f>
        <x:v>Открыть позицию</x:v>
      </x:c>
    </x:row>
    <x:row r="369" ht="28" customHeight="1">
      <x:c r="A369" s="16" t="str">
        <x:v>Приморская ГРЭС</x:v>
      </x:c>
      <x:c r="B369" s="16" t="str">
        <x:v>2000556658-U117</x:v>
      </x:c>
      <x:c r="C369" s="16" t="str">
        <x:v>ПОДШИПНИК 6-322</x:v>
      </x:c>
      <x:c r="D369" s="16" t="str">
        <x:v>Подшипники</x:v>
      </x:c>
      <x:c r="E369" s="16" t="str">
        <x:v>ШТ</x:v>
      </x:c>
      <x:c r="F369" s="21" t="n">
        <x:v>2</x:v>
      </x:c>
      <x:c r="G369" s="17" t="n">
        <x:v>3541.965</x:v>
      </x:c>
      <x:c r="H369" s="17" t="n">
        <x:f>G369*F369</x:f>
        <x:v>7083.93</x:v>
      </x:c>
      <x:c r="I369" s="22" t="str">
        <x:f>HYPERLINK("https://etp-aktiv.ru/catalog/materialy/podshipniki/2000556658-U117/","Открыть позицию")</x:f>
        <x:v>Открыть позицию</x:v>
      </x:c>
    </x:row>
    <x:row r="370" ht="28" customHeight="1">
      <x:c r="A370" s="16" t="str">
        <x:v>Приморская ГРЭС</x:v>
      </x:c>
      <x:c r="B370" s="16" t="str">
        <x:v>2000599207-U117</x:v>
      </x:c>
      <x:c r="C370" s="16" t="str">
        <x:v>ПОДШИПНИК 6-7507</x:v>
      </x:c>
      <x:c r="D370" s="16" t="str">
        <x:v>Подшипники</x:v>
      </x:c>
      <x:c r="E370" s="16" t="str">
        <x:v>ШТ</x:v>
      </x:c>
      <x:c r="F370" s="21" t="n">
        <x:v>2</x:v>
      </x:c>
      <x:c r="G370" s="17" t="n">
        <x:v>213.91479999999999</x:v>
      </x:c>
      <x:c r="H370" s="17" t="n">
        <x:f>G370*F370</x:f>
        <x:v>427.82959999999997</x:v>
      </x:c>
      <x:c r="I370" s="22" t="str">
        <x:f>HYPERLINK("https://etp-aktiv.ru/catalog/materialy/podshipniki/2000599207-U117/","Открыть позицию")</x:f>
        <x:v>Открыть позицию</x:v>
      </x:c>
    </x:row>
    <x:row r="371" ht="28" customHeight="1">
      <x:c r="A371" s="16" t="str">
        <x:v>Приморская ГРЭС</x:v>
      </x:c>
      <x:c r="B371" s="16" t="str">
        <x:v>2000116914-U117</x:v>
      </x:c>
      <x:c r="C371" s="16" t="str">
        <x:v>ПОДШИПНИК 6-7605А</x:v>
      </x:c>
      <x:c r="D371" s="16" t="str">
        <x:v>Подшипники</x:v>
      </x:c>
      <x:c r="E371" s="16" t="str">
        <x:v>ШТ</x:v>
      </x:c>
      <x:c r="F371" s="21" t="n">
        <x:v>4</x:v>
      </x:c>
      <x:c r="G371" s="17" t="n">
        <x:v>110.0928</x:v>
      </x:c>
      <x:c r="H371" s="17" t="n">
        <x:f>G371*F371</x:f>
        <x:v>440.3712</x:v>
      </x:c>
      <x:c r="I371" s="22" t="str">
        <x:f>HYPERLINK("https://etp-aktiv.ru/catalog/materialy/podshipniki/2000116914-U117/","Открыть позицию")</x:f>
        <x:v>Открыть позицию</x:v>
      </x:c>
    </x:row>
    <x:row r="372" ht="28" customHeight="1">
      <x:c r="A372" s="16" t="str">
        <x:v>Приморская ГРЭС</x:v>
      </x:c>
      <x:c r="B372" s="16" t="str">
        <x:v>2000116745-U117</x:v>
      </x:c>
      <x:c r="C372" s="16" t="str">
        <x:v>ПОДШИПНИК 6022</x:v>
      </x:c>
      <x:c r="D372" s="16" t="str">
        <x:v>Подшипники</x:v>
      </x:c>
      <x:c r="E372" s="16" t="str">
        <x:v>ШТ</x:v>
      </x:c>
      <x:c r="F372" s="21" t="n">
        <x:v>4</x:v>
      </x:c>
      <x:c r="G372" s="17" t="n">
        <x:v>905.7524</x:v>
      </x:c>
      <x:c r="H372" s="17" t="n">
        <x:f>G372*F372</x:f>
        <x:v>3623.0096</x:v>
      </x:c>
      <x:c r="I372" s="22" t="str">
        <x:f>HYPERLINK("https://etp-aktiv.ru/catalog/materialy/podshipniki/2000116745-U117/","Открыть позицию")</x:f>
        <x:v>Открыть позицию</x:v>
      </x:c>
    </x:row>
    <x:row r="373" ht="28" customHeight="1">
      <x:c r="A373" s="16" t="str">
        <x:v>Приморская ГРЭС</x:v>
      </x:c>
      <x:c r="B373" s="16" t="str">
        <x:v>2000034565-U117</x:v>
      </x:c>
      <x:c r="C373" s="16" t="str">
        <x:v>ПОДШИПНИК 6201</x:v>
      </x:c>
      <x:c r="D373" s="16" t="str">
        <x:v>Подшипники</x:v>
      </x:c>
      <x:c r="E373" s="16" t="str">
        <x:v>ШТ</x:v>
      </x:c>
      <x:c r="F373" s="21" t="n">
        <x:v>2</x:v>
      </x:c>
      <x:c r="G373" s="17" t="n">
        <x:v>20.13</x:v>
      </x:c>
      <x:c r="H373" s="17" t="n">
        <x:f>G373*F373</x:f>
        <x:v>40.26</x:v>
      </x:c>
      <x:c r="I373" s="22" t="str">
        <x:f>HYPERLINK("https://etp-aktiv.ru/catalog/materialy/podshipniki/2000034565-U117/","Открыть позицию")</x:f>
        <x:v>Открыть позицию</x:v>
      </x:c>
    </x:row>
    <x:row r="374" ht="28" customHeight="1">
      <x:c r="A374" s="16" t="str">
        <x:v>Приморская ГРЭС</x:v>
      </x:c>
      <x:c r="B374" s="16" t="str">
        <x:v>2000556519-U117</x:v>
      </x:c>
      <x:c r="C374" s="16" t="str">
        <x:v>ПОДШИПНИК 6213</x:v>
      </x:c>
      <x:c r="D374" s="16" t="str">
        <x:v>Подшипники</x:v>
      </x:c>
      <x:c r="E374" s="16" t="str">
        <x:v>ШТ</x:v>
      </x:c>
      <x:c r="F374" s="21" t="n">
        <x:v>5</x:v>
      </x:c>
      <x:c r="G374" s="17" t="n">
        <x:v>376.1992</x:v>
      </x:c>
      <x:c r="H374" s="17" t="n">
        <x:f>G374*F374</x:f>
        <x:v>1880.996</x:v>
      </x:c>
      <x:c r="I374" s="22" t="str">
        <x:f>HYPERLINK("https://etp-aktiv.ru/catalog/materialy/podshipniki/2000556519-U117/","Открыть позицию")</x:f>
        <x:v>Открыть позицию</x:v>
      </x:c>
    </x:row>
    <x:row r="375" ht="28" customHeight="1">
      <x:c r="A375" s="16" t="str">
        <x:v>Приморская ГРЭС</x:v>
      </x:c>
      <x:c r="B375" s="16" t="str">
        <x:v>2000255358-U117</x:v>
      </x:c>
      <x:c r="C375" s="16" t="str">
        <x:v>ПОДШИПНИК 6213 2RS</x:v>
      </x:c>
      <x:c r="D375" s="16" t="str">
        <x:v>Подшипники</x:v>
      </x:c>
      <x:c r="E375" s="16" t="str">
        <x:v>ШТ</x:v>
      </x:c>
      <x:c r="F375" s="21" t="n">
        <x:v>4</x:v>
      </x:c>
      <x:c r="G375" s="17" t="n">
        <x:v>371.49</x:v>
      </x:c>
      <x:c r="H375" s="17" t="n">
        <x:f>G375*F375</x:f>
        <x:v>1485.96</x:v>
      </x:c>
      <x:c r="I375" s="22" t="str">
        <x:f>HYPERLINK("https://etp-aktiv.ru/catalog/materialy/podshipniki/2000255358-U117/","Открыть позицию")</x:f>
        <x:v>Открыть позицию</x:v>
      </x:c>
    </x:row>
    <x:row r="376" ht="28" customHeight="1">
      <x:c r="A376" s="16" t="str">
        <x:v>Приморская ГРЭС</x:v>
      </x:c>
      <x:c r="B376" s="16" t="str">
        <x:v>2000174227-U117</x:v>
      </x:c>
      <x:c r="C376" s="16" t="str">
        <x:v>ПОДШИПНИК 62312</x:v>
      </x:c>
      <x:c r="D376" s="16" t="str">
        <x:v>Подшипники</x:v>
      </x:c>
      <x:c r="E376" s="16" t="str">
        <x:v>ШТ</x:v>
      </x:c>
      <x:c r="F376" s="21" t="n">
        <x:v>1</x:v>
      </x:c>
      <x:c r="G376" s="17" t="n">
        <x:v>858.9165999999999</x:v>
      </x:c>
      <x:c r="H376" s="17" t="n">
        <x:f>G376*F376</x:f>
        <x:v>858.9165999999999</x:v>
      </x:c>
      <x:c r="I376" s="22" t="str">
        <x:f>HYPERLINK("https://etp-aktiv.ru/catalog/materialy/podshipniki/2000174227-U117/","Открыть позицию")</x:f>
        <x:v>Открыть позицию</x:v>
      </x:c>
    </x:row>
    <x:row r="377" ht="28" customHeight="1">
      <x:c r="A377" s="16" t="str">
        <x:v>Приморская ГРЭС</x:v>
      </x:c>
      <x:c r="B377" s="16" t="str">
        <x:v>2000178598-U117</x:v>
      </x:c>
      <x:c r="C377" s="16" t="str">
        <x:v>ПОДШИПНИК 6238</x:v>
      </x:c>
      <x:c r="D377" s="16" t="str">
        <x:v>Подшипники</x:v>
      </x:c>
      <x:c r="E377" s="16" t="str">
        <x:v>ШТ</x:v>
      </x:c>
      <x:c r="F377" s="21" t="n">
        <x:v>2</x:v>
      </x:c>
      <x:c r="G377" s="17" t="n">
        <x:v>7200.135</x:v>
      </x:c>
      <x:c r="H377" s="17" t="n">
        <x:f>G377*F377</x:f>
        <x:v>14400.27</x:v>
      </x:c>
      <x:c r="I377" s="22" t="str">
        <x:f>HYPERLINK("https://etp-aktiv.ru/catalog/materialy/podshipniki/2000178598-U117/","Открыть позицию")</x:f>
        <x:v>Открыть позицию</x:v>
      </x:c>
    </x:row>
    <x:row r="378" ht="28" customHeight="1">
      <x:c r="A378" s="16" t="str">
        <x:v>Приморская ГРЭС</x:v>
      </x:c>
      <x:c r="B378" s="16" t="str">
        <x:v>2000699232-U117</x:v>
      </x:c>
      <x:c r="C378" s="16" t="str">
        <x:v>ПОДШИПНИК 627Z</x:v>
      </x:c>
      <x:c r="D378" s="16" t="str">
        <x:v>Подшипники</x:v>
      </x:c>
      <x:c r="E378" s="16" t="str">
        <x:v>ШТ</x:v>
      </x:c>
      <x:c r="F378" s="21" t="n">
        <x:v>2</x:v>
      </x:c>
      <x:c r="G378" s="17" t="n">
        <x:v>14.213000000000001</x:v>
      </x:c>
      <x:c r="H378" s="17" t="n">
        <x:f>G378*F378</x:f>
        <x:v>28.426000000000002</x:v>
      </x:c>
      <x:c r="I378" s="22" t="str">
        <x:f>HYPERLINK("https://etp-aktiv.ru/catalog/materialy/podshipniki/2000699232-U117/","Открыть позицию")</x:f>
        <x:v>Открыть позицию</x:v>
      </x:c>
    </x:row>
    <x:row r="379" ht="28" customHeight="1">
      <x:c r="A379" s="16" t="str">
        <x:v>Приморская ГРЭС</x:v>
      </x:c>
      <x:c r="B379" s="16" t="str">
        <x:v>2000127397-U117</x:v>
      </x:c>
      <x:c r="C379" s="16" t="str">
        <x:v>ПОДШИПНИК 6308</x:v>
      </x:c>
      <x:c r="D379" s="16" t="str">
        <x:v>Подшипники</x:v>
      </x:c>
      <x:c r="E379" s="16" t="str">
        <x:v>ШТ</x:v>
      </x:c>
      <x:c r="F379" s="21" t="n">
        <x:v>1</x:v>
      </x:c>
      <x:c r="G379" s="17" t="n">
        <x:v>170.19</x:v>
      </x:c>
      <x:c r="H379" s="17" t="n">
        <x:f>G379*F379</x:f>
        <x:v>170.19</x:v>
      </x:c>
      <x:c r="I379" s="22" t="str">
        <x:f>HYPERLINK("https://etp-aktiv.ru/catalog/materialy/podshipniki/2000127397-U117/","Открыть позицию")</x:f>
        <x:v>Открыть позицию</x:v>
      </x:c>
    </x:row>
    <x:row r="380" ht="28" customHeight="1">
      <x:c r="A380" s="16" t="str">
        <x:v>Приморская ГРЭС</x:v>
      </x:c>
      <x:c r="B380" s="16" t="str">
        <x:v>2000453815-U117</x:v>
      </x:c>
      <x:c r="C380" s="16" t="str">
        <x:v>ПОДШИПНИК 6309-2RSR</x:v>
      </x:c>
      <x:c r="D380" s="16" t="str">
        <x:v>Подшипники</x:v>
      </x:c>
      <x:c r="E380" s="16" t="str">
        <x:v>ШТ</x:v>
      </x:c>
      <x:c r="F380" s="21" t="n">
        <x:v>1</x:v>
      </x:c>
      <x:c r="G380" s="17" t="n">
        <x:v>311.09999999999997</x:v>
      </x:c>
      <x:c r="H380" s="17" t="n">
        <x:f>G380*F380</x:f>
        <x:v>311.09999999999997</x:v>
      </x:c>
      <x:c r="I380" s="22" t="str">
        <x:f>HYPERLINK("https://etp-aktiv.ru/catalog/materialy/podshipniki/2000453815-U117/","Открыть позицию")</x:f>
        <x:v>Открыть позицию</x:v>
      </x:c>
    </x:row>
    <x:row r="381" ht="28" customHeight="1">
      <x:c r="A381" s="16" t="str">
        <x:v>Приморская ГРЭС</x:v>
      </x:c>
      <x:c r="B381" s="16" t="str">
        <x:v>2000034587-U117</x:v>
      </x:c>
      <x:c r="C381" s="16" t="str">
        <x:v>ПОДШИПНИК 6312</x:v>
      </x:c>
      <x:c r="D381" s="16" t="str">
        <x:v>Подшипники</x:v>
      </x:c>
      <x:c r="E381" s="16" t="str">
        <x:v>ШТ</x:v>
      </x:c>
      <x:c r="F381" s="21" t="n">
        <x:v>9</x:v>
      </x:c>
      <x:c r="G381" s="17" t="n">
        <x:v>300.2786</x:v>
      </x:c>
      <x:c r="H381" s="17" t="n">
        <x:f>G381*F381</x:f>
        <x:v>2702.5074</x:v>
      </x:c>
      <x:c r="I381" s="22" t="str">
        <x:f>HYPERLINK("https://etp-aktiv.ru/catalog/materialy/podshipniki/2000034587-U117/","Открыть позицию")</x:f>
        <x:v>Открыть позицию</x:v>
      </x:c>
    </x:row>
    <x:row r="382" ht="28" customHeight="1">
      <x:c r="A382" s="16" t="str">
        <x:v>Приморская ГРЭС</x:v>
      </x:c>
      <x:c r="B382" s="16" t="str">
        <x:v>2000183466-U117</x:v>
      </x:c>
      <x:c r="C382" s="16" t="str">
        <x:v>ПОДШИПНИК 6312 2RS</x:v>
      </x:c>
      <x:c r="D382" s="16" t="str">
        <x:v>Подшипники</x:v>
      </x:c>
      <x:c r="E382" s="16" t="str">
        <x:v>ШТ</x:v>
      </x:c>
      <x:c r="F382" s="21" t="n">
        <x:v>1</x:v>
      </x:c>
      <x:c r="G382" s="17" t="n">
        <x:v>521.55</x:v>
      </x:c>
      <x:c r="H382" s="17" t="n">
        <x:f>G382*F382</x:f>
        <x:v>521.55</x:v>
      </x:c>
      <x:c r="I382" s="22" t="str">
        <x:f>HYPERLINK("https://etp-aktiv.ru/catalog/materialy/podshipniki/2000183466-U117/","Открыть позицию")</x:f>
        <x:v>Открыть позицию</x:v>
      </x:c>
    </x:row>
    <x:row r="383" ht="28" customHeight="1">
      <x:c r="A383" s="16" t="str">
        <x:v>Приморская ГРЭС</x:v>
      </x:c>
      <x:c r="B383" s="16" t="str">
        <x:v>2000127383-U117</x:v>
      </x:c>
      <x:c r="C383" s="16" t="str">
        <x:v>ПОДШИПНИК 6318</x:v>
      </x:c>
      <x:c r="D383" s="16" t="str">
        <x:v>Подшипники</x:v>
      </x:c>
      <x:c r="E383" s="16" t="str">
        <x:v>ШТ</x:v>
      </x:c>
      <x:c r="F383" s="21" t="n">
        <x:v>3</x:v>
      </x:c>
      <x:c r="G383" s="17" t="n">
        <x:v>1367.3881999999999</x:v>
      </x:c>
      <x:c r="H383" s="17" t="n">
        <x:f>G383*F383</x:f>
        <x:v>4102.1646</x:v>
      </x:c>
      <x:c r="I383" s="22" t="str">
        <x:f>HYPERLINK("https://etp-aktiv.ru/catalog/materialy/podshipniki/2000127383-U117/","Открыть позицию")</x:f>
        <x:v>Открыть позицию</x:v>
      </x:c>
    </x:row>
    <x:row r="384" ht="28" customHeight="1">
      <x:c r="A384" s="16" t="str">
        <x:v>Приморская ГРЭС</x:v>
      </x:c>
      <x:c r="B384" s="16" t="str">
        <x:v>2000012366-U117</x:v>
      </x:c>
      <x:c r="C384" s="16" t="str">
        <x:v>ПОДШИПНИК 6322</x:v>
      </x:c>
      <x:c r="D384" s="16" t="str">
        <x:v>Подшипники</x:v>
      </x:c>
      <x:c r="E384" s="16" t="str">
        <x:v>ШТ</x:v>
      </x:c>
      <x:c r="F384" s="21" t="n">
        <x:v>1</x:v>
      </x:c>
      <x:c r="G384" s="17" t="n">
        <x:v>2696.871</x:v>
      </x:c>
      <x:c r="H384" s="17" t="n">
        <x:f>G384*F384</x:f>
        <x:v>2696.871</x:v>
      </x:c>
      <x:c r="I384" s="22" t="str">
        <x:f>HYPERLINK("https://etp-aktiv.ru/catalog/materialy/podshipniki/2000012366-U117/","Открыть позицию")</x:f>
        <x:v>Открыть позицию</x:v>
      </x:c>
    </x:row>
    <x:row r="385" ht="28" customHeight="1">
      <x:c r="A385" s="16" t="str">
        <x:v>Приморская ГРЭС</x:v>
      </x:c>
      <x:c r="B385" s="16" t="str">
        <x:v>2000127401-U117</x:v>
      </x:c>
      <x:c r="C385" s="16" t="str">
        <x:v>ПОДШИПНИК 6408</x:v>
      </x:c>
      <x:c r="D385" s="16" t="str">
        <x:v>Подшипники</x:v>
      </x:c>
      <x:c r="E385" s="16" t="str">
        <x:v>ШТ</x:v>
      </x:c>
      <x:c r="F385" s="21" t="n">
        <x:v>2</x:v>
      </x:c>
      <x:c r="G385" s="17" t="n">
        <x:v>407.419</x:v>
      </x:c>
      <x:c r="H385" s="17" t="n">
        <x:f>G385*F385</x:f>
        <x:v>814.838</x:v>
      </x:c>
      <x:c r="I385" s="22" t="str">
        <x:f>HYPERLINK("https://etp-aktiv.ru/catalog/materialy/podshipniki/2000127401-U117/","Открыть позицию")</x:f>
        <x:v>Открыть позицию</x:v>
      </x:c>
    </x:row>
    <x:row r="386" ht="28" customHeight="1">
      <x:c r="A386" s="16" t="str">
        <x:v>Приморская ГРЭС</x:v>
      </x:c>
      <x:c r="B386" s="16" t="str">
        <x:v>2000034597-U117</x:v>
      </x:c>
      <x:c r="C386" s="16" t="str">
        <x:v>ПОДШИПНИК 6410</x:v>
      </x:c>
      <x:c r="D386" s="16" t="str">
        <x:v>Подшипники</x:v>
      </x:c>
      <x:c r="E386" s="16" t="str">
        <x:v>ШТ</x:v>
      </x:c>
      <x:c r="F386" s="21" t="n">
        <x:v>6</x:v>
      </x:c>
      <x:c r="G386" s="17" t="n">
        <x:v>561.5415999999999</x:v>
      </x:c>
      <x:c r="H386" s="17" t="n">
        <x:f>G386*F386</x:f>
        <x:v>3369.249599999999</x:v>
      </x:c>
      <x:c r="I386" s="22" t="str">
        <x:f>HYPERLINK("https://etp-aktiv.ru/catalog/materialy/podshipniki/2000034597-U117/","Открыть позицию")</x:f>
        <x:v>Открыть позицию</x:v>
      </x:c>
    </x:row>
    <x:row r="387" ht="28" customHeight="1">
      <x:c r="A387" s="16" t="str">
        <x:v>Приморская ГРЭС</x:v>
      </x:c>
      <x:c r="B387" s="16" t="str">
        <x:v>2000116750-U117</x:v>
      </x:c>
      <x:c r="C387" s="16" t="str">
        <x:v>ПОДШИПНИК 66322</x:v>
      </x:c>
      <x:c r="D387" s="16" t="str">
        <x:v>Подшипники</x:v>
      </x:c>
      <x:c r="E387" s="16" t="str">
        <x:v>ШТ</x:v>
      </x:c>
      <x:c r="F387" s="21" t="n">
        <x:v>4</x:v>
      </x:c>
      <x:c r="G387" s="17" t="n">
        <x:v>5007.246</x:v>
      </x:c>
      <x:c r="H387" s="17" t="n">
        <x:f>G387*F387</x:f>
        <x:v>20028.984</x:v>
      </x:c>
      <x:c r="I387" s="22" t="str">
        <x:f>HYPERLINK("https://etp-aktiv.ru/catalog/materialy/podshipniki/2000116750-U117/","Открыть позицию")</x:f>
        <x:v>Открыть позицию</x:v>
      </x:c>
    </x:row>
    <x:row r="388" ht="28" customHeight="1">
      <x:c r="A388" s="16" t="str">
        <x:v>Приморская ГРЭС</x:v>
      </x:c>
      <x:c r="B388" s="16" t="str">
        <x:v>2000116643-U117</x:v>
      </x:c>
      <x:c r="C388" s="16" t="str">
        <x:v>ПОДШИПНИК 66412</x:v>
      </x:c>
      <x:c r="D388" s="16" t="str">
        <x:v>Подшипники</x:v>
      </x:c>
      <x:c r="E388" s="16" t="str">
        <x:v>ШТ</x:v>
      </x:c>
      <x:c r="F388" s="21" t="n">
        <x:v>9</x:v>
      </x:c>
      <x:c r="G388" s="17" t="n">
        <x:v>1591.8926</x:v>
      </x:c>
      <x:c r="H388" s="17" t="n">
        <x:f>G388*F388</x:f>
        <x:v>14327.033399999998</x:v>
      </x:c>
      <x:c r="I388" s="22" t="str">
        <x:f>HYPERLINK("https://etp-aktiv.ru/catalog/materialy/podshipniki/2000116643-U117/","Открыть позицию")</x:f>
        <x:v>Открыть позицию</x:v>
      </x:c>
    </x:row>
    <x:row r="389" ht="28" customHeight="1">
      <x:c r="A389" s="16" t="str">
        <x:v>Приморская ГРЭС</x:v>
      </x:c>
      <x:c r="B389" s="16" t="str">
        <x:v>2000221573-U117</x:v>
      </x:c>
      <x:c r="C389" s="16" t="str">
        <x:v>ПОДШИПНИК 66412Л</x:v>
      </x:c>
      <x:c r="D389" s="16" t="str">
        <x:v>Подшипники</x:v>
      </x:c>
      <x:c r="E389" s="16" t="str">
        <x:v>ШТ</x:v>
      </x:c>
      <x:c r="F389" s="21" t="n">
        <x:v>4</x:v>
      </x:c>
      <x:c r="G389" s="17" t="n">
        <x:v>1450.0066</x:v>
      </x:c>
      <x:c r="H389" s="17" t="n">
        <x:f>G389*F389</x:f>
        <x:v>5800.0264</x:v>
      </x:c>
      <x:c r="I389" s="22" t="str">
        <x:f>HYPERLINK("https://etp-aktiv.ru/catalog/materialy/podshipniki/2000221573-U117/","Открыть позицию")</x:f>
        <x:v>Открыть позицию</x:v>
      </x:c>
    </x:row>
    <x:row r="390" ht="28" customHeight="1">
      <x:c r="A390" s="16" t="str">
        <x:v>Приморская ГРЭС</x:v>
      </x:c>
      <x:c r="B390" s="16" t="str">
        <x:v>2000699233-U117</x:v>
      </x:c>
      <x:c r="C390" s="16" t="str">
        <x:v>ПОДШИПНИК 66416</x:v>
      </x:c>
      <x:c r="D390" s="16" t="str">
        <x:v>Подшипники</x:v>
      </x:c>
      <x:c r="E390" s="16" t="str">
        <x:v>ШТ</x:v>
      </x:c>
      <x:c r="F390" s="21" t="n">
        <x:v>2</x:v>
      </x:c>
      <x:c r="G390" s="17" t="n">
        <x:v>3481.8433999999997</x:v>
      </x:c>
      <x:c r="H390" s="17" t="n">
        <x:f>G390*F390</x:f>
        <x:v>6963.6867999999995</x:v>
      </x:c>
      <x:c r="I390" s="22" t="str">
        <x:f>HYPERLINK("https://etp-aktiv.ru/catalog/materialy/podshipniki/2000699233-U117/","Открыть позицию")</x:f>
        <x:v>Открыть позицию</x:v>
      </x:c>
    </x:row>
    <x:row r="391" ht="28" customHeight="1">
      <x:c r="A391" s="16" t="str">
        <x:v>Приморская ГРЭС</x:v>
      </x:c>
      <x:c r="B391" s="16" t="str">
        <x:v>2000116458-U117</x:v>
      </x:c>
      <x:c r="C391" s="16" t="str">
        <x:v>ПОДШИПНИК 70-42213КЗМ</x:v>
      </x:c>
      <x:c r="D391" s="16" t="str">
        <x:v>Подшипники</x:v>
      </x:c>
      <x:c r="E391" s="16" t="str">
        <x:v>ШТ</x:v>
      </x:c>
      <x:c r="F391" s="21" t="n">
        <x:v>8</x:v>
      </x:c>
      <x:c r="G391" s="17" t="n">
        <x:v>989.115</x:v>
      </x:c>
      <x:c r="H391" s="17" t="n">
        <x:f>G391*F391</x:f>
        <x:v>7912.92</x:v>
      </x:c>
      <x:c r="I391" s="22" t="str">
        <x:f>HYPERLINK("https://etp-aktiv.ru/catalog/materialy/podshipniki/2000116458-U117/","Открыть позицию")</x:f>
        <x:v>Открыть позицию</x:v>
      </x:c>
    </x:row>
    <x:row r="392" ht="28" customHeight="1">
      <x:c r="A392" s="16" t="str">
        <x:v>Приморская ГРЭС</x:v>
      </x:c>
      <x:c r="B392" s="16" t="str">
        <x:v>2000115344-U117</x:v>
      </x:c>
      <x:c r="C392" s="16" t="str">
        <x:v>ПОДШИПНИК 7214</x:v>
      </x:c>
      <x:c r="D392" s="16" t="str">
        <x:v>Подшипники</x:v>
      </x:c>
      <x:c r="E392" s="16" t="str">
        <x:v>ШТ</x:v>
      </x:c>
      <x:c r="F392" s="21" t="n">
        <x:v>8</x:v>
      </x:c>
      <x:c r="G392" s="17" t="n">
        <x:v>446.7518</x:v>
      </x:c>
      <x:c r="H392" s="17" t="n">
        <x:f>G392*F392</x:f>
        <x:v>3574.0144</x:v>
      </x:c>
      <x:c r="I392" s="22" t="str">
        <x:f>HYPERLINK("https://etp-aktiv.ru/catalog/materialy/podshipniki/2000115344-U117/","Открыть позицию")</x:f>
        <x:v>Открыть позицию</x:v>
      </x:c>
    </x:row>
    <x:row r="393" ht="28" customHeight="1">
      <x:c r="A393" s="16" t="str">
        <x:v>Приморская ГРЭС</x:v>
      </x:c>
      <x:c r="B393" s="16" t="str">
        <x:v>2000116547-U117</x:v>
      </x:c>
      <x:c r="C393" s="16" t="str">
        <x:v>ПОДШИПНИК 7216</x:v>
      </x:c>
      <x:c r="D393" s="16" t="str">
        <x:v>Подшипники</x:v>
      </x:c>
      <x:c r="E393" s="16" t="str">
        <x:v>ШТ</x:v>
      </x:c>
      <x:c r="F393" s="21" t="n">
        <x:v>4</x:v>
      </x:c>
      <x:c r="G393" s="17" t="n">
        <x:v>563.03</x:v>
      </x:c>
      <x:c r="H393" s="17" t="n">
        <x:f>G393*F393</x:f>
        <x:v>2252.12</x:v>
      </x:c>
      <x:c r="I393" s="22" t="str">
        <x:f>HYPERLINK("https://etp-aktiv.ru/catalog/materialy/podshipniki/2000116547-U117/","Открыть позицию")</x:f>
        <x:v>Открыть позицию</x:v>
      </x:c>
    </x:row>
    <x:row r="394" ht="28" customHeight="1">
      <x:c r="A394" s="16" t="str">
        <x:v>Приморская ГРЭС</x:v>
      </x:c>
      <x:c r="B394" s="16" t="str">
        <x:v>2000115347-U117</x:v>
      </x:c>
      <x:c r="C394" s="16" t="str">
        <x:v>ПОДШИПНИК 7218</x:v>
      </x:c>
      <x:c r="D394" s="16" t="str">
        <x:v>Подшипники</x:v>
      </x:c>
      <x:c r="E394" s="16" t="str">
        <x:v>ШТ</x:v>
      </x:c>
      <x:c r="F394" s="21" t="n">
        <x:v>6</x:v>
      </x:c>
      <x:c r="G394" s="17" t="n">
        <x:v>872.4098</x:v>
      </x:c>
      <x:c r="H394" s="17" t="n">
        <x:f>G394*F394</x:f>
        <x:v>5234.4588</x:v>
      </x:c>
      <x:c r="I394" s="22" t="str">
        <x:f>HYPERLINK("https://etp-aktiv.ru/catalog/materialy/podshipniki/2000115347-U117/","Открыть позицию")</x:f>
        <x:v>Открыть позицию</x:v>
      </x:c>
    </x:row>
    <x:row r="395" ht="28" customHeight="1">
      <x:c r="A395" s="16" t="str">
        <x:v>Приморская ГРЭС</x:v>
      </x:c>
      <x:c r="B395" s="16" t="str">
        <x:v>2000116606-U117</x:v>
      </x:c>
      <x:c r="C395" s="16" t="str">
        <x:v>ПОДШИПНИК 7224</x:v>
      </x:c>
      <x:c r="D395" s="16" t="str">
        <x:v>Подшипники</x:v>
      </x:c>
      <x:c r="E395" s="16" t="str">
        <x:v>ШТ</x:v>
      </x:c>
      <x:c r="F395" s="21" t="n">
        <x:v>4</x:v>
      </x:c>
      <x:c r="G395" s="17" t="n">
        <x:v>2444.4042</x:v>
      </x:c>
      <x:c r="H395" s="17" t="n">
        <x:f>G395*F395</x:f>
        <x:v>9777.6168</x:v>
      </x:c>
      <x:c r="I395" s="22" t="str">
        <x:f>HYPERLINK("https://etp-aktiv.ru/catalog/materialy/podshipniki/2000116606-U117/","Открыть позицию")</x:f>
        <x:v>Открыть позицию</x:v>
      </x:c>
    </x:row>
    <x:row r="396" ht="28" customHeight="1">
      <x:c r="A396" s="16" t="str">
        <x:v>Приморская ГРЭС</x:v>
      </x:c>
      <x:c r="B396" s="16" t="str">
        <x:v>2000009428-U117</x:v>
      </x:c>
      <x:c r="C396" s="16" t="str">
        <x:v>ПОДШИПНИК 7230</x:v>
      </x:c>
      <x:c r="D396" s="16" t="str">
        <x:v>Подшипники</x:v>
      </x:c>
      <x:c r="E396" s="16" t="str">
        <x:v>ШТ</x:v>
      </x:c>
      <x:c r="F396" s="21" t="n">
        <x:v>22</x:v>
      </x:c>
      <x:c r="G396" s="17" t="n">
        <x:v>3921.4704</x:v>
      </x:c>
      <x:c r="H396" s="17" t="n">
        <x:f>G396*F396</x:f>
        <x:v>86272.3488</x:v>
      </x:c>
      <x:c r="I396" s="22" t="str">
        <x:f>HYPERLINK("https://etp-aktiv.ru/catalog/materialy/podshipniki/2000009428-U117/","Открыть позицию")</x:f>
        <x:v>Открыть позицию</x:v>
      </x:c>
    </x:row>
    <x:row r="397" ht="28" customHeight="1">
      <x:c r="A397" s="16" t="str">
        <x:v>Приморская ГРЭС</x:v>
      </x:c>
      <x:c r="B397" s="16" t="str">
        <x:v>2000116418-U117</x:v>
      </x:c>
      <x:c r="C397" s="16" t="str">
        <x:v>ПОДШИПНИК 7309</x:v>
      </x:c>
      <x:c r="D397" s="16" t="str">
        <x:v>Подшипники</x:v>
      </x:c>
      <x:c r="E397" s="16" t="str">
        <x:v>ШТ</x:v>
      </x:c>
      <x:c r="F397" s="21" t="n">
        <x:v>13</x:v>
      </x:c>
      <x:c r="G397" s="17" t="n">
        <x:v>246.23260000000002</x:v>
      </x:c>
      <x:c r="H397" s="17" t="n">
        <x:f>G397*F397</x:f>
        <x:v>3201.0238000000004</x:v>
      </x:c>
      <x:c r="I397" s="22" t="str">
        <x:f>HYPERLINK("https://etp-aktiv.ru/catalog/materialy/podshipniki/2000116418-U117/","Открыть позицию")</x:f>
        <x:v>Открыть позицию</x:v>
      </x:c>
    </x:row>
    <x:row r="398" ht="28" customHeight="1">
      <x:c r="A398" s="16" t="str">
        <x:v>Приморская ГРЭС</x:v>
      </x:c>
      <x:c r="B398" s="16" t="str">
        <x:v>2000116454-U117</x:v>
      </x:c>
      <x:c r="C398" s="16" t="str">
        <x:v>ПОДШИПНИК 7311</x:v>
      </x:c>
      <x:c r="D398" s="16" t="str">
        <x:v>Подшипники</x:v>
      </x:c>
      <x:c r="E398" s="16" t="str">
        <x:v>ШТ</x:v>
      </x:c>
      <x:c r="F398" s="21" t="n">
        <x:v>14</x:v>
      </x:c>
      <x:c r="G398" s="17" t="n">
        <x:v>556.259</x:v>
      </x:c>
      <x:c r="H398" s="17" t="n">
        <x:f>G398*F398</x:f>
        <x:v>7787.626</x:v>
      </x:c>
      <x:c r="I398" s="22" t="str">
        <x:f>HYPERLINK("https://etp-aktiv.ru/catalog/materialy/podshipniki/2000116454-U117/","Открыть позицию")</x:f>
        <x:v>Открыть позицию</x:v>
      </x:c>
    </x:row>
    <x:row r="399" ht="28" customHeight="1">
      <x:c r="A399" s="16" t="str">
        <x:v>Приморская ГРЭС</x:v>
      </x:c>
      <x:c r="B399" s="16" t="str">
        <x:v>2000116491-U117</x:v>
      </x:c>
      <x:c r="C399" s="16" t="str">
        <x:v>ПОДШИПНИК 7314</x:v>
      </x:c>
      <x:c r="D399" s="16" t="str">
        <x:v>Подшипники</x:v>
      </x:c>
      <x:c r="E399" s="16" t="str">
        <x:v>ШТ</x:v>
      </x:c>
      <x:c r="F399" s="21" t="n">
        <x:v>1</x:v>
      </x:c>
      <x:c r="G399" s="17" t="n">
        <x:v>1255.1481999999999</x:v>
      </x:c>
      <x:c r="H399" s="17" t="n">
        <x:f>G399*F399</x:f>
        <x:v>1255.1481999999999</x:v>
      </x:c>
      <x:c r="I399" s="22" t="str">
        <x:f>HYPERLINK("https://etp-aktiv.ru/catalog/materialy/podshipniki/2000116491-U117/","Открыть позицию")</x:f>
        <x:v>Открыть позицию</x:v>
      </x:c>
    </x:row>
    <x:row r="400" ht="28" customHeight="1">
      <x:c r="A400" s="16" t="str">
        <x:v>Приморская ГРЭС</x:v>
      </x:c>
      <x:c r="B400" s="16" t="str">
        <x:v>2000116605-U117</x:v>
      </x:c>
      <x:c r="C400" s="16" t="str">
        <x:v>ПОДШИПНИК 7318</x:v>
      </x:c>
      <x:c r="D400" s="16" t="str">
        <x:v>Подшипники</x:v>
      </x:c>
      <x:c r="E400" s="16" t="str">
        <x:v>ШТ</x:v>
      </x:c>
      <x:c r="F400" s="21" t="n">
        <x:v>20</x:v>
      </x:c>
      <x:c r="G400" s="17" t="n">
        <x:v>2074.2806</x:v>
      </x:c>
      <x:c r="H400" s="17" t="n">
        <x:f>G400*F400</x:f>
        <x:v>41485.612</x:v>
      </x:c>
      <x:c r="I400" s="22" t="str">
        <x:f>HYPERLINK("https://etp-aktiv.ru/catalog/materialy/podshipniki/2000116605-U117/","Открыть позицию")</x:f>
        <x:v>Открыть позицию</x:v>
      </x:c>
    </x:row>
    <x:row r="401" ht="28" customHeight="1">
      <x:c r="A401" s="16" t="str">
        <x:v>Приморская ГРЭС</x:v>
      </x:c>
      <x:c r="B401" s="16" t="str">
        <x:v>2000167902-U117</x:v>
      </x:c>
      <x:c r="C401" s="16" t="str">
        <x:v>ПОДШИПНИК 7318А1</x:v>
      </x:c>
      <x:c r="D401" s="16" t="str">
        <x:v>Подшипники</x:v>
      </x:c>
      <x:c r="E401" s="16" t="str">
        <x:v>ШТ</x:v>
      </x:c>
      <x:c r="F401" s="21" t="n">
        <x:v>6</x:v>
      </x:c>
      <x:c r="G401" s="17" t="n">
        <x:v>2128.351</x:v>
      </x:c>
      <x:c r="H401" s="17" t="n">
        <x:f>G401*F401</x:f>
        <x:v>12770.106</x:v>
      </x:c>
      <x:c r="I401" s="22" t="str">
        <x:f>HYPERLINK("https://etp-aktiv.ru/catalog/materialy/podshipniki/2000167902-U117/","Открыть позицию")</x:f>
        <x:v>Открыть позицию</x:v>
      </x:c>
    </x:row>
    <x:row r="402" ht="28" customHeight="1">
      <x:c r="A402" s="16" t="str">
        <x:v>Приморская ГРЭС</x:v>
      </x:c>
      <x:c r="B402" s="16" t="str">
        <x:v>2000520421-U117</x:v>
      </x:c>
      <x:c r="C402" s="16" t="str">
        <x:v>ПОДШИПНИК 73536</x:v>
      </x:c>
      <x:c r="D402" s="16" t="str">
        <x:v>Подшипники</x:v>
      </x:c>
      <x:c r="E402" s="16" t="str">
        <x:v>ШТ</x:v>
      </x:c>
      <x:c r="F402" s="21" t="n">
        <x:v>2</x:v>
      </x:c>
      <x:c r="G402" s="17" t="n">
        <x:v>44924.4626</x:v>
      </x:c>
      <x:c r="H402" s="17" t="n">
        <x:f>G402*F402</x:f>
        <x:v>89848.9252</x:v>
      </x:c>
      <x:c r="I402" s="22" t="str">
        <x:f>HYPERLINK("https://etp-aktiv.ru/catalog/materialy/podshipniki/2000520421-U117/","Открыть позицию")</x:f>
        <x:v>Открыть позицию</x:v>
      </x:c>
    </x:row>
    <x:row r="403" ht="28" customHeight="1">
      <x:c r="A403" s="16" t="str">
        <x:v>Приморская ГРЭС</x:v>
      </x:c>
      <x:c r="B403" s="16" t="str">
        <x:v>2000072693-U117</x:v>
      </x:c>
      <x:c r="C403" s="16" t="str">
        <x:v>ПОДШИПНИК 7504</x:v>
      </x:c>
      <x:c r="D403" s="16" t="str">
        <x:v>Подшипники</x:v>
      </x:c>
      <x:c r="E403" s="16" t="str">
        <x:v>ШТ</x:v>
      </x:c>
      <x:c r="F403" s="21" t="n">
        <x:v>67</x:v>
      </x:c>
      <x:c r="G403" s="17" t="n">
        <x:v>125.5624</x:v>
      </x:c>
      <x:c r="H403" s="17" t="n">
        <x:f>G403*F403</x:f>
        <x:v>8412.6808</x:v>
      </x:c>
      <x:c r="I403" s="22" t="str">
        <x:f>HYPERLINK("https://etp-aktiv.ru/catalog/materialy/podshipniki/2000072693-U117/","Открыть позицию")</x:f>
        <x:v>Открыть позицию</x:v>
      </x:c>
    </x:row>
    <x:row r="404" ht="28" customHeight="1">
      <x:c r="A404" s="16" t="str">
        <x:v>Приморская ГРЭС</x:v>
      </x:c>
      <x:c r="B404" s="16" t="str">
        <x:v>2000116444-U117</x:v>
      </x:c>
      <x:c r="C404" s="16" t="str">
        <x:v>ПОДШИПНИК 7506</x:v>
      </x:c>
      <x:c r="D404" s="16" t="str">
        <x:v>Подшипники</x:v>
      </x:c>
      <x:c r="E404" s="16" t="str">
        <x:v>ШТ</x:v>
      </x:c>
      <x:c r="F404" s="21" t="n">
        <x:v>20</x:v>
      </x:c>
      <x:c r="G404" s="17" t="n">
        <x:v>137.2378</x:v>
      </x:c>
      <x:c r="H404" s="17" t="n">
        <x:f>G404*F404</x:f>
        <x:v>2744.756</x:v>
      </x:c>
      <x:c r="I404" s="22" t="str">
        <x:f>HYPERLINK("https://etp-aktiv.ru/catalog/materialy/podshipniki/2000116444-U117/","Открыть позицию")</x:f>
        <x:v>Открыть позицию</x:v>
      </x:c>
    </x:row>
    <x:row r="405" ht="28" customHeight="1">
      <x:c r="A405" s="16" t="str">
        <x:v>Приморская ГРЭС</x:v>
      </x:c>
      <x:c r="B405" s="16" t="str">
        <x:v>2000116449-U117</x:v>
      </x:c>
      <x:c r="C405" s="16" t="str">
        <x:v>ПОДШИПНИК 7507</x:v>
      </x:c>
      <x:c r="D405" s="16" t="str">
        <x:v>Подшипники</x:v>
      </x:c>
      <x:c r="E405" s="16" t="str">
        <x:v>ШТ</x:v>
      </x:c>
      <x:c r="F405" s="21" t="n">
        <x:v>42</x:v>
      </x:c>
      <x:c r="G405" s="17" t="n">
        <x:v>188.89260000000002</x:v>
      </x:c>
      <x:c r="H405" s="17" t="n">
        <x:f>G405*F405</x:f>
        <x:v>7933.489200000001</x:v>
      </x:c>
      <x:c r="I405" s="22" t="str">
        <x:f>HYPERLINK("https://etp-aktiv.ru/catalog/materialy/podshipniki/2000116449-U117/","Открыть позицию")</x:f>
        <x:v>Открыть позицию</x:v>
      </x:c>
    </x:row>
    <x:row r="406" ht="28" customHeight="1">
      <x:c r="A406" s="16" t="str">
        <x:v>Приморская ГРЭС</x:v>
      </x:c>
      <x:c r="B406" s="16" t="str">
        <x:v>2000116388-U117</x:v>
      </x:c>
      <x:c r="C406" s="16" t="str">
        <x:v>ПОДШИПНИК 7509</x:v>
      </x:c>
      <x:c r="D406" s="16" t="str">
        <x:v>Подшипники</x:v>
      </x:c>
      <x:c r="E406" s="16" t="str">
        <x:v>ШТ</x:v>
      </x:c>
      <x:c r="F406" s="21" t="n">
        <x:v>9</x:v>
      </x:c>
      <x:c r="G406" s="17" t="n">
        <x:v>137.5672</x:v>
      </x:c>
      <x:c r="H406" s="17" t="n">
        <x:f>G406*F406</x:f>
        <x:v>1238.1048</x:v>
      </x:c>
      <x:c r="I406" s="22" t="str">
        <x:f>HYPERLINK("https://etp-aktiv.ru/catalog/materialy/podshipniki/2000116388-U117/","Открыть позицию")</x:f>
        <x:v>Открыть позицию</x:v>
      </x:c>
    </x:row>
    <x:row r="407" ht="28" customHeight="1">
      <x:c r="A407" s="16" t="str">
        <x:v>Приморская ГРЭС</x:v>
      </x:c>
      <x:c r="B407" s="16" t="str">
        <x:v>2000116397-U117</x:v>
      </x:c>
      <x:c r="C407" s="16" t="str">
        <x:v>ПОДШИПНИК 7510</x:v>
      </x:c>
      <x:c r="D407" s="16" t="str">
        <x:v>Подшипники</x:v>
      </x:c>
      <x:c r="E407" s="16" t="str">
        <x:v>ШТ</x:v>
      </x:c>
      <x:c r="F407" s="21" t="n">
        <x:v>5</x:v>
      </x:c>
      <x:c r="G407" s="17" t="n">
        <x:v>394.9994</x:v>
      </x:c>
      <x:c r="H407" s="17" t="n">
        <x:f>G407*F407</x:f>
        <x:v>1974.9969999999998</x:v>
      </x:c>
      <x:c r="I407" s="22" t="str">
        <x:f>HYPERLINK("https://etp-aktiv.ru/catalog/materialy/podshipniki/2000116397-U117/","Открыть позицию")</x:f>
        <x:v>Открыть позицию</x:v>
      </x:c>
    </x:row>
    <x:row r="408" ht="28" customHeight="1">
      <x:c r="A408" s="16" t="str">
        <x:v>Приморская ГРЭС</x:v>
      </x:c>
      <x:c r="B408" s="16" t="str">
        <x:v>2000116450-U117</x:v>
      </x:c>
      <x:c r="C408" s="16" t="str">
        <x:v>ПОДШИПНИК 7512</x:v>
      </x:c>
      <x:c r="D408" s="16" t="str">
        <x:v>Подшипники</x:v>
      </x:c>
      <x:c r="E408" s="16" t="str">
        <x:v>ШТ</x:v>
      </x:c>
      <x:c r="F408" s="21" t="n">
        <x:v>7</x:v>
      </x:c>
      <x:c r="G408" s="17" t="n">
        <x:v>550.0004</x:v>
      </x:c>
      <x:c r="H408" s="17" t="n">
        <x:f>G408*F408</x:f>
        <x:v>3850.0028</x:v>
      </x:c>
      <x:c r="I408" s="22" t="str">
        <x:f>HYPERLINK("https://etp-aktiv.ru/catalog/materialy/podshipniki/2000116450-U117/","Открыть позицию")</x:f>
        <x:v>Открыть позицию</x:v>
      </x:c>
    </x:row>
    <x:row r="409" ht="28" customHeight="1">
      <x:c r="A409" s="16" t="str">
        <x:v>Приморская ГРЭС</x:v>
      </x:c>
      <x:c r="B409" s="16" t="str">
        <x:v>2000116493-U117</x:v>
      </x:c>
      <x:c r="C409" s="16" t="str">
        <x:v>ПОДШИПНИК 7514</x:v>
      </x:c>
      <x:c r="D409" s="16" t="str">
        <x:v>Подшипники</x:v>
      </x:c>
      <x:c r="E409" s="16" t="str">
        <x:v>ШТ</x:v>
      </x:c>
      <x:c r="F409" s="21" t="n">
        <x:v>1</x:v>
      </x:c>
      <x:c r="G409" s="17" t="n">
        <x:v>823.683</x:v>
      </x:c>
      <x:c r="H409" s="17" t="n">
        <x:f>G409*F409</x:f>
        <x:v>823.683</x:v>
      </x:c>
      <x:c r="I409" s="22" t="str">
        <x:f>HYPERLINK("https://etp-aktiv.ru/catalog/materialy/podshipniki/2000116493-U117/","Открыть позицию")</x:f>
        <x:v>Открыть позицию</x:v>
      </x:c>
    </x:row>
    <x:row r="410" ht="28" customHeight="1">
      <x:c r="A410" s="16" t="str">
        <x:v>Приморская ГРЭС</x:v>
      </x:c>
      <x:c r="B410" s="16" t="str">
        <x:v>2000116533-U117</x:v>
      </x:c>
      <x:c r="C410" s="16" t="str">
        <x:v>ПОДШИПНИК 7518</x:v>
      </x:c>
      <x:c r="D410" s="16" t="str">
        <x:v>Подшипники</x:v>
      </x:c>
      <x:c r="E410" s="16" t="str">
        <x:v>ШТ</x:v>
      </x:c>
      <x:c r="F410" s="21" t="n">
        <x:v>4</x:v>
      </x:c>
      <x:c r="G410" s="17" t="n">
        <x:v>950.0018</x:v>
      </x:c>
      <x:c r="H410" s="17" t="n">
        <x:f>G410*F410</x:f>
        <x:v>3800.0072</x:v>
      </x:c>
      <x:c r="I410" s="22" t="str">
        <x:f>HYPERLINK("https://etp-aktiv.ru/catalog/materialy/podshipniki/2000116533-U117/","Открыть позицию")</x:f>
        <x:v>Открыть позицию</x:v>
      </x:c>
    </x:row>
    <x:row r="411" ht="28" customHeight="1">
      <x:c r="A411" s="16" t="str">
        <x:v>Приморская ГРЭС</x:v>
      </x:c>
      <x:c r="B411" s="16" t="str">
        <x:v>2000116630-U117</x:v>
      </x:c>
      <x:c r="C411" s="16" t="str">
        <x:v>ПОДШИПНИК 7522</x:v>
      </x:c>
      <x:c r="D411" s="16" t="str">
        <x:v>Подшипники</x:v>
      </x:c>
      <x:c r="E411" s="16" t="str">
        <x:v>ШТ</x:v>
      </x:c>
      <x:c r="F411" s="21" t="n">
        <x:v>2</x:v>
      </x:c>
      <x:c r="G411" s="17" t="n">
        <x:v>2949.9966000000004</x:v>
      </x:c>
      <x:c r="H411" s="17" t="n">
        <x:f>G411*F411</x:f>
        <x:v>5899.993200000001</x:v>
      </x:c>
      <x:c r="I411" s="22" t="str">
        <x:f>HYPERLINK("https://etp-aktiv.ru/catalog/materialy/podshipniki/2000116630-U117/","Открыть позицию")</x:f>
        <x:v>Открыть позицию</x:v>
      </x:c>
    </x:row>
    <x:row r="412" ht="28" customHeight="1">
      <x:c r="A412" s="16" t="str">
        <x:v>Приморская ГРЭС</x:v>
      </x:c>
      <x:c r="B412" s="16" t="str">
        <x:v>2000116659-U117</x:v>
      </x:c>
      <x:c r="C412" s="16" t="str">
        <x:v>ПОДШИПНИК 7526</x:v>
      </x:c>
      <x:c r="D412" s="16" t="str">
        <x:v>Подшипники</x:v>
      </x:c>
      <x:c r="E412" s="16" t="str">
        <x:v>ШТ</x:v>
      </x:c>
      <x:c r="F412" s="21" t="n">
        <x:v>13</x:v>
      </x:c>
      <x:c r="G412" s="17" t="n">
        <x:v>3177.9413999999997</x:v>
      </x:c>
      <x:c r="H412" s="17" t="n">
        <x:f>G412*F412</x:f>
        <x:v>41313.23819999999</x:v>
      </x:c>
      <x:c r="I412" s="22" t="str">
        <x:f>HYPERLINK("https://etp-aktiv.ru/catalog/materialy/podshipniki/2000116659-U117/","Открыть позицию")</x:f>
        <x:v>Открыть позицию</x:v>
      </x:c>
    </x:row>
    <x:row r="413" ht="28" customHeight="1">
      <x:c r="A413" s="16" t="str">
        <x:v>Приморская ГРЭС</x:v>
      </x:c>
      <x:c r="B413" s="16" t="str">
        <x:v>2000116717-U117</x:v>
      </x:c>
      <x:c r="C413" s="16" t="str">
        <x:v>ПОДШИПНИК 7530</x:v>
      </x:c>
      <x:c r="D413" s="16" t="str">
        <x:v>Подшипники</x:v>
      </x:c>
      <x:c r="E413" s="16" t="str">
        <x:v>ШТ</x:v>
      </x:c>
      <x:c r="F413" s="21" t="n">
        <x:v>8</x:v>
      </x:c>
      <x:c r="G413" s="17" t="n">
        <x:v>7419.2958</x:v>
      </x:c>
      <x:c r="H413" s="17" t="n">
        <x:f>G413*F413</x:f>
        <x:v>59354.3664</x:v>
      </x:c>
      <x:c r="I413" s="22" t="str">
        <x:f>HYPERLINK("https://etp-aktiv.ru/catalog/materialy/podshipniki/2000116717-U117/","Открыть позицию")</x:f>
        <x:v>Открыть позицию</x:v>
      </x:c>
    </x:row>
    <x:row r="414" ht="28" customHeight="1">
      <x:c r="A414" s="16" t="str">
        <x:v>Приморская ГРЭС</x:v>
      </x:c>
      <x:c r="B414" s="16" t="str">
        <x:v>2000116882-U117</x:v>
      </x:c>
      <x:c r="C414" s="16" t="str">
        <x:v>ПОДШИПНИК 7530А</x:v>
      </x:c>
      <x:c r="D414" s="16" t="str">
        <x:v>Подшипники</x:v>
      </x:c>
      <x:c r="E414" s="16" t="str">
        <x:v>ШТ</x:v>
      </x:c>
      <x:c r="F414" s="21" t="n">
        <x:v>3</x:v>
      </x:c>
      <x:c r="G414" s="17" t="n">
        <x:v>6238.47</x:v>
      </x:c>
      <x:c r="H414" s="17" t="n">
        <x:f>G414*F414</x:f>
        <x:v>18715.41</x:v>
      </x:c>
      <x:c r="I414" s="22" t="str">
        <x:f>HYPERLINK("https://etp-aktiv.ru/catalog/materialy/podshipniki/2000116882-U117/","Открыть позицию")</x:f>
        <x:v>Открыть позицию</x:v>
      </x:c>
    </x:row>
    <x:row r="415" ht="28" customHeight="1">
      <x:c r="A415" s="16" t="str">
        <x:v>Приморская ГРЭС</x:v>
      </x:c>
      <x:c r="B415" s="16" t="str">
        <x:v>2000116743-U117</x:v>
      </x:c>
      <x:c r="C415" s="16" t="str">
        <x:v>ПОДШИПНИК 7536</x:v>
      </x:c>
      <x:c r="D415" s="16" t="str">
        <x:v>Подшипники</x:v>
      </x:c>
      <x:c r="E415" s="16" t="str">
        <x:v>ШТ</x:v>
      </x:c>
      <x:c r="F415" s="21" t="n">
        <x:v>17</x:v>
      </x:c>
      <x:c r="G415" s="17" t="n">
        <x:v>10210.2044</x:v>
      </x:c>
      <x:c r="H415" s="17" t="n">
        <x:f>G415*F415</x:f>
        <x:v>173573.4748</x:v>
      </x:c>
      <x:c r="I415" s="22" t="str">
        <x:f>HYPERLINK("https://etp-aktiv.ru/catalog/materialy/podshipniki/2000116743-U117/","Открыть позицию")</x:f>
        <x:v>Открыть позицию</x:v>
      </x:c>
    </x:row>
    <x:row r="416" ht="28" customHeight="1">
      <x:c r="A416" s="16" t="str">
        <x:v>Приморская ГРЭС</x:v>
      </x:c>
      <x:c r="B416" s="16" t="str">
        <x:v>2000208814-U117</x:v>
      </x:c>
      <x:c r="C416" s="16" t="str">
        <x:v>ПОДШИПНИК 7536A</x:v>
      </x:c>
      <x:c r="D416" s="16" t="str">
        <x:v>Подшипники</x:v>
      </x:c>
      <x:c r="E416" s="16" t="str">
        <x:v>ШТ</x:v>
      </x:c>
      <x:c r="F416" s="21" t="n">
        <x:v>2</x:v>
      </x:c>
      <x:c r="G416" s="17" t="n">
        <x:v>10271.789999999999</x:v>
      </x:c>
      <x:c r="H416" s="17" t="n">
        <x:f>G416*F416</x:f>
        <x:v>20543.579999999998</x:v>
      </x:c>
      <x:c r="I416" s="22" t="str">
        <x:f>HYPERLINK("https://etp-aktiv.ru/catalog/materialy/podshipniki/2000208814-U117/","Открыть позицию")</x:f>
        <x:v>Открыть позицию</x:v>
      </x:c>
    </x:row>
    <x:row r="417" ht="28" customHeight="1">
      <x:c r="A417" s="16" t="str">
        <x:v>Приморская ГРЭС</x:v>
      </x:c>
      <x:c r="B417" s="16" t="str">
        <x:v>2000512234-U117</x:v>
      </x:c>
      <x:c r="C417" s="16" t="str">
        <x:v>ПОДШИПНИК 76-180310 Ш2У</x:v>
      </x:c>
      <x:c r="D417" s="16" t="str">
        <x:v>Подшипники</x:v>
      </x:c>
      <x:c r="E417" s="16" t="str">
        <x:v>ШТ</x:v>
      </x:c>
      <x:c r="F417" s="21" t="n">
        <x:v>4</x:v>
      </x:c>
      <x:c r="G417" s="17" t="n">
        <x:v>695.0096</x:v>
      </x:c>
      <x:c r="H417" s="17" t="n">
        <x:f>G417*F417</x:f>
        <x:v>2780.0384</x:v>
      </x:c>
      <x:c r="I417" s="22" t="str">
        <x:f>HYPERLINK("https://etp-aktiv.ru/catalog/materialy/podshipniki/2000512234-U117/","Открыть позицию")</x:f>
        <x:v>Открыть позицию</x:v>
      </x:c>
    </x:row>
    <x:row r="418" ht="28" customHeight="1">
      <x:c r="A418" s="16" t="str">
        <x:v>Приморская ГРЭС</x:v>
      </x:c>
      <x:c r="B418" s="16" t="str">
        <x:v>2000116372-U117</x:v>
      </x:c>
      <x:c r="C418" s="16" t="str">
        <x:v>ПОДШИПНИК 7605</x:v>
      </x:c>
      <x:c r="D418" s="16" t="str">
        <x:v>Подшипники</x:v>
      </x:c>
      <x:c r="E418" s="16" t="str">
        <x:v>ШТ</x:v>
      </x:c>
      <x:c r="F418" s="21" t="n">
        <x:v>4</x:v>
      </x:c>
      <x:c r="G418" s="17" t="n">
        <x:v>93.208</x:v>
      </x:c>
      <x:c r="H418" s="17" t="n">
        <x:f>G418*F418</x:f>
        <x:v>372.832</x:v>
      </x:c>
      <x:c r="I418" s="22" t="str">
        <x:f>HYPERLINK("https://etp-aktiv.ru/catalog/materialy/podshipniki/2000116372-U117/","Открыть позицию")</x:f>
        <x:v>Открыть позицию</x:v>
      </x:c>
    </x:row>
    <x:row r="419" ht="28" customHeight="1">
      <x:c r="A419" s="16" t="str">
        <x:v>Приморская ГРЭС</x:v>
      </x:c>
      <x:c r="B419" s="16" t="str">
        <x:v>2000116376-U117</x:v>
      </x:c>
      <x:c r="C419" s="16" t="str">
        <x:v>ПОДШИПНИК 7606</x:v>
      </x:c>
      <x:c r="D419" s="16" t="str">
        <x:v>Подшипники</x:v>
      </x:c>
      <x:c r="E419" s="16" t="str">
        <x:v>ШТ</x:v>
      </x:c>
      <x:c r="F419" s="21" t="n">
        <x:v>5</x:v>
      </x:c>
      <x:c r="G419" s="17" t="n">
        <x:v>316.08979999999997</x:v>
      </x:c>
      <x:c r="H419" s="17" t="n">
        <x:f>G419*F419</x:f>
        <x:v>1580.4489999999998</x:v>
      </x:c>
      <x:c r="I419" s="22" t="str">
        <x:f>HYPERLINK("https://etp-aktiv.ru/catalog/materialy/podshipniki/2000116376-U117/","Открыть позицию")</x:f>
        <x:v>Открыть позицию</x:v>
      </x:c>
    </x:row>
    <x:row r="420" ht="28" customHeight="1">
      <x:c r="A420" s="16" t="str">
        <x:v>Приморская ГРЭС</x:v>
      </x:c>
      <x:c r="B420" s="16" t="str">
        <x:v>2000116386-U117</x:v>
      </x:c>
      <x:c r="C420" s="16" t="str">
        <x:v>ПОДШИПНИК 7607</x:v>
      </x:c>
      <x:c r="D420" s="16" t="str">
        <x:v>Подшипники</x:v>
      </x:c>
      <x:c r="E420" s="16" t="str">
        <x:v>ШТ</x:v>
      </x:c>
      <x:c r="F420" s="21" t="n">
        <x:v>5</x:v>
      </x:c>
      <x:c r="G420" s="17" t="n">
        <x:v>233.1786</x:v>
      </x:c>
      <x:c r="H420" s="17" t="n">
        <x:f>G420*F420</x:f>
        <x:v>1165.893</x:v>
      </x:c>
      <x:c r="I420" s="22" t="str">
        <x:f>HYPERLINK("https://etp-aktiv.ru/catalog/materialy/podshipniki/2000116386-U117/","Открыть позицию")</x:f>
        <x:v>Открыть позицию</x:v>
      </x:c>
    </x:row>
    <x:row r="421" ht="28" customHeight="1">
      <x:c r="A421" s="16" t="str">
        <x:v>Приморская ГРЭС</x:v>
      </x:c>
      <x:c r="B421" s="16" t="str">
        <x:v>2000116407-U117</x:v>
      </x:c>
      <x:c r="C421" s="16" t="str">
        <x:v>ПОДШИПНИК 7608</x:v>
      </x:c>
      <x:c r="D421" s="16" t="str">
        <x:v>Подшипники</x:v>
      </x:c>
      <x:c r="E421" s="16" t="str">
        <x:v>ШТ</x:v>
      </x:c>
      <x:c r="F421" s="21" t="n">
        <x:v>8</x:v>
      </x:c>
      <x:c r="G421" s="17" t="n">
        <x:v>449.997</x:v>
      </x:c>
      <x:c r="H421" s="17" t="n">
        <x:f>G421*F421</x:f>
        <x:v>3599.976</x:v>
      </x:c>
      <x:c r="I421" s="22" t="str">
        <x:f>HYPERLINK("https://etp-aktiv.ru/catalog/materialy/podshipniki/2000116407-U117/","Открыть позицию")</x:f>
        <x:v>Открыть позицию</x:v>
      </x:c>
    </x:row>
    <x:row r="422" ht="28" customHeight="1">
      <x:c r="A422" s="16" t="str">
        <x:v>Приморская ГРЭС</x:v>
      </x:c>
      <x:c r="B422" s="16" t="str">
        <x:v>2000167559-U117</x:v>
      </x:c>
      <x:c r="C422" s="16" t="str">
        <x:v>ПОДШИПНИК 7608А</x:v>
      </x:c>
      <x:c r="D422" s="16" t="str">
        <x:v>Подшипники</x:v>
      </x:c>
      <x:c r="E422" s="16" t="str">
        <x:v>ШТ</x:v>
      </x:c>
      <x:c r="F422" s="21" t="n">
        <x:v>5</x:v>
      </x:c>
      <x:c r="G422" s="17" t="n">
        <x:v>449.997</x:v>
      </x:c>
      <x:c r="H422" s="17" t="n">
        <x:f>G422*F422</x:f>
        <x:v>2249.985</x:v>
      </x:c>
      <x:c r="I422" s="22" t="str">
        <x:f>HYPERLINK("https://etp-aktiv.ru/catalog/materialy/podshipniki/2000167559-U117/","Открыть позицию")</x:f>
        <x:v>Открыть позицию</x:v>
      </x:c>
    </x:row>
    <x:row r="423" ht="28" customHeight="1">
      <x:c r="A423" s="16" t="str">
        <x:v>Приморская ГРЭС</x:v>
      </x:c>
      <x:c r="B423" s="16" t="str">
        <x:v>2000115331-U117</x:v>
      </x:c>
      <x:c r="C423" s="16" t="str">
        <x:v>ПОДШИПНИК 7609</x:v>
      </x:c>
      <x:c r="D423" s="16" t="str">
        <x:v>Подшипники</x:v>
      </x:c>
      <x:c r="E423" s="16" t="str">
        <x:v>ШТ</x:v>
      </x:c>
      <x:c r="F423" s="21" t="n">
        <x:v>5</x:v>
      </x:c>
      <x:c r="G423" s="17" t="n">
        <x:v>560.2239999999999</x:v>
      </x:c>
      <x:c r="H423" s="17" t="n">
        <x:f>G423*F423</x:f>
        <x:v>2801.12</x:v>
      </x:c>
      <x:c r="I423" s="22" t="str">
        <x:f>HYPERLINK("https://etp-aktiv.ru/catalog/materialy/podshipniki/2000115331-U117/","Открыть позицию")</x:f>
        <x:v>Открыть позицию</x:v>
      </x:c>
    </x:row>
    <x:row r="424" ht="28" customHeight="1">
      <x:c r="A424" s="16" t="str">
        <x:v>Приморская ГРЭС</x:v>
      </x:c>
      <x:c r="B424" s="16" t="str">
        <x:v>2000116468-U117</x:v>
      </x:c>
      <x:c r="C424" s="16" t="str">
        <x:v>ПОДШИПНИК 7611</x:v>
      </x:c>
      <x:c r="D424" s="16" t="str">
        <x:v>Подшипники</x:v>
      </x:c>
      <x:c r="E424" s="16" t="str">
        <x:v>ШТ</x:v>
      </x:c>
      <x:c r="F424" s="21" t="n">
        <x:v>18</x:v>
      </x:c>
      <x:c r="G424" s="17" t="n">
        <x:v>417.2156</x:v>
      </x:c>
      <x:c r="H424" s="17" t="n">
        <x:f>G424*F424</x:f>
        <x:v>7509.8808</x:v>
      </x:c>
      <x:c r="I424" s="22" t="str">
        <x:f>HYPERLINK("https://etp-aktiv.ru/catalog/materialy/podshipniki/2000116468-U117/","Открыть позицию")</x:f>
        <x:v>Открыть позицию</x:v>
      </x:c>
    </x:row>
    <x:row r="425" ht="28" customHeight="1">
      <x:c r="A425" s="16" t="str">
        <x:v>Приморская ГРЭС</x:v>
      </x:c>
      <x:c r="B425" s="16" t="str">
        <x:v>2000116616-U117</x:v>
      </x:c>
      <x:c r="C425" s="16" t="str">
        <x:v>ПОДШИПНИК 7616</x:v>
      </x:c>
      <x:c r="D425" s="16" t="str">
        <x:v>Подшипники</x:v>
      </x:c>
      <x:c r="E425" s="16" t="str">
        <x:v>ШТ</x:v>
      </x:c>
      <x:c r="F425" s="21" t="n">
        <x:v>2</x:v>
      </x:c>
      <x:c r="G425" s="17" t="n">
        <x:v>1896.1118000000001</x:v>
      </x:c>
      <x:c r="H425" s="17" t="n">
        <x:f>G425*F425</x:f>
        <x:v>3792.2236000000003</x:v>
      </x:c>
      <x:c r="I425" s="22" t="str">
        <x:f>HYPERLINK("https://etp-aktiv.ru/catalog/materialy/podshipniki/2000116616-U117/","Открыть позицию")</x:f>
        <x:v>Открыть позицию</x:v>
      </x:c>
    </x:row>
    <x:row r="426" ht="28" customHeight="1">
      <x:c r="A426" s="16" t="str">
        <x:v>Приморская ГРЭС</x:v>
      </x:c>
      <x:c r="B426" s="16" t="str">
        <x:v>2000599219-U117</x:v>
      </x:c>
      <x:c r="C426" s="16" t="str">
        <x:v>ПОДШИПНИК 7616А</x:v>
      </x:c>
      <x:c r="D426" s="16" t="str">
        <x:v>Подшипники</x:v>
      </x:c>
      <x:c r="E426" s="16" t="str">
        <x:v>ШТ</x:v>
      </x:c>
      <x:c r="F426" s="21" t="n">
        <x:v>7</x:v>
      </x:c>
      <x:c r="G426" s="17" t="n">
        <x:v>1450.0066</x:v>
      </x:c>
      <x:c r="H426" s="17" t="n">
        <x:f>G426*F426</x:f>
        <x:v>10150.046199999999</x:v>
      </x:c>
      <x:c r="I426" s="22" t="str">
        <x:f>HYPERLINK("https://etp-aktiv.ru/catalog/materialy/podshipniki/2000599219-U117/","Открыть позицию")</x:f>
        <x:v>Открыть позицию</x:v>
      </x:c>
    </x:row>
    <x:row r="427" ht="28" customHeight="1">
      <x:c r="A427" s="16" t="str">
        <x:v>Приморская ГРЭС</x:v>
      </x:c>
      <x:c r="B427" s="16" t="str">
        <x:v>2000116636-U117</x:v>
      </x:c>
      <x:c r="C427" s="16" t="str">
        <x:v>ПОДШИПНИК 7618</x:v>
      </x:c>
      <x:c r="D427" s="16" t="str">
        <x:v>Подшипники</x:v>
      </x:c>
      <x:c r="E427" s="16" t="str">
        <x:v>ШТ</x:v>
      </x:c>
      <x:c r="F427" s="21" t="n">
        <x:v>8</x:v>
      </x:c>
      <x:c r="G427" s="17" t="n">
        <x:v>3140.524</x:v>
      </x:c>
      <x:c r="H427" s="17" t="n">
        <x:f>G427*F427</x:f>
        <x:v>25124.192</x:v>
      </x:c>
      <x:c r="I427" s="22" t="str">
        <x:f>HYPERLINK("https://etp-aktiv.ru/catalog/materialy/podshipniki/2000116636-U117/","Открыть позицию")</x:f>
        <x:v>Открыть позицию</x:v>
      </x:c>
    </x:row>
    <x:row r="428" ht="28" customHeight="1">
      <x:c r="A428" s="16" t="str">
        <x:v>Приморская ГРЭС</x:v>
      </x:c>
      <x:c r="B428" s="16" t="str">
        <x:v>2000390768-U117</x:v>
      </x:c>
      <x:c r="C428" s="16" t="str">
        <x:v>ПОДШИПНИК 7618А</x:v>
      </x:c>
      <x:c r="D428" s="16" t="str">
        <x:v>Подшипники</x:v>
      </x:c>
      <x:c r="E428" s="16" t="str">
        <x:v>ШТ</x:v>
      </x:c>
      <x:c r="F428" s="21" t="n">
        <x:v>6</x:v>
      </x:c>
      <x:c r="G428" s="17" t="n">
        <x:v>3050.61</x:v>
      </x:c>
      <x:c r="H428" s="17" t="n">
        <x:f>G428*F428</x:f>
        <x:v>18303.66</x:v>
      </x:c>
      <x:c r="I428" s="22" t="str">
        <x:f>HYPERLINK("https://etp-aktiv.ru/catalog/materialy/podshipniki/2000390768-U117/","Открыть позицию")</x:f>
        <x:v>Открыть позицию</x:v>
      </x:c>
    </x:row>
    <x:row r="429" ht="28" customHeight="1">
      <x:c r="A429" s="16" t="str">
        <x:v>Приморская ГРЭС</x:v>
      </x:c>
      <x:c r="B429" s="16" t="str">
        <x:v>2000116671-U117</x:v>
      </x:c>
      <x:c r="C429" s="16" t="str">
        <x:v>ПОДШИПНИК 7620</x:v>
      </x:c>
      <x:c r="D429" s="16" t="str">
        <x:v>Подшипники</x:v>
      </x:c>
      <x:c r="E429" s="16" t="str">
        <x:v>ШТ</x:v>
      </x:c>
      <x:c r="F429" s="21" t="n">
        <x:v>6</x:v>
      </x:c>
      <x:c r="G429" s="17" t="n">
        <x:v>4233.5952</x:v>
      </x:c>
      <x:c r="H429" s="17" t="n">
        <x:f>G429*F429</x:f>
        <x:v>25401.5712</x:v>
      </x:c>
      <x:c r="I429" s="22" t="str">
        <x:f>HYPERLINK("https://etp-aktiv.ru/catalog/materialy/podshipniki/2000116671-U117/","Открыть позицию")</x:f>
        <x:v>Открыть позицию</x:v>
      </x:c>
    </x:row>
    <x:row r="430" ht="28" customHeight="1">
      <x:c r="A430" s="16" t="str">
        <x:v>Приморская ГРЭС</x:v>
      </x:c>
      <x:c r="B430" s="16" t="str">
        <x:v>2000116691-U117</x:v>
      </x:c>
      <x:c r="C430" s="16" t="str">
        <x:v>ПОДШИПНИК 7622</x:v>
      </x:c>
      <x:c r="D430" s="16" t="str">
        <x:v>Подшипники</x:v>
      </x:c>
      <x:c r="E430" s="16" t="str">
        <x:v>ШТ</x:v>
      </x:c>
      <x:c r="F430" s="21" t="n">
        <x:v>2</x:v>
      </x:c>
      <x:c r="G430" s="17" t="n">
        <x:v>7381</x:v>
      </x:c>
      <x:c r="H430" s="17" t="n">
        <x:f>G430*F430</x:f>
        <x:v>14762</x:v>
      </x:c>
      <x:c r="I430" s="22" t="str">
        <x:f>HYPERLINK("https://etp-aktiv.ru/catalog/materialy/podshipniki/2000116691-U117/","Открыть позицию")</x:f>
        <x:v>Открыть позицию</x:v>
      </x:c>
    </x:row>
    <x:row r="431" ht="28" customHeight="1">
      <x:c r="A431" s="16" t="str">
        <x:v>Приморская ГРЭС</x:v>
      </x:c>
      <x:c r="B431" s="16" t="str">
        <x:v>2000116715-U117</x:v>
      </x:c>
      <x:c r="C431" s="16" t="str">
        <x:v>ПОДШИПНИК 7624</x:v>
      </x:c>
      <x:c r="D431" s="16" t="str">
        <x:v>Подшипники</x:v>
      </x:c>
      <x:c r="E431" s="16" t="str">
        <x:v>ШТ</x:v>
      </x:c>
      <x:c r="F431" s="21" t="n">
        <x:v>3</x:v>
      </x:c>
      <x:c r="G431" s="17" t="n">
        <x:v>7830.838400000001</x:v>
      </x:c>
      <x:c r="H431" s="17" t="n">
        <x:f>G431*F431</x:f>
        <x:v>23492.5152</x:v>
      </x:c>
      <x:c r="I431" s="22" t="str">
        <x:f>HYPERLINK("https://etp-aktiv.ru/catalog/materialy/podshipniki/2000116715-U117/","Открыть позицию")</x:f>
        <x:v>Открыть позицию</x:v>
      </x:c>
    </x:row>
    <x:row r="432" ht="28" customHeight="1">
      <x:c r="A432" s="16" t="str">
        <x:v>Приморская ГРЭС</x:v>
      </x:c>
      <x:c r="B432" s="16" t="str">
        <x:v>2000002112-U117</x:v>
      </x:c>
      <x:c r="C432" s="16" t="str">
        <x:v>ПОДШИПНИК 80203</x:v>
      </x:c>
      <x:c r="D432" s="16" t="str">
        <x:v>Подшипники</x:v>
      </x:c>
      <x:c r="E432" s="16" t="str">
        <x:v>ШТ</x:v>
      </x:c>
      <x:c r="F432" s="21" t="n">
        <x:v>4</x:v>
      </x:c>
      <x:c r="G432" s="17" t="n">
        <x:v>29.377599999999997</x:v>
      </x:c>
      <x:c r="H432" s="17" t="n">
        <x:f>G432*F432</x:f>
        <x:v>117.51039999999999</x:v>
      </x:c>
      <x:c r="I432" s="22" t="str">
        <x:f>HYPERLINK("https://etp-aktiv.ru/catalog/materialy/podshipniki/2000002112-U117/","Открыть позицию")</x:f>
        <x:v>Открыть позицию</x:v>
      </x:c>
    </x:row>
    <x:row r="433" ht="28" customHeight="1">
      <x:c r="A433" s="16" t="str">
        <x:v>Приморская ГРЭС</x:v>
      </x:c>
      <x:c r="B433" s="16" t="str">
        <x:v>2000127345-U117</x:v>
      </x:c>
      <x:c r="C433" s="16" t="str">
        <x:v>ПОДШИПНИК 80213</x:v>
      </x:c>
      <x:c r="D433" s="16" t="str">
        <x:v>Подшипники</x:v>
      </x:c>
      <x:c r="E433" s="16" t="str">
        <x:v>ШТ</x:v>
      </x:c>
      <x:c r="F433" s="21" t="n">
        <x:v>1</x:v>
      </x:c>
      <x:c r="G433" s="17" t="n">
        <x:v>265.3012</x:v>
      </x:c>
      <x:c r="H433" s="17" t="n">
        <x:f>G433*F433</x:f>
        <x:v>265.3012</x:v>
      </x:c>
      <x:c r="I433" s="22" t="str">
        <x:f>HYPERLINK("https://etp-aktiv.ru/catalog/materialy/podshipniki/2000127345-U117/","Открыть позицию")</x:f>
        <x:v>Открыть позицию</x:v>
      </x:c>
    </x:row>
    <x:row r="434" ht="28" customHeight="1">
      <x:c r="A434" s="16" t="str">
        <x:v>Приморская ГРЭС</x:v>
      </x:c>
      <x:c r="B434" s="16" t="str">
        <x:v>2000034659-U117</x:v>
      </x:c>
      <x:c r="C434" s="16" t="str">
        <x:v>ПОДШИПНИК 80305</x:v>
      </x:c>
      <x:c r="D434" s="16" t="str">
        <x:v>Подшипники</x:v>
      </x:c>
      <x:c r="E434" s="16" t="str">
        <x:v>ШТ</x:v>
      </x:c>
      <x:c r="F434" s="21" t="n">
        <x:v>2</x:v>
      </x:c>
      <x:c r="G434" s="17" t="n">
        <x:v>96.6484</x:v>
      </x:c>
      <x:c r="H434" s="17" t="n">
        <x:f>G434*F434</x:f>
        <x:v>193.2968</x:v>
      </x:c>
      <x:c r="I434" s="22" t="str">
        <x:f>HYPERLINK("https://etp-aktiv.ru/catalog/materialy/podshipniki/2000034659-U117/","Открыть позицию")</x:f>
        <x:v>Открыть позицию</x:v>
      </x:c>
    </x:row>
    <x:row r="435" ht="28" customHeight="1">
      <x:c r="A435" s="16" t="str">
        <x:v>Приморская ГРЭС</x:v>
      </x:c>
      <x:c r="B435" s="16" t="str">
        <x:v>2000308892-U117</x:v>
      </x:c>
      <x:c r="C435" s="16" t="str">
        <x:v>ПОДШИПНИК 80317</x:v>
      </x:c>
      <x:c r="D435" s="16" t="str">
        <x:v>Подшипники</x:v>
      </x:c>
      <x:c r="E435" s="16" t="str">
        <x:v>ШТ</x:v>
      </x:c>
      <x:c r="F435" s="21" t="n">
        <x:v>6</x:v>
      </x:c>
      <x:c r="G435" s="17" t="n">
        <x:v>1392.6299999999999</x:v>
      </x:c>
      <x:c r="H435" s="17" t="n">
        <x:f>G435*F435</x:f>
        <x:v>8355.779999999999</x:v>
      </x:c>
      <x:c r="I435" s="22" t="str">
        <x:f>HYPERLINK("https://etp-aktiv.ru/catalog/materialy/podshipniki/2000308892-U117/","Открыть позицию")</x:f>
        <x:v>Открыть позицию</x:v>
      </x:c>
    </x:row>
    <x:row r="436" ht="28" customHeight="1">
      <x:c r="A436" s="16" t="str">
        <x:v>Приморская ГРЭС</x:v>
      </x:c>
      <x:c r="B436" s="16" t="str">
        <x:v>2000034663-U117</x:v>
      </x:c>
      <x:c r="C436" s="16" t="str">
        <x:v>ПОДШИПНИК 80318</x:v>
      </x:c>
      <x:c r="D436" s="16" t="str">
        <x:v>Подшипники</x:v>
      </x:c>
      <x:c r="E436" s="16" t="str">
        <x:v>ШТ</x:v>
      </x:c>
      <x:c r="F436" s="21" t="n">
        <x:v>4</x:v>
      </x:c>
      <x:c r="G436" s="17" t="n">
        <x:v>1671.705</x:v>
      </x:c>
      <x:c r="H436" s="17" t="n">
        <x:f>G436*F436</x:f>
        <x:v>6686.82</x:v>
      </x:c>
      <x:c r="I436" s="22" t="str">
        <x:f>HYPERLINK("https://etp-aktiv.ru/catalog/materialy/podshipniki/2000034663-U117/","Открыть позицию")</x:f>
        <x:v>Открыть позицию</x:v>
      </x:c>
    </x:row>
    <x:row r="437" ht="28" customHeight="1">
      <x:c r="A437" s="16" t="str">
        <x:v>Приморская ГРЭС</x:v>
      </x:c>
      <x:c r="B437" s="16" t="str">
        <x:v>2000116378-U117</x:v>
      </x:c>
      <x:c r="C437" s="16" t="str">
        <x:v>ПОДШИПНИК 8108</x:v>
      </x:c>
      <x:c r="D437" s="16" t="str">
        <x:v>Подшипники</x:v>
      </x:c>
      <x:c r="E437" s="16" t="str">
        <x:v>ШТ</x:v>
      </x:c>
      <x:c r="F437" s="21" t="n">
        <x:v>100</x:v>
      </x:c>
      <x:c r="G437" s="17" t="n">
        <x:v>81.9718</x:v>
      </x:c>
      <x:c r="H437" s="17" t="n">
        <x:f>G437*F437</x:f>
        <x:v>8197.18</x:v>
      </x:c>
      <x:c r="I437" s="22" t="str">
        <x:f>HYPERLINK("https://etp-aktiv.ru/catalog/materialy/podshipniki/2000116378-U117/","Открыть позицию")</x:f>
        <x:v>Открыть позицию</x:v>
      </x:c>
    </x:row>
    <x:row r="438" ht="28" customHeight="1">
      <x:c r="A438" s="16" t="str">
        <x:v>Приморская ГРЭС</x:v>
      </x:c>
      <x:c r="B438" s="16" t="str">
        <x:v>2000449744-U117</x:v>
      </x:c>
      <x:c r="C438" s="16" t="str">
        <x:v>ПОДШИПНИК 8110</x:v>
      </x:c>
      <x:c r="D438" s="16" t="str">
        <x:v>Подшипники</x:v>
      </x:c>
      <x:c r="E438" s="16" t="str">
        <x:v>ШТ</x:v>
      </x:c>
      <x:c r="F438" s="21" t="n">
        <x:v>45</x:v>
      </x:c>
      <x:c r="G438" s="17" t="n">
        <x:v>75.1642</x:v>
      </x:c>
      <x:c r="H438" s="17" t="n">
        <x:f>G438*F438</x:f>
        <x:v>3382.3889999999997</x:v>
      </x:c>
      <x:c r="I438" s="22" t="str">
        <x:f>HYPERLINK("https://etp-aktiv.ru/catalog/materialy/podshipniki/2000449744-U117/","Открыть позицию")</x:f>
        <x:v>Открыть позицию</x:v>
      </x:c>
    </x:row>
    <x:row r="439" ht="28" customHeight="1">
      <x:c r="A439" s="16" t="str">
        <x:v>Приморская ГРЭС</x:v>
      </x:c>
      <x:c r="B439" s="16" t="str">
        <x:v>2000556523-U117</x:v>
      </x:c>
      <x:c r="C439" s="16" t="str">
        <x:v>ПОДШИПНИК 8120</x:v>
      </x:c>
      <x:c r="D439" s="16" t="str">
        <x:v>Подшипники</x:v>
      </x:c>
      <x:c r="E439" s="16" t="str">
        <x:v>ШТ</x:v>
      </x:c>
      <x:c r="F439" s="21" t="n">
        <x:v>2</x:v>
      </x:c>
      <x:c r="G439" s="17" t="n">
        <x:v>292.8</x:v>
      </x:c>
      <x:c r="H439" s="17" t="n">
        <x:f>G439*F439</x:f>
        <x:v>585.6</x:v>
      </x:c>
      <x:c r="I439" s="22" t="str">
        <x:f>HYPERLINK("https://etp-aktiv.ru/catalog/materialy/podshipniki/2000556523-U117/","Открыть позицию")</x:f>
        <x:v>Открыть позицию</x:v>
      </x:c>
    </x:row>
    <x:row r="440" ht="28" customHeight="1">
      <x:c r="A440" s="16" t="str">
        <x:v>Приморская ГРЭС</x:v>
      </x:c>
      <x:c r="B440" s="16" t="str">
        <x:v>2000116427-U117</x:v>
      </x:c>
      <x:c r="C440" s="16" t="str">
        <x:v>ПОДШИПНИК 8208</x:v>
      </x:c>
      <x:c r="D440" s="16" t="str">
        <x:v>Подшипники</x:v>
      </x:c>
      <x:c r="E440" s="16" t="str">
        <x:v>ШТ</x:v>
      </x:c>
      <x:c r="F440" s="21" t="n">
        <x:v>1</x:v>
      </x:c>
      <x:c r="G440" s="17" t="n">
        <x:v>101.748</x:v>
      </x:c>
      <x:c r="H440" s="17" t="n">
        <x:f>G440*F440</x:f>
        <x:v>101.748</x:v>
      </x:c>
      <x:c r="I440" s="22" t="str">
        <x:f>HYPERLINK("https://etp-aktiv.ru/catalog/materialy/podshipniki/2000116427-U117/","Открыть позицию")</x:f>
        <x:v>Открыть позицию</x:v>
      </x:c>
    </x:row>
    <x:row r="441" ht="28" customHeight="1">
      <x:c r="A441" s="16" t="str">
        <x:v>Приморская ГРЭС</x:v>
      </x:c>
      <x:c r="B441" s="16" t="str">
        <x:v>2000116356-U117</x:v>
      </x:c>
      <x:c r="C441" s="16" t="str">
        <x:v>ПОДШИПНИК 8209</x:v>
      </x:c>
      <x:c r="D441" s="16" t="str">
        <x:v>Подшипники</x:v>
      </x:c>
      <x:c r="E441" s="16" t="str">
        <x:v>ШТ</x:v>
      </x:c>
      <x:c r="F441" s="21" t="n">
        <x:v>73</x:v>
      </x:c>
      <x:c r="G441" s="17" t="n">
        <x:v>254.7726</x:v>
      </x:c>
      <x:c r="H441" s="17" t="n">
        <x:f>G441*F441</x:f>
        <x:v>18598.3998</x:v>
      </x:c>
      <x:c r="I441" s="22" t="str">
        <x:f>HYPERLINK("https://etp-aktiv.ru/catalog/materialy/podshipniki/2000116356-U117/","Открыть позицию")</x:f>
        <x:v>Открыть позицию</x:v>
      </x:c>
    </x:row>
    <x:row r="442" ht="28" customHeight="1">
      <x:c r="A442" s="16" t="str">
        <x:v>Приморская ГРЭС</x:v>
      </x:c>
      <x:c r="B442" s="16" t="str">
        <x:v>2000116351-U117</x:v>
      </x:c>
      <x:c r="C442" s="16" t="str">
        <x:v>ПОДШИПНИК 8210</x:v>
      </x:c>
      <x:c r="D442" s="16" t="str">
        <x:v>Подшипники</x:v>
      </x:c>
      <x:c r="E442" s="16" t="str">
        <x:v>ШТ</x:v>
      </x:c>
      <x:c r="F442" s="21" t="n">
        <x:v>1</x:v>
      </x:c>
      <x:c r="G442" s="17" t="n">
        <x:v>159.1734</x:v>
      </x:c>
      <x:c r="H442" s="17" t="n">
        <x:f>G442*F442</x:f>
        <x:v>159.1734</x:v>
      </x:c>
      <x:c r="I442" s="22" t="str">
        <x:f>HYPERLINK("https://etp-aktiv.ru/catalog/materialy/podshipniki/2000116351-U117/","Открыть позицию")</x:f>
        <x:v>Открыть позицию</x:v>
      </x:c>
    </x:row>
    <x:row r="443" ht="28" customHeight="1">
      <x:c r="A443" s="16" t="str">
        <x:v>Приморская ГРЭС</x:v>
      </x:c>
      <x:c r="B443" s="16" t="str">
        <x:v>2000034686-U117</x:v>
      </x:c>
      <x:c r="C443" s="16" t="str">
        <x:v>ПОДШИПНИК 8218</x:v>
      </x:c>
      <x:c r="D443" s="16" t="str">
        <x:v>Подшипники</x:v>
      </x:c>
      <x:c r="E443" s="16" t="str">
        <x:v>ШТ</x:v>
      </x:c>
      <x:c r="F443" s="21" t="n">
        <x:v>32</x:v>
      </x:c>
      <x:c r="G443" s="17" t="n">
        <x:v>818.7664</x:v>
      </x:c>
      <x:c r="H443" s="17" t="n">
        <x:f>G443*F443</x:f>
        <x:v>26200.5248</x:v>
      </x:c>
      <x:c r="I443" s="22" t="str">
        <x:f>HYPERLINK("https://etp-aktiv.ru/catalog/materialy/podshipniki/2000034686-U117/","Открыть позицию")</x:f>
        <x:v>Открыть позицию</x:v>
      </x:c>
    </x:row>
    <x:row r="444" ht="28" customHeight="1">
      <x:c r="A444" s="16" t="str">
        <x:v>Приморская ГРЭС</x:v>
      </x:c>
      <x:c r="B444" s="16" t="str">
        <x:v>2000116589-U117</x:v>
      </x:c>
      <x:c r="C444" s="16" t="str">
        <x:v>ПОДШИПНИК 8224</x:v>
      </x:c>
      <x:c r="D444" s="16" t="str">
        <x:v>Подшипники</x:v>
      </x:c>
      <x:c r="E444" s="16" t="str">
        <x:v>ШТ</x:v>
      </x:c>
      <x:c r="F444" s="21" t="n">
        <x:v>1</x:v>
      </x:c>
      <x:c r="G444" s="17" t="n">
        <x:v>823.5</x:v>
      </x:c>
      <x:c r="H444" s="17" t="n">
        <x:f>G444*F444</x:f>
        <x:v>823.5</x:v>
      </x:c>
      <x:c r="I444" s="22" t="str">
        <x:f>HYPERLINK("https://etp-aktiv.ru/catalog/materialy/podshipniki/2000116589-U117/","Открыть позицию")</x:f>
        <x:v>Открыть позицию</x:v>
      </x:c>
    </x:row>
    <x:row r="445" ht="28" customHeight="1">
      <x:c r="A445" s="16" t="str">
        <x:v>Приморская ГРЭС</x:v>
      </x:c>
      <x:c r="B445" s="16" t="str">
        <x:v>2000116658-U117</x:v>
      </x:c>
      <x:c r="C445" s="16" t="str">
        <x:v>ПОДШИПНИК 8228</x:v>
      </x:c>
      <x:c r="D445" s="16" t="str">
        <x:v>Подшипники</x:v>
      </x:c>
      <x:c r="E445" s="16" t="str">
        <x:v>ШТ</x:v>
      </x:c>
      <x:c r="F445" s="21" t="n">
        <x:v>1</x:v>
      </x:c>
      <x:c r="G445" s="17" t="n">
        <x:v>1372.5</x:v>
      </x:c>
      <x:c r="H445" s="17" t="n">
        <x:f>G445*F445</x:f>
        <x:v>1372.5</x:v>
      </x:c>
      <x:c r="I445" s="22" t="str">
        <x:f>HYPERLINK("https://etp-aktiv.ru/catalog/materialy/podshipniki/2000116658-U117/","Открыть позицию")</x:f>
        <x:v>Открыть позицию</x:v>
      </x:c>
    </x:row>
    <x:row r="446" ht="28" customHeight="1">
      <x:c r="A446" s="16" t="str">
        <x:v>Приморская ГРЭС</x:v>
      </x:c>
      <x:c r="B446" s="16" t="str">
        <x:v>2000072724-U117</x:v>
      </x:c>
      <x:c r="C446" s="16" t="str">
        <x:v>ПОДШИПНИК 8310</x:v>
      </x:c>
      <x:c r="D446" s="16" t="str">
        <x:v>Подшипники</x:v>
      </x:c>
      <x:c r="E446" s="16" t="str">
        <x:v>ШТ</x:v>
      </x:c>
      <x:c r="F446" s="21" t="n">
        <x:v>6</x:v>
      </x:c>
      <x:c r="G446" s="17" t="n">
        <x:v>314.394</x:v>
      </x:c>
      <x:c r="H446" s="17" t="n">
        <x:f>G446*F446</x:f>
        <x:v>1886.364</x:v>
      </x:c>
      <x:c r="I446" s="22" t="str">
        <x:f>HYPERLINK("https://etp-aktiv.ru/catalog/materialy/podshipniki/2000072724-U117/","Открыть позицию")</x:f>
        <x:v>Открыть позицию</x:v>
      </x:c>
    </x:row>
    <x:row r="447" ht="28" customHeight="1">
      <x:c r="A447" s="16" t="str">
        <x:v>Приморская ГРЭС</x:v>
      </x:c>
      <x:c r="B447" s="16" t="str">
        <x:v>2000034705-U117</x:v>
      </x:c>
      <x:c r="C447" s="16" t="str">
        <x:v>ПОДШИПНИК 9039352</x:v>
      </x:c>
      <x:c r="D447" s="16" t="str">
        <x:v>Подшипники</x:v>
      </x:c>
      <x:c r="E447" s="16" t="str">
        <x:v>ШТ</x:v>
      </x:c>
      <x:c r="F447" s="21" t="n">
        <x:v>1</x:v>
      </x:c>
      <x:c r="G447" s="17" t="n">
        <x:v>18286.8484</x:v>
      </x:c>
      <x:c r="H447" s="17" t="n">
        <x:f>G447*F447</x:f>
        <x:v>18286.8484</x:v>
      </x:c>
      <x:c r="I447" s="22" t="str">
        <x:f>HYPERLINK("https://etp-aktiv.ru/catalog/materialy/podshipniki/2000034705-U117/","Открыть позицию")</x:f>
        <x:v>Открыть позицию</x:v>
      </x:c>
    </x:row>
    <x:row r="448" ht="28" customHeight="1">
      <x:c r="A448" s="16" t="str">
        <x:v>Приморская ГРЭС</x:v>
      </x:c>
      <x:c r="B448" s="16" t="str">
        <x:v>2000004623-U117</x:v>
      </x:c>
      <x:c r="C448" s="16" t="str">
        <x:v>ПОДШИПНИК 943/25</x:v>
      </x:c>
      <x:c r="D448" s="16" t="str">
        <x:v>Подшипники</x:v>
      </x:c>
      <x:c r="E448" s="16" t="str">
        <x:v>ШТ</x:v>
      </x:c>
      <x:c r="F448" s="21" t="n">
        <x:v>4</x:v>
      </x:c>
      <x:c r="G448" s="17" t="n">
        <x:v>107.97</x:v>
      </x:c>
      <x:c r="H448" s="17" t="n">
        <x:f>G448*F448</x:f>
        <x:v>431.88</x:v>
      </x:c>
      <x:c r="I448" s="22" t="str">
        <x:f>HYPERLINK("https://etp-aktiv.ru/catalog/materialy/podshipniki/2000004623-U117/","Открыть позицию")</x:f>
        <x:v>Открыть позицию</x:v>
      </x:c>
    </x:row>
    <x:row r="449" ht="28" customHeight="1">
      <x:c r="A449" s="16" t="str">
        <x:v>Приморская ГРЭС</x:v>
      </x:c>
      <x:c r="B449" s="16" t="str">
        <x:v>2000127194-U117</x:v>
      </x:c>
      <x:c r="C449" s="16" t="str">
        <x:v>ПОДШИПНИК 97518</x:v>
      </x:c>
      <x:c r="D449" s="16" t="str">
        <x:v>Подшипники</x:v>
      </x:c>
      <x:c r="E449" s="16" t="str">
        <x:v>ШТ</x:v>
      </x:c>
      <x:c r="F449" s="21" t="n">
        <x:v>4</x:v>
      </x:c>
      <x:c r="G449" s="17" t="n">
        <x:v>4294.0584</x:v>
      </x:c>
      <x:c r="H449" s="17" t="n">
        <x:f>G449*F449</x:f>
        <x:v>17176.2336</x:v>
      </x:c>
      <x:c r="I449" s="22" t="str">
        <x:f>HYPERLINK("https://etp-aktiv.ru/catalog/materialy/podshipniki/2000127194-U117/","Открыть позицию")</x:f>
        <x:v>Открыть позицию</x:v>
      </x:c>
    </x:row>
    <x:row r="450" ht="28" customHeight="1">
      <x:c r="A450" s="16" t="str">
        <x:v>Приморская ГРЭС</x:v>
      </x:c>
      <x:c r="B450" s="16" t="str">
        <x:v>2000244160-U117</x:v>
      </x:c>
      <x:c r="C450" s="16" t="str">
        <x:v>ПОДШИПНИК ГИДРОД ГПКСВ-320.00.00.000 СБ</x:v>
      </x:c>
      <x:c r="D450" s="16" t="str">
        <x:v>Запасные части к энергетическим насосам</x:v>
      </x:c>
      <x:c r="E450" s="16" t="str">
        <x:v>КМП</x:v>
      </x:c>
      <x:c r="F450" s="21" t="n">
        <x:v>5</x:v>
      </x:c>
      <x:c r="G450" s="17" t="n">
        <x:v>26223.899999999998</x:v>
      </x:c>
      <x:c r="H450" s="17" t="n">
        <x:f>G450*F450</x:f>
        <x:v>131119.5</x:v>
      </x:c>
      <x:c r="I450" s="22" t="str">
        <x:f>HYPERLINK("https://etp-aktiv.ru/catalog/materialy/zapasnye-chasti-promyshlennogo-oborudovaniya/2000244160-U117/","Открыть позицию")</x:f>
        <x:v>Открыть позицию</x:v>
      </x:c>
    </x:row>
    <x:row r="451" ht="28" customHeight="1">
      <x:c r="A451" s="16" t="str">
        <x:v>Приморская ГРЭС</x:v>
      </x:c>
      <x:c r="B451" s="16" t="str">
        <x:v>2000249887-U117</x:v>
      </x:c>
      <x:c r="C451" s="16" t="str">
        <x:v>ПОДШИПНИК ИГОЛЬЧАТЫЙ 4024113</x:v>
      </x:c>
      <x:c r="D451" s="16" t="str">
        <x:v>Подшипники</x:v>
      </x:c>
      <x:c r="E451" s="16" t="str">
        <x:v>ШТ</x:v>
      </x:c>
      <x:c r="F451" s="21" t="n">
        <x:v>4</x:v>
      </x:c>
      <x:c r="G451" s="17" t="n">
        <x:v>583.3186</x:v>
      </x:c>
      <x:c r="H451" s="17" t="n">
        <x:f>G451*F451</x:f>
        <x:v>2333.2744</x:v>
      </x:c>
      <x:c r="I451" s="22" t="str">
        <x:f>HYPERLINK("https://etp-aktiv.ru/catalog/materialy/podshipniki/2000249887-U117/","Открыть позицию")</x:f>
        <x:v>Открыть позицию</x:v>
      </x:c>
    </x:row>
    <x:row r="452" ht="28" customHeight="1">
      <x:c r="A452" s="16" t="str">
        <x:v>Приморская ГРЭС</x:v>
      </x:c>
      <x:c r="B452" s="16" t="str">
        <x:v>2000979047-U117</x:v>
      </x:c>
      <x:c r="C452" s="16" t="str">
        <x:v>ПОДШИПНИК СТУПИЦЫ ПЕРЕДН НАРУЖН 485427-П</x:v>
      </x:c>
      <x:c r="D452" s="16" t="str">
        <x:v>Запасные части к автотранспортному оборудованию</x:v>
      </x:c>
      <x:c r="E452" s="16" t="str">
        <x:v>ШТ</x:v>
      </x:c>
      <x:c r="F452" s="21" t="n">
        <x:v>2</x:v>
      </x:c>
      <x:c r="G452" s="17" t="n">
        <x:v>651.9436</x:v>
      </x:c>
      <x:c r="H452" s="17" t="n">
        <x:f>G452*F452</x:f>
        <x:v>1303.8872</x:v>
      </x:c>
      <x:c r="I452" s="22" t="str">
        <x:f>HYPERLINK("https://etp-aktiv.ru/catalog/materialy/zapasnye-chasti-k-avtotransportnomu-oborudovaniyu/2000979047-U117/","Открыть позицию")</x:f>
        <x:v>Открыть позицию</x:v>
      </x:c>
    </x:row>
    <x:row r="453" ht="28" customHeight="1">
      <x:c r="A453" s="16" t="str">
        <x:v>Приморская ГРЭС</x:v>
      </x:c>
      <x:c r="B453" s="16" t="str">
        <x:v>2000034783-U117</x:v>
      </x:c>
      <x:c r="C453" s="16" t="str">
        <x:v>ПОДШИПНИК ШС-20</x:v>
      </x:c>
      <x:c r="D453" s="16" t="str">
        <x:v>Подшипники</x:v>
      </x:c>
      <x:c r="E453" s="16" t="str">
        <x:v>ШТ</x:v>
      </x:c>
      <x:c r="F453" s="21" t="n">
        <x:v>4</x:v>
      </x:c>
      <x:c r="G453" s="17" t="n">
        <x:v>43.761399999999995</x:v>
      </x:c>
      <x:c r="H453" s="17" t="n">
        <x:f>G453*F453</x:f>
        <x:v>175.04559999999998</x:v>
      </x:c>
      <x:c r="I453" s="22" t="str">
        <x:f>HYPERLINK("https://etp-aktiv.ru/catalog/materialy/podshipniki/2000034783-U117/","Открыть позицию")</x:f>
        <x:v>Открыть позицию</x:v>
      </x:c>
    </x:row>
    <x:row r="454" ht="28" customHeight="1">
      <x:c r="A454" s="16" t="str">
        <x:v>Приморская ГРЭС</x:v>
      </x:c>
      <x:c r="B454" s="16" t="str">
        <x:v>2000167570-U117</x:v>
      </x:c>
      <x:c r="C454" s="16" t="str">
        <x:v>ПОДШИПНИК ШСП 12</x:v>
      </x:c>
      <x:c r="D454" s="16" t="str">
        <x:v>Подшипники</x:v>
      </x:c>
      <x:c r="E454" s="16" t="str">
        <x:v>ШТ</x:v>
      </x:c>
      <x:c r="F454" s="21" t="n">
        <x:v>16</x:v>
      </x:c>
      <x:c r="G454" s="17" t="n">
        <x:v>114.9972</x:v>
      </x:c>
      <x:c r="H454" s="17" t="n">
        <x:f>G454*F454</x:f>
        <x:v>1839.9552</x:v>
      </x:c>
      <x:c r="I454" s="22" t="str">
        <x:f>HYPERLINK("https://etp-aktiv.ru/catalog/materialy/podshipniki/2000167570-U117/","Открыть позицию")</x:f>
        <x:v>Открыть позицию</x:v>
      </x:c>
    </x:row>
    <x:row r="455" ht="28" customHeight="1">
      <x:c r="A455" s="16" t="str">
        <x:v>Приморская ГРЭС</x:v>
      </x:c>
      <x:c r="B455" s="16" t="str">
        <x:v>2000035011-U117</x:v>
      </x:c>
      <x:c r="C455" s="16" t="str">
        <x:v>ПОЛОТНО НОЖОВОЧНОЕ 300</x:v>
      </x:c>
      <x:c r="D455" s="16" t="str">
        <x:v>Инструмент и спецоснастка</x:v>
      </x:c>
      <x:c r="E455" s="16" t="str">
        <x:v>ШТ</x:v>
      </x:c>
      <x:c r="F455" s="21" t="n">
        <x:v>61</x:v>
      </x:c>
      <x:c r="G455" s="17" t="n">
        <x:v>24.5586</x:v>
      </x:c>
      <x:c r="H455" s="17" t="n">
        <x:f>G455*F455</x:f>
        <x:v>1498.0746</x:v>
      </x:c>
      <x:c r="I455" s="22" t="str">
        <x:f>HYPERLINK("https://etp-aktiv.ru/catalog/materialy/instrument-i-specosnastka/2000035011-U117/","Открыть позицию")</x:f>
        <x:v>Открыть позицию</x:v>
      </x:c>
    </x:row>
    <x:row r="456" ht="28" customHeight="1">
      <x:c r="A456" s="16" t="str">
        <x:v>Приморская ГРЭС</x:v>
      </x:c>
      <x:c r="B456" s="16" t="str">
        <x:v>2000476910-U117</x:v>
      </x:c>
      <x:c r="C456" s="16" t="str">
        <x:v>ПОЛОТНО ПО МЕТАЛЛУ SATA 93408</x:v>
      </x:c>
      <x:c r="D456" s="16" t="str">
        <x:v>Инструмент и спецоснастка</x:v>
      </x:c>
      <x:c r="E456" s="16" t="str">
        <x:v>ШТ</x:v>
      </x:c>
      <x:c r="F456" s="21" t="n">
        <x:v>10</x:v>
      </x:c>
      <x:c r="G456" s="17" t="n">
        <x:v>126.27</x:v>
      </x:c>
      <x:c r="H456" s="17" t="n">
        <x:f>G456*F456</x:f>
        <x:v>1262.7</x:v>
      </x:c>
      <x:c r="I456" s="22" t="str">
        <x:f>HYPERLINK("https://etp-aktiv.ru/catalog/materialy/instrument-i-specosnastka/2000476910-U117/","Открыть позицию")</x:f>
        <x:v>Открыть позицию</x:v>
      </x:c>
    </x:row>
    <x:row r="457" ht="28" customHeight="1">
      <x:c r="A457" s="16" t="str">
        <x:v>Приморская ГРЭС</x:v>
      </x:c>
      <x:c r="B457" s="16" t="str">
        <x:v>2000212270-U117</x:v>
      </x:c>
      <x:c r="C457" s="16" t="str">
        <x:v>ПОЛУМУФТА ВЕДОМАЯ 08.02.08.03-016</x:v>
      </x:c>
      <x:c r="D457" s="16" t="str">
        <x:v>Запасные части к гидравлическим насосам</x:v>
      </x:c>
      <x:c r="E457" s="16" t="str">
        <x:v>ШТ</x:v>
      </x:c>
      <x:c r="F457" s="21" t="n">
        <x:v>4</x:v>
      </x:c>
      <x:c r="G457" s="17" t="n">
        <x:v>31123.725</x:v>
      </x:c>
      <x:c r="H457" s="17" t="n">
        <x:f>G457*F457</x:f>
        <x:v>124494.9</x:v>
      </x:c>
      <x:c r="I457" s="22" t="str">
        <x:f>HYPERLINK("https://etp-aktiv.ru/catalog/materialy/nasosno-kompressornoe-oborudovanie/2000212270-U117/","Открыть позицию")</x:f>
        <x:v>Открыть позицию</x:v>
      </x:c>
    </x:row>
    <x:row r="458" ht="28" customHeight="1">
      <x:c r="A458" s="16" t="str">
        <x:v>Приморская ГРЭС</x:v>
      </x:c>
      <x:c r="B458" s="16" t="str">
        <x:v>2000909495-U117</x:v>
      </x:c>
      <x:c r="C458" s="16" t="str">
        <x:v>ПОЛУТЕРОК 120*1200ММ STAYER 0812-12-120</x:v>
      </x:c>
      <x:c r="D458" s="16" t="str">
        <x:v>Инструмент и спецоснастка</x:v>
      </x:c>
      <x:c r="E458" s="16" t="str">
        <x:v>ШТ</x:v>
      </x:c>
      <x:c r="F458" s="21" t="n">
        <x:v>52</x:v>
      </x:c>
      <x:c r="G458" s="17" t="n">
        <x:v>2295.3812</x:v>
      </x:c>
      <x:c r="H458" s="17" t="n">
        <x:f>G458*F458</x:f>
        <x:v>119359.82239999999</x:v>
      </x:c>
      <x:c r="I458" s="22" t="str">
        <x:f>HYPERLINK("https://etp-aktiv.ru/catalog/materialy/instrument-i-specosnastka/2000909495-U117/","Открыть позицию")</x:f>
        <x:v>Открыть позицию</x:v>
      </x:c>
    </x:row>
    <x:row r="459" ht="28" customHeight="1">
      <x:c r="A459" s="16" t="str">
        <x:v>Приморская ГРЭС</x:v>
      </x:c>
      <x:c r="B459" s="16" t="str">
        <x:v>2000572261-U117</x:v>
      </x:c>
      <x:c r="C459" s="16" t="str">
        <x:v>ПОРОШОК КАРБИД БОРА М14 ГОСТ5744-85</x:v>
      </x:c>
      <x:c r="D459" s="16" t="str">
        <x:v>Инструмент и спецоснастка</x:v>
      </x:c>
      <x:c r="E459" s="16" t="str">
        <x:v>КГ</x:v>
      </x:c>
      <x:c r="F459" s="30" t="n">
        <x:v>12.175</x:v>
      </x:c>
      <x:c r="G459" s="17" t="n">
        <x:v>4880</x:v>
      </x:c>
      <x:c r="H459" s="17" t="n">
        <x:f>G459*F459</x:f>
        <x:v>59414</x:v>
      </x:c>
      <x:c r="I459" s="22" t="str">
        <x:f>HYPERLINK("https://etp-aktiv.ru/catalog/materialy/instrument-i-specosnastka/2000572261-U117/","Открыть позицию")</x:f>
        <x:v>Открыть позицию</x:v>
      </x:c>
    </x:row>
    <x:row r="460" ht="28" customHeight="1">
      <x:c r="A460" s="16" t="str">
        <x:v>Приморская ГРЭС</x:v>
      </x:c>
      <x:c r="B460" s="16" t="str">
        <x:v>2000563454-U117</x:v>
      </x:c>
      <x:c r="C460" s="16" t="str">
        <x:v>ПОРОШОК КАРБИД КРЕМН 64С М28-В ГОСТ26327</x:v>
      </x:c>
      <x:c r="D460" s="16" t="str">
        <x:v>Инструмент и спецоснастка</x:v>
      </x:c>
      <x:c r="E460" s="16" t="str">
        <x:v>КГ</x:v>
      </x:c>
      <x:c r="F460" s="30" t="n">
        <x:v>1.9</x:v>
      </x:c>
      <x:c r="G460" s="17" t="n">
        <x:v>6302.6176</x:v>
      </x:c>
      <x:c r="H460" s="17" t="n">
        <x:f>G460*F460</x:f>
        <x:v>11974.973439999998</x:v>
      </x:c>
      <x:c r="I460" s="22" t="str">
        <x:f>HYPERLINK("https://etp-aktiv.ru/catalog/materialy/instrument-i-specosnastka/2000563454-U117/","Открыть позицию")</x:f>
        <x:v>Открыть позицию</x:v>
      </x:c>
    </x:row>
    <x:row r="461" ht="28" customHeight="1">
      <x:c r="A461" s="16" t="str">
        <x:v>Приморская ГРЭС</x:v>
      </x:c>
      <x:c r="B461" s="16" t="str">
        <x:v>2000534452-U117</x:v>
      </x:c>
      <x:c r="C461" s="16" t="str">
        <x:v>ПРОКЛАДКА ЗУБЧАТАЯ 806.27.100.01 ПЭ-500</x:v>
      </x:c>
      <x:c r="D461" s="16" t="str">
        <x:v>Запасные части к энергетическим насосам</x:v>
      </x:c>
      <x:c r="E461" s="16" t="str">
        <x:v>ШТ</x:v>
      </x:c>
      <x:c r="F461" s="21" t="n">
        <x:v>5</x:v>
      </x:c>
      <x:c r="G461" s="17" t="n">
        <x:v>15936.5428</x:v>
      </x:c>
      <x:c r="H461" s="17" t="n">
        <x:f>G461*F461</x:f>
        <x:v>79682.71399999999</x:v>
      </x:c>
      <x:c r="I461" s="22" t="str">
        <x:f>HYPERLINK("https://etp-aktiv.ru/catalog/materialy/zapasnye-chasti-promyshlennogo-oborudovaniya/2000534452-U117/","Открыть позицию")</x:f>
        <x:v>Открыть позицию</x:v>
      </x:c>
    </x:row>
    <x:row r="462" ht="28" customHeight="1">
      <x:c r="A462" s="16" t="str">
        <x:v>Приморская ГРЭС</x:v>
      </x:c>
      <x:c r="B462" s="16" t="str">
        <x:v>2000255847-U117</x:v>
      </x:c>
      <x:c r="C462" s="16" t="str">
        <x:v>ПРОКЛАДКА Н17.183.100.09</x:v>
      </x:c>
      <x:c r="D462" s="16" t="str">
        <x:v>Запасные части к энергетическим насосам</x:v>
      </x:c>
      <x:c r="E462" s="16" t="str">
        <x:v>ШТ</x:v>
      </x:c>
      <x:c r="F462" s="21" t="n">
        <x:v>2</x:v>
      </x:c>
      <x:c r="G462" s="17" t="n">
        <x:v>57274.424999999996</x:v>
      </x:c>
      <x:c r="H462" s="17" t="n">
        <x:f>G462*F462</x:f>
        <x:v>114548.84999999999</x:v>
      </x:c>
      <x:c r="I462" s="22" t="str">
        <x:f>HYPERLINK("https://etp-aktiv.ru/catalog/materialy/zapasnye-chasti-promyshlennogo-oborudovaniya/2000255847-U117/","Открыть позицию")</x:f>
        <x:v>Открыть позицию</x:v>
      </x:c>
    </x:row>
    <x:row r="463" ht="28" customHeight="1">
      <x:c r="A463" s="16" t="str">
        <x:v>Приморская ГРЭС</x:v>
      </x:c>
      <x:c r="B463" s="16" t="str">
        <x:v>2000534459-U117</x:v>
      </x:c>
      <x:c r="C463" s="16" t="str">
        <x:v>ПРОКЛАДКА Н17.183.100.10 ПЭ-580-185-3</x:v>
      </x:c>
      <x:c r="D463" s="16" t="str">
        <x:v>Запасные части к энергетическим насосам</x:v>
      </x:c>
      <x:c r="E463" s="16" t="str">
        <x:v>ШТ</x:v>
      </x:c>
      <x:c r="F463" s="21" t="n">
        <x:v>2</x:v>
      </x:c>
      <x:c r="G463" s="17" t="n">
        <x:v>57274.424999999996</x:v>
      </x:c>
      <x:c r="H463" s="17" t="n">
        <x:f>G463*F463</x:f>
        <x:v>114548.84999999999</x:v>
      </x:c>
      <x:c r="I463" s="22" t="str">
        <x:f>HYPERLINK("https://etp-aktiv.ru/catalog/materialy/zapasnye-chasti-promyshlennogo-oborudovaniya/2000534459-U117/","Открыть позицию")</x:f>
        <x:v>Открыть позицию</x:v>
      </x:c>
    </x:row>
    <x:row r="464" ht="28" customHeight="1">
      <x:c r="A464" s="16" t="str">
        <x:v>Приморская ГРЭС</x:v>
      </x:c>
      <x:c r="B464" s="16" t="str">
        <x:v>2000716180-U117</x:v>
      </x:c>
      <x:c r="C464" s="16" t="str">
        <x:v>ПРОКЛАДКА ПЭ380-185 806.15.100.02</x:v>
      </x:c>
      <x:c r="D464" s="16" t="str">
        <x:v>Запасные части к энергетическим насосам</x:v>
      </x:c>
      <x:c r="E464" s="16" t="str">
        <x:v>ШТ</x:v>
      </x:c>
      <x:c r="F464" s="21" t="n">
        <x:v>1</x:v>
      </x:c>
      <x:c r="G464" s="17" t="n">
        <x:v>19897.285</x:v>
      </x:c>
      <x:c r="H464" s="17" t="n">
        <x:f>G464*F464</x:f>
        <x:v>19897.285</x:v>
      </x:c>
      <x:c r="I464" s="22" t="str">
        <x:f>HYPERLINK("https://etp-aktiv.ru/catalog/materialy/zapasnye-chasti-promyshlennogo-oborudovaniya/2000716180-U117/","Открыть позицию")</x:f>
        <x:v>Открыть позицию</x:v>
      </x:c>
    </x:row>
    <x:row r="465" ht="28" customHeight="1">
      <x:c r="A465" s="16" t="str">
        <x:v>Приморская ГРЭС</x:v>
      </x:c>
      <x:c r="B465" s="16" t="str">
        <x:v>2000534474-U117</x:v>
      </x:c>
      <x:c r="C465" s="16" t="str">
        <x:v>ПЯТА 0603.40.3141.0001 НАСОСА НАМШ8-25</x:v>
      </x:c>
      <x:c r="D465" s="16" t="str">
        <x:v>Запасные части к энергетическим насосам</x:v>
      </x:c>
      <x:c r="E465" s="16" t="str">
        <x:v>ШТ</x:v>
      </x:c>
      <x:c r="F465" s="21" t="n">
        <x:v>26</x:v>
      </x:c>
      <x:c r="G465" s="17" t="n">
        <x:v>901.5556</x:v>
      </x:c>
      <x:c r="H465" s="17" t="n">
        <x:f>G465*F465</x:f>
        <x:v>23440.4456</x:v>
      </x:c>
      <x:c r="I465" s="22" t="str">
        <x:f>HYPERLINK("https://etp-aktiv.ru/catalog/materialy/zapasnye-chasti-promyshlennogo-oborudovaniya/2000534474-U117/","Открыть позицию")</x:f>
        <x:v>Открыть позицию</x:v>
      </x:c>
    </x:row>
    <x:row r="466" ht="28" customHeight="1">
      <x:c r="A466" s="16" t="str">
        <x:v>Приморская ГРЭС</x:v>
      </x:c>
      <x:c r="B466" s="16" t="str">
        <x:v>2000010403-U117</x:v>
      </x:c>
      <x:c r="C466" s="16" t="str">
        <x:v>РОЛИК 159*1800 МЕТАЛЛ</x:v>
      </x:c>
      <x:c r="D466" s="16" t="str">
        <x:v>Ролики конвейерные</x:v>
      </x:c>
      <x:c r="E466" s="16" t="str">
        <x:v>ШТ</x:v>
      </x:c>
      <x:c r="F466" s="21" t="n">
        <x:v>10</x:v>
      </x:c>
      <x:c r="G466" s="17" t="n">
        <x:v>3485.7961999999998</x:v>
      </x:c>
      <x:c r="H466" s="17" t="n">
        <x:f>G466*F466</x:f>
        <x:v>34857.962</x:v>
      </x:c>
      <x:c r="I466" s="22" t="str">
        <x:f>HYPERLINK("https://etp-aktiv.ru/catalog/materialy/zapasnye-chasti-k-gorno-shahtnomu-oborudovaniyu/2000010403-U117/","Открыть позицию")</x:f>
        <x:v>Открыть позицию</x:v>
      </x:c>
    </x:row>
    <x:row r="467" ht="28" customHeight="1">
      <x:c r="A467" s="16" t="str">
        <x:v>Приморская ГРЭС</x:v>
      </x:c>
      <x:c r="B467" s="16" t="str">
        <x:v>2000963897-U117</x:v>
      </x:c>
      <x:c r="C467" s="16" t="str">
        <x:v>РОЛИК 219*1600 МЕТАЛЛ Т-3875.00.00 СБ</x:v>
      </x:c>
      <x:c r="D467" s="16" t="str">
        <x:v>Ролики конвейерные</x:v>
      </x:c>
      <x:c r="E467" s="16" t="str">
        <x:v>ШТ</x:v>
      </x:c>
      <x:c r="F467" s="21" t="n">
        <x:v>32</x:v>
      </x:c>
      <x:c r="G467" s="17" t="n">
        <x:v>8799.9088</x:v>
      </x:c>
      <x:c r="H467" s="17" t="n">
        <x:f>G467*F467</x:f>
        <x:v>281597.0816</x:v>
      </x:c>
      <x:c r="I467" s="22" t="str">
        <x:f>HYPERLINK("https://etp-aktiv.ru/catalog/materialy/zapasnye-chasti-k-gorno-shahtnomu-oborudovaniyu/2000963897-U117/","Открыть позицию")</x:f>
        <x:v>Открыть позицию</x:v>
      </x:c>
    </x:row>
    <x:row r="468" ht="28" customHeight="1">
      <x:c r="A468" s="16" t="str">
        <x:v>Приморская ГРЭС</x:v>
      </x:c>
      <x:c r="B468" s="16" t="str">
        <x:v>2000722273-U117</x:v>
      </x:c>
      <x:c r="C468" s="16" t="str">
        <x:v>РОЛИК ОПОРНЫЙ 29.083.038.005</x:v>
      </x:c>
      <x:c r="D468" s="16" t="str">
        <x:v>Запасные части к обогатительному оборудованию</x:v>
      </x:c>
      <x:c r="E468" s="16" t="str">
        <x:v>ШТ</x:v>
      </x:c>
      <x:c r="F468" s="21" t="n">
        <x:v>6</x:v>
      </x:c>
      <x:c r="G468" s="17" t="n">
        <x:v>31338.286399999997</x:v>
      </x:c>
      <x:c r="H468" s="17" t="n">
        <x:f>G468*F468</x:f>
        <x:v>188029.71839999998</x:v>
      </x:c>
      <x:c r="I468" s="22" t="str">
        <x:f>HYPERLINK("https://etp-aktiv.ru/catalog/materialy/zapasnye-chasti-k-drobilno-sortirovochnomu-oborudovaniyu/2000722273-U117/","Открыть позицию")</x:f>
        <x:v>Открыть позицию</x:v>
      </x:c>
    </x:row>
    <x:row r="469" ht="28" customHeight="1">
      <x:c r="A469" s="16" t="str">
        <x:v>Приморская ГРЭС</x:v>
      </x:c>
      <x:c r="B469" s="16" t="str">
        <x:v>2000617617-U117</x:v>
      </x:c>
      <x:c r="C469" s="16" t="str">
        <x:v>РОЛИКООПОРА ЖЦГ 140-159-30 ГОСТ22645-7</x:v>
      </x:c>
      <x:c r="D469" s="16" t="str">
        <x:v>Запасные части к конвейерам поверхностным</x:v>
      </x:c>
      <x:c r="E469" s="16" t="str">
        <x:v>ШТ</x:v>
      </x:c>
      <x:c r="F469" s="21" t="n">
        <x:v>10</x:v>
      </x:c>
      <x:c r="G469" s="17" t="n">
        <x:v>19661.3248</x:v>
      </x:c>
      <x:c r="H469" s="17" t="n">
        <x:f>G469*F469</x:f>
        <x:v>196613.248</x:v>
      </x:c>
      <x:c r="I469" s="22" t="str">
        <x:f>HYPERLINK("https://etp-aktiv.ru/catalog/materialy/zapasnye-chasti-k-drobilno-sortirovochnomu-oborudovaniyu/2000617617-U117/","Открыть позицию")</x:f>
        <x:v>Открыть позицию</x:v>
      </x:c>
    </x:row>
    <x:row r="470" ht="28" customHeight="1">
      <x:c r="A470" s="16" t="str">
        <x:v>Приморская ГРЭС</x:v>
      </x:c>
      <x:c r="B470" s="16" t="str">
        <x:v>2000142308-U117</x:v>
      </x:c>
      <x:c r="C470" s="16" t="str">
        <x:v>РУБАШКА 806.15.101.03Р</x:v>
      </x:c>
      <x:c r="D470" s="16" t="str">
        <x:v>Запасные части к энергетическим насосам</x:v>
      </x:c>
      <x:c r="E470" s="16" t="str">
        <x:v>ШТ</x:v>
      </x:c>
      <x:c r="F470" s="21" t="n">
        <x:v>1</x:v>
      </x:c>
      <x:c r="G470" s="17" t="n">
        <x:v>19520</x:v>
      </x:c>
      <x:c r="H470" s="17" t="n">
        <x:f>G470*F470</x:f>
        <x:v>19520</x:v>
      </x:c>
      <x:c r="I470" s="22" t="str">
        <x:f>HYPERLINK("https://etp-aktiv.ru/catalog/materialy/zapasnye-chasti-promyshlennogo-oborudovaniya/2000142308-U117/","Открыть позицию")</x:f>
        <x:v>Открыть позицию</x:v>
      </x:c>
    </x:row>
    <x:row r="471" ht="28" customHeight="1">
      <x:c r="A471" s="16" t="str">
        <x:v>Приморская ГРЭС</x:v>
      </x:c>
      <x:c r="B471" s="16" t="str">
        <x:v>2000534506-U117</x:v>
      </x:c>
      <x:c r="C471" s="16" t="str">
        <x:v>РУБАШКА ЗАД Н17.59.101.05Р ПЭ580-185/200</x:v>
      </x:c>
      <x:c r="D471" s="16" t="str">
        <x:v>Запасные части к энергетическим насосам</x:v>
      </x:c>
      <x:c r="E471" s="16" t="str">
        <x:v>ШТ</x:v>
      </x:c>
      <x:c r="F471" s="21" t="n">
        <x:v>3</x:v>
      </x:c>
      <x:c r="G471" s="17" t="n">
        <x:v>11083.443800000001</x:v>
      </x:c>
      <x:c r="H471" s="17" t="n">
        <x:f>G471*F471</x:f>
        <x:v>33250.3314</x:v>
      </x:c>
      <x:c r="I471" s="22" t="str">
        <x:f>HYPERLINK("https://etp-aktiv.ru/catalog/materialy/zapasnye-chasti-promyshlennogo-oborudovaniya/2000534506-U117/","Открыть позицию")</x:f>
        <x:v>Открыть позицию</x:v>
      </x:c>
    </x:row>
    <x:row r="472" ht="28" customHeight="1">
      <x:c r="A472" s="16" t="str">
        <x:v>Приморская ГРЭС</x:v>
      </x:c>
      <x:c r="B472" s="16" t="str">
        <x:v>2000534503-U117</x:v>
      </x:c>
      <x:c r="C472" s="16" t="str">
        <x:v>РУБАШКА ЗАДНЯЯ 5М-01-12В ПЭ270-150</x:v>
      </x:c>
      <x:c r="D472" s="16" t="str">
        <x:v>Запасные части к энергетическим насосам</x:v>
      </x:c>
      <x:c r="E472" s="16" t="str">
        <x:v>ШТ</x:v>
      </x:c>
      <x:c r="F472" s="21" t="n">
        <x:v>5</x:v>
      </x:c>
      <x:c r="G472" s="17" t="n">
        <x:v>19536.714</x:v>
      </x:c>
      <x:c r="H472" s="17" t="n">
        <x:f>G472*F472</x:f>
        <x:v>97683.57</x:v>
      </x:c>
      <x:c r="I472" s="22" t="str">
        <x:f>HYPERLINK("https://etp-aktiv.ru/catalog/materialy/zapasnye-chasti-promyshlennogo-oborudovaniya/2000534503-U117/","Открыть позицию")</x:f>
        <x:v>Открыть позицию</x:v>
      </x:c>
    </x:row>
    <x:row r="473" ht="28" customHeight="1">
      <x:c r="A473" s="16" t="str">
        <x:v>Приморская ГРЭС</x:v>
      </x:c>
      <x:c r="B473" s="16" t="str">
        <x:v>2000534512-U117</x:v>
      </x:c>
      <x:c r="C473" s="16" t="str">
        <x:v>РУБАШКА ПЕРЕДНЯЯ 5М-01-09В ПЭ270-150</x:v>
      </x:c>
      <x:c r="D473" s="16" t="str">
        <x:v>Запасные части к энергетическим насосам</x:v>
      </x:c>
      <x:c r="E473" s="16" t="str">
        <x:v>ШТ</x:v>
      </x:c>
      <x:c r="F473" s="21" t="n">
        <x:v>1</x:v>
      </x:c>
      <x:c r="G473" s="17" t="n">
        <x:v>18949.7964</x:v>
      </x:c>
      <x:c r="H473" s="17" t="n">
        <x:f>G473*F473</x:f>
        <x:v>18949.7964</x:v>
      </x:c>
      <x:c r="I473" s="22" t="str">
        <x:f>HYPERLINK("https://etp-aktiv.ru/catalog/materialy/zapasnye-chasti-promyshlennogo-oborudovaniya/2000534512-U117/","Открыть позицию")</x:f>
        <x:v>Открыть позицию</x:v>
      </x:c>
    </x:row>
    <x:row r="474" ht="28" customHeight="1">
      <x:c r="A474" s="16" t="str">
        <x:v>Приморская ГРЭС</x:v>
      </x:c>
      <x:c r="B474" s="16" t="str">
        <x:v>2000650924-U117</x:v>
      </x:c>
      <x:c r="C474" s="16" t="str">
        <x:v>РУКОЯТКА Д/НАПИЛЬНИКА WURTH 0714.61.624</x:v>
      </x:c>
      <x:c r="D474" s="16" t="str">
        <x:v>Инструмент и спецоснастка специализированные, нестандартные</x:v>
      </x:c>
      <x:c r="E474" s="16" t="str">
        <x:v>ШТ</x:v>
      </x:c>
      <x:c r="F474" s="21" t="n">
        <x:v>19</x:v>
      </x:c>
      <x:c r="G474" s="17" t="n">
        <x:v>15.616</x:v>
      </x:c>
      <x:c r="H474" s="17" t="n">
        <x:f>G474*F474</x:f>
        <x:v>296.704</x:v>
      </x:c>
      <x:c r="I474" s="22" t="str">
        <x:f>HYPERLINK("https://etp-aktiv.ru/catalog/materialy/instrument-i-specosnastka/2000650924-U117/","Открыть позицию")</x:f>
        <x:v>Открыть позицию</x:v>
      </x:c>
    </x:row>
    <x:row r="475" ht="28" customHeight="1">
      <x:c r="A475" s="16" t="str">
        <x:v>Приморская ГРЭС</x:v>
      </x:c>
      <x:c r="B475" s="16" t="str">
        <x:v>2000724608-U117</x:v>
      </x:c>
      <x:c r="C475" s="16" t="str">
        <x:v>САЛАЗКА ОПОРНАЯ СТОЛА 29.083.065</x:v>
      </x:c>
      <x:c r="D475" s="16" t="str">
        <x:v>Запасные части к обогатительному оборудованию</x:v>
      </x:c>
      <x:c r="E475" s="16" t="str">
        <x:v>ШТ</x:v>
      </x:c>
      <x:c r="F475" s="21" t="n">
        <x:v>5</x:v>
      </x:c>
      <x:c r="G475" s="17" t="n">
        <x:v>35868</x:v>
      </x:c>
      <x:c r="H475" s="17" t="n">
        <x:f>G475*F475</x:f>
        <x:v>179340</x:v>
      </x:c>
      <x:c r="I475" s="22" t="str">
        <x:f>HYPERLINK("https://etp-aktiv.ru/catalog/materialy/zapasnye-chasti-k-drobilno-sortirovochnomu-oborudovaniyu/2000724608-U117/","Открыть позицию")</x:f>
        <x:v>Открыть позицию</x:v>
      </x:c>
    </x:row>
    <x:row r="476" ht="28" customHeight="1">
      <x:c r="A476" s="16" t="str">
        <x:v>Приморская ГРЭС</x:v>
      </x:c>
      <x:c r="B476" s="16" t="str">
        <x:v>2000393387-U117</x:v>
      </x:c>
      <x:c r="C476" s="16" t="str">
        <x:v>СВЕРЛО 12,1*151ММ Ц/ХВ</x:v>
      </x:c>
      <x:c r="D476" s="16" t="str">
        <x:v>Инструмент и спецоснастка</x:v>
      </x:c>
      <x:c r="E476" s="16" t="str">
        <x:v>ШТ</x:v>
      </x:c>
      <x:c r="F476" s="21" t="n">
        <x:v>2</x:v>
      </x:c>
      <x:c r="G476" s="17" t="n">
        <x:v>92.8176</x:v>
      </x:c>
      <x:c r="H476" s="17" t="n">
        <x:f>G476*F476</x:f>
        <x:v>185.6352</x:v>
      </x:c>
      <x:c r="I476" s="22" t="str">
        <x:f>HYPERLINK("https://etp-aktiv.ru/catalog/materialy/instrument-i-specosnastka/2000393387-U117/","Открыть позицию")</x:f>
        <x:v>Открыть позицию</x:v>
      </x:c>
    </x:row>
    <x:row r="477" ht="28" customHeight="1">
      <x:c r="A477" s="16" t="str">
        <x:v>Приморская ГРЭС</x:v>
      </x:c>
      <x:c r="B477" s="16" t="str">
        <x:v>2000285413-U117</x:v>
      </x:c>
      <x:c r="C477" s="16" t="str">
        <x:v>СВЕРЛО 9,5*81ММ К/ХВ</x:v>
      </x:c>
      <x:c r="D477" s="16" t="str">
        <x:v>Инструмент и спецоснастка</x:v>
      </x:c>
      <x:c r="E477" s="16" t="str">
        <x:v>ШТ</x:v>
      </x:c>
      <x:c r="F477" s="21" t="n">
        <x:v>84</x:v>
      </x:c>
      <x:c r="G477" s="17" t="n">
        <x:v>35.197</x:v>
      </x:c>
      <x:c r="H477" s="17" t="n">
        <x:f>G477*F477</x:f>
        <x:v>2956.5480000000002</x:v>
      </x:c>
      <x:c r="I477" s="22" t="str">
        <x:f>HYPERLINK("https://etp-aktiv.ru/catalog/materialy/instrument-i-specosnastka/2000285413-U117/","Открыть позицию")</x:f>
        <x:v>Открыть позицию</x:v>
      </x:c>
    </x:row>
    <x:row r="478" ht="28" customHeight="1">
      <x:c r="A478" s="16" t="str">
        <x:v>Приморская ГРЭС</x:v>
      </x:c>
      <x:c r="B478" s="16" t="str">
        <x:v>2000040110-U117</x:v>
      </x:c>
      <x:c r="C478" s="16" t="str">
        <x:v>СЕКЦИЯ ТОПЛИВНОГО НАСОСА Д50.27.101СБ</x:v>
      </x:c>
      <x:c r="D478" s="16" t="str">
        <x:v>Запасные части к локомотивам</x:v>
      </x:c>
      <x:c r="E478" s="16" t="str">
        <x:v>ШТ</x:v>
      </x:c>
      <x:c r="F478" s="21" t="n">
        <x:v>8</x:v>
      </x:c>
      <x:c r="G478" s="17" t="n">
        <x:v>12804.998</x:v>
      </x:c>
      <x:c r="H478" s="17" t="n">
        <x:f>G478*F478</x:f>
        <x:v>102439.984</x:v>
      </x:c>
      <x:c r="I478" s="22" t="str">
        <x:f>HYPERLINK("https://etp-aktiv.ru/catalog/materialy/zapasnye-chasti-k-zhd-oborudovaniyu-i-podvizhnomu-sostavu/2000040110-U117/","Открыть позицию")</x:f>
        <x:v>Открыть позицию</x:v>
      </x:c>
    </x:row>
    <x:row r="479" ht="28" customHeight="1">
      <x:c r="A479" s="16" t="str">
        <x:v>Приморская ГРЭС</x:v>
      </x:c>
      <x:c r="B479" s="16" t="str">
        <x:v>2000726122-U117</x:v>
      </x:c>
      <x:c r="C479" s="16" t="str">
        <x:v>СОЕДИНИТЕЛЬ ЛЕНТ U38+ 1400/3500-15-18 СК</x:v>
      </x:c>
      <x:c r="D479" s="16" t="str">
        <x:v>Соединители транспортёрных лент</x:v>
      </x:c>
      <x:c r="E479" s="16" t="str">
        <x:v>ШТ</x:v>
      </x:c>
      <x:c r="F479" s="21" t="n">
        <x:v>22</x:v>
      </x:c>
      <x:c r="G479" s="17" t="n">
        <x:v>62193.1356</x:v>
      </x:c>
      <x:c r="H479" s="17" t="n">
        <x:f>G479*F479</x:f>
        <x:v>1368248.9832000001</x:v>
      </x:c>
      <x:c r="I479" s="22" t="str">
        <x:f>HYPERLINK("https://etp-aktiv.ru/catalog/materialy/lenta-transporternaya/2000726122-U117/","Открыть позицию")</x:f>
        <x:v>Открыть позицию</x:v>
      </x:c>
    </x:row>
    <x:row r="480" ht="28" customHeight="1">
      <x:c r="A480" s="16" t="str">
        <x:v>Приморская ГРЭС</x:v>
      </x:c>
      <x:c r="B480" s="16" t="str">
        <x:v>2000534539-U117</x:v>
      </x:c>
      <x:c r="C480" s="16" t="str">
        <x:v>СТАКАН ПОДШИП Н18.39.10.02 КСВ 500-150</x:v>
      </x:c>
      <x:c r="D480" s="16" t="str">
        <x:v>Запасные части к энергетическим насосам</x:v>
      </x:c>
      <x:c r="E480" s="16" t="str">
        <x:v>ШТ</x:v>
      </x:c>
      <x:c r="F480" s="21" t="n">
        <x:v>3</x:v>
      </x:c>
      <x:c r="G480" s="17" t="n">
        <x:v>21676.35</x:v>
      </x:c>
      <x:c r="H480" s="17" t="n">
        <x:f>G480*F480</x:f>
        <x:v>65029.049999999996</x:v>
      </x:c>
      <x:c r="I480" s="22" t="str">
        <x:f>HYPERLINK("https://etp-aktiv.ru/catalog/materialy/zapasnye-chasti-promyshlennogo-oborudovaniya/2000534539-U117/","Открыть позицию")</x:f>
        <x:v>Открыть позицию</x:v>
      </x:c>
    </x:row>
    <x:row r="481" ht="28" customHeight="1">
      <x:c r="A481" s="16" t="str">
        <x:v>Приморская ГРЭС</x:v>
      </x:c>
      <x:c r="B481" s="16" t="str">
        <x:v>2000011184-U117</x:v>
      </x:c>
      <x:c r="C481" s="16" t="str">
        <x:v>СТЕРЖЕНЬ СОЕДИНИТЕЛЬНЫЙ P4S/1600</x:v>
      </x:c>
      <x:c r="D481" s="16" t="str">
        <x:v>Соединители транспортёрных лент</x:v>
      </x:c>
      <x:c r="E481" s="16" t="str">
        <x:v>ШТ</x:v>
      </x:c>
      <x:c r="F481" s="21" t="n">
        <x:v>17</x:v>
      </x:c>
      <x:c r="G481" s="17" t="n">
        <x:v>9125.6</x:v>
      </x:c>
      <x:c r="H481" s="17" t="n">
        <x:f>G481*F481</x:f>
        <x:v>155135.2</x:v>
      </x:c>
      <x:c r="I481" s="22" t="str">
        <x:f>HYPERLINK("https://etp-aktiv.ru/catalog/materialy/lenta-transporternaya/2000011184-U117/","Открыть позицию")</x:f>
        <x:v>Открыть позицию</x:v>
      </x:c>
    </x:row>
    <x:row r="482" ht="28" customHeight="1">
      <x:c r="A482" s="16" t="str">
        <x:v>Приморская ГРЭС</x:v>
      </x:c>
      <x:c r="B482" s="16" t="str">
        <x:v>2000486732-U117</x:v>
      </x:c>
      <x:c r="C482" s="16" t="str">
        <x:v>СТРЕМЯНКА ДИЭЛЕКТРИЧЕСКАЯ ССС-2,2-Ф40П</x:v>
      </x:c>
      <x:c r="D482" s="16" t="str">
        <x:v>Инструмент и спецоснастка</x:v>
      </x:c>
      <x:c r="E482" s="16" t="str">
        <x:v>ШТ</x:v>
      </x:c>
      <x:c r="F482" s="21" t="n">
        <x:v>1</x:v>
      </x:c>
      <x:c r="G482" s="17" t="n">
        <x:v>10388.3</x:v>
      </x:c>
      <x:c r="H482" s="17" t="n">
        <x:f>G482*F482</x:f>
        <x:v>10388.3</x:v>
      </x:c>
      <x:c r="I482" s="22" t="str">
        <x:f>HYPERLINK("https://etp-aktiv.ru/catalog/materialy/instrument-i-specosnastka/2000486732-U117/","Открыть позицию")</x:f>
        <x:v>Открыть позицию</x:v>
      </x:c>
    </x:row>
    <x:row r="483" ht="28" customHeight="1">
      <x:c r="A483" s="16" t="str">
        <x:v>Приморская ГРЭС</x:v>
      </x:c>
      <x:c r="B483" s="16" t="str">
        <x:v>2000930815-U117</x:v>
      </x:c>
      <x:c r="C483" s="16" t="str">
        <x:v>СТРОП СТП-1-1000</x:v>
      </x:c>
      <x:c r="D483" s="16" t="str">
        <x:v>Такелажные изделия</x:v>
      </x:c>
      <x:c r="E483" s="16" t="str">
        <x:v>ШТ</x:v>
      </x:c>
      <x:c r="F483" s="21" t="n">
        <x:v>1</x:v>
      </x:c>
      <x:c r="G483" s="17" t="n">
        <x:v>86.498</x:v>
      </x:c>
      <x:c r="H483" s="17" t="n">
        <x:f>G483*F483</x:f>
        <x:v>86.498</x:v>
      </x:c>
      <x:c r="I483" s="22" t="str">
        <x:f>HYPERLINK("https://etp-aktiv.ru/catalog/materialy/zapasnye-chasti-k-gruzopodemnoj-tekhnike-oborudovaniyu-i-mekhanizmam/2000930815-U117/","Открыть позицию")</x:f>
        <x:v>Открыть позицию</x:v>
      </x:c>
    </x:row>
    <x:row r="484" ht="28" customHeight="1">
      <x:c r="A484" s="16" t="str">
        <x:v>Приморская ГРЭС</x:v>
      </x:c>
      <x:c r="B484" s="16" t="str">
        <x:v>2000482987-U117</x:v>
      </x:c>
      <x:c r="C484" s="16" t="str">
        <x:v>СЪЕМНИК ГИДРАВЛИЧЕСКИЙ ТЕХРИМ СГА 12</x:v>
      </x:c>
      <x:c r="D484" s="16" t="str">
        <x:v>Инструмент и спецоснастка</x:v>
      </x:c>
      <x:c r="E484" s="16" t="str">
        <x:v>ШТ</x:v>
      </x:c>
      <x:c r="F484" s="21" t="n">
        <x:v>2</x:v>
      </x:c>
      <x:c r="G484" s="17" t="n">
        <x:v>19478.7762</x:v>
      </x:c>
      <x:c r="H484" s="17" t="n">
        <x:f>G484*F484</x:f>
        <x:v>38957.5524</x:v>
      </x:c>
      <x:c r="I484" s="22" t="str">
        <x:f>HYPERLINK("https://etp-aktiv.ru/catalog/materialy/instrument-i-specosnastka/2000482987-U117/","Открыть позицию")</x:f>
        <x:v>Открыть позицию</x:v>
      </x:c>
    </x:row>
    <x:row r="485" ht="28" customHeight="1">
      <x:c r="A485" s="16" t="str">
        <x:v>Приморская ГРЭС</x:v>
      </x:c>
      <x:c r="B485" s="16" t="str">
        <x:v>2000563973-U117</x:v>
      </x:c>
      <x:c r="C485" s="16" t="str">
        <x:v>ТАЛРЕП КРЮК-КРЮК М12 DIN1480</x:v>
      </x:c>
      <x:c r="D485" s="16" t="str">
        <x:v>Запасные части к грузоподъемной технике, оборудованию и меха</x:v>
      </x:c>
      <x:c r="E485" s="16" t="str">
        <x:v>ШТ</x:v>
      </x:c>
      <x:c r="F485" s="21" t="n">
        <x:v>104</x:v>
      </x:c>
      <x:c r="G485" s="17" t="n">
        <x:v>130.0032</x:v>
      </x:c>
      <x:c r="H485" s="17" t="n">
        <x:f>G485*F485</x:f>
        <x:v>13520.3328</x:v>
      </x:c>
      <x:c r="I485" s="22" t="str">
        <x:f>HYPERLINK("https://etp-aktiv.ru/catalog/materialy/zapasnye-chasti-k-gruzopodemnoj-tekhnike-oborudovaniyu-i-mekhanizmam/2000563973-U117/","Открыть позицию")</x:f>
        <x:v>Открыть позицию</x:v>
      </x:c>
    </x:row>
    <x:row r="486" ht="28" customHeight="1">
      <x:c r="A486" s="16" t="str">
        <x:v>Приморская ГРЭС</x:v>
      </x:c>
      <x:c r="B486" s="16" t="str">
        <x:v>2001091333-U117</x:v>
      </x:c>
      <x:c r="C486" s="16" t="str">
        <x:v>ТЕЛЕЖКА Д/БАЛЛОНОВ RUSKLAD КП 2</x:v>
      </x:c>
      <x:c r="D486" s="16" t="str">
        <x:v>Инструмент и спецоснастка</x:v>
      </x:c>
      <x:c r="E486" s="16" t="str">
        <x:v>ШТ</x:v>
      </x:c>
      <x:c r="F486" s="21" t="n">
        <x:v>3</x:v>
      </x:c>
      <x:c r="G486" s="17" t="n">
        <x:v>10110.8354</x:v>
      </x:c>
      <x:c r="H486" s="17" t="n">
        <x:f>G486*F486</x:f>
        <x:v>30332.5062</x:v>
      </x:c>
      <x:c r="I486" s="22" t="str">
        <x:f>HYPERLINK("https://etp-aktiv.ru/catalog/materialy/instrument-i-specosnastka/2001091333-U117/","Открыть позицию")</x:f>
        <x:v>Открыть позицию</x:v>
      </x:c>
    </x:row>
    <x:row r="487" ht="28" customHeight="1">
      <x:c r="A487" s="16" t="str">
        <x:v>Приморская ГРЭС</x:v>
      </x:c>
      <x:c r="B487" s="16" t="str">
        <x:v>2000717934-U117</x:v>
      </x:c>
      <x:c r="C487" s="16" t="str">
        <x:v>ТЕЛЕЖКА Д/ТАЛИ GCL610 ГП2Т 9М</x:v>
      </x:c>
      <x:c r="D487" s="16" t="str">
        <x:v>Запасные части к грузоподъемной технике, оборудованию и меха</x:v>
      </x:c>
      <x:c r="E487" s="16" t="str">
        <x:v>ШТ</x:v>
      </x:c>
      <x:c r="F487" s="21" t="n">
        <x:v>1</x:v>
      </x:c>
      <x:c r="G487" s="17" t="n">
        <x:v>5341.5016</x:v>
      </x:c>
      <x:c r="H487" s="17" t="n">
        <x:f>G487*F487</x:f>
        <x:v>5341.5016</x:v>
      </x:c>
      <x:c r="I487" s="22" t="str">
        <x:f>HYPERLINK("https://etp-aktiv.ru/catalog/materialy/zapasnye-chasti-k-gruzopodemnoj-tekhnike-oborudovaniyu-i-mekhanizmam/2000717934-U117/","Открыть позицию")</x:f>
        <x:v>Открыть позицию</x:v>
      </x:c>
    </x:row>
    <x:row r="488" ht="28" customHeight="1">
      <x:c r="A488" s="16" t="str">
        <x:v>Приморская ГРЭС</x:v>
      </x:c>
      <x:c r="B488" s="16" t="str">
        <x:v>2000717935-U117</x:v>
      </x:c>
      <x:c r="C488" s="16" t="str">
        <x:v>ТЕЛЕЖКА Д/ТАЛИ GCL610 ГП3Т 9М</x:v>
      </x:c>
      <x:c r="D488" s="16" t="str">
        <x:v>Запасные части к грузоподъемной технике, оборудованию и меха</x:v>
      </x:c>
      <x:c r="E488" s="16" t="str">
        <x:v>ШТ</x:v>
      </x:c>
      <x:c r="F488" s="21" t="n">
        <x:v>1</x:v>
      </x:c>
      <x:c r="G488" s="17" t="n">
        <x:v>7175.161599999999</x:v>
      </x:c>
      <x:c r="H488" s="17" t="n">
        <x:f>G488*F488</x:f>
        <x:v>7175.161599999999</x:v>
      </x:c>
      <x:c r="I488" s="22" t="str">
        <x:f>HYPERLINK("https://etp-aktiv.ru/catalog/materialy/zapasnye-chasti-k-gruzopodemnoj-tekhnike-oborudovaniyu-i-mekhanizmam/2000717935-U117/","Открыть позицию")</x:f>
        <x:v>Открыть позицию</x:v>
      </x:c>
    </x:row>
    <x:row r="489" ht="28" customHeight="1">
      <x:c r="A489" s="16" t="str">
        <x:v>Приморская ГРЭС</x:v>
      </x:c>
      <x:c r="B489" s="16" t="str">
        <x:v>2000717936-U117</x:v>
      </x:c>
      <x:c r="C489" s="16" t="str">
        <x:v>ТЕЛЕЖКА Д/ТАЛИ GCL610 ГП5Т 9М</x:v>
      </x:c>
      <x:c r="D489" s="16" t="str">
        <x:v>Запасные части к грузоподъемной технике, оборудованию и меха</x:v>
      </x:c>
      <x:c r="E489" s="16" t="str">
        <x:v>ШТ</x:v>
      </x:c>
      <x:c r="F489" s="21" t="n">
        <x:v>1</x:v>
      </x:c>
      <x:c r="G489" s="17" t="n">
        <x:v>11639.7028</x:v>
      </x:c>
      <x:c r="H489" s="17" t="n">
        <x:f>G489*F489</x:f>
        <x:v>11639.7028</x:v>
      </x:c>
      <x:c r="I489" s="22" t="str">
        <x:f>HYPERLINK("https://etp-aktiv.ru/catalog/materialy/zapasnye-chasti-k-gruzopodemnoj-tekhnike-oborudovaniyu-i-mekhanizmam/2000717936-U117/","Открыть позицию")</x:f>
        <x:v>Открыть позицию</x:v>
      </x:c>
    </x:row>
    <x:row r="490" ht="28" customHeight="1">
      <x:c r="A490" s="16" t="str">
        <x:v>Приморская ГРЭС</x:v>
      </x:c>
      <x:c r="B490" s="16" t="str">
        <x:v>2000240735-U117</x:v>
      </x:c>
      <x:c r="C490" s="16" t="str">
        <x:v>ТОПОРИЩЕ 20951-S</x:v>
      </x:c>
      <x:c r="D490" s="16" t="str">
        <x:v>Инструмент и спецоснастка</x:v>
      </x:c>
      <x:c r="E490" s="16" t="str">
        <x:v>ШТ</x:v>
      </x:c>
      <x:c r="F490" s="21" t="n">
        <x:v>15</x:v>
      </x:c>
      <x:c r="G490" s="17" t="n">
        <x:v>114.9972</x:v>
      </x:c>
      <x:c r="H490" s="17" t="n">
        <x:f>G490*F490</x:f>
        <x:v>1724.958</x:v>
      </x:c>
      <x:c r="I490" s="22" t="str">
        <x:f>HYPERLINK("https://etp-aktiv.ru/catalog/materialy/instrument-i-specosnastka/2000240735-U117/","Открыть позицию")</x:f>
        <x:v>Открыть позицию</x:v>
      </x:c>
    </x:row>
    <x:row r="491" ht="28" customHeight="1">
      <x:c r="A491" s="16" t="str">
        <x:v>Приморская ГРЭС</x:v>
      </x:c>
      <x:c r="B491" s="16" t="str">
        <x:v>2001010470-U117</x:v>
      </x:c>
      <x:c r="C491" s="16" t="str">
        <x:v>ТОРМОЗ КОЛОДОЧНЫЙ ТКГ-300 С ТЭ-50</x:v>
      </x:c>
      <x:c r="D491" s="16" t="str">
        <x:v>Запасные части к грузоподъемной технике, оборудованию и меха</x:v>
      </x:c>
      <x:c r="E491" s="16" t="str">
        <x:v>КМП</x:v>
      </x:c>
      <x:c r="F491" s="21" t="n">
        <x:v>2</x:v>
      </x:c>
      <x:c r="G491" s="17" t="n">
        <x:v>38662.349</x:v>
      </x:c>
      <x:c r="H491" s="17" t="n">
        <x:f>G491*F491</x:f>
        <x:v>77324.698</x:v>
      </x:c>
      <x:c r="I491" s="22" t="str">
        <x:f>HYPERLINK("https://etp-aktiv.ru/catalog/materialy/zapasnye-chasti-k-gruzopodemnoj-tekhnike-oborudovaniyu-i-mekhanizmam/2001010470-U117/","Открыть позицию")</x:f>
        <x:v>Открыть позицию</x:v>
      </x:c>
    </x:row>
    <x:row r="492" ht="28" customHeight="1">
      <x:c r="A492" s="16" t="str">
        <x:v>Приморская ГРЭС</x:v>
      </x:c>
      <x:c r="B492" s="16" t="str">
        <x:v>2000704568-U117</x:v>
      </x:c>
      <x:c r="C492" s="16" t="str">
        <x:v>ТОРМОЗ ТГК-160 У2</x:v>
      </x:c>
      <x:c r="D492" s="16" t="str">
        <x:v>Запасные части к грузоподъемной технике, оборудованию и меха</x:v>
      </x:c>
      <x:c r="E492" s="16" t="str">
        <x:v>ШТ</x:v>
      </x:c>
      <x:c r="F492" s="21" t="n">
        <x:v>1</x:v>
      </x:c>
      <x:c r="G492" s="17" t="n">
        <x:v>17000.0046</x:v>
      </x:c>
      <x:c r="H492" s="17" t="n">
        <x:f>G492*F492</x:f>
        <x:v>17000.0046</x:v>
      </x:c>
      <x:c r="I492" s="22" t="str">
        <x:f>HYPERLINK("https://etp-aktiv.ru/catalog/materialy/zapasnye-chasti-k-gruzopodemnoj-tekhnike-oborudovaniyu-i-mekhanizmam/2000704568-U117/","Открыть позицию")</x:f>
        <x:v>Открыть позицию</x:v>
      </x:c>
    </x:row>
    <x:row r="493" ht="28" customHeight="1">
      <x:c r="A493" s="16" t="str">
        <x:v>Приморская ГРЭС</x:v>
      </x:c>
      <x:c r="B493" s="16" t="str">
        <x:v>2000930595-U117</x:v>
      </x:c>
      <x:c r="C493" s="16" t="str">
        <x:v>ТРОС СТАЛЬНОЙ 3ММ DKC CM625503</x:v>
      </x:c>
      <x:c r="D493" s="16" t="str">
        <x:v>Инструмент и спецоснастка</x:v>
      </x:c>
      <x:c r="E493" s="16" t="str">
        <x:v>М</x:v>
      </x:c>
      <x:c r="F493" s="21" t="n">
        <x:v>50</x:v>
      </x:c>
      <x:c r="G493" s="17" t="n">
        <x:v>21.813599999999997</x:v>
      </x:c>
      <x:c r="H493" s="17" t="n">
        <x:f>G493*F493</x:f>
        <x:v>1090.6799999999998</x:v>
      </x:c>
      <x:c r="I493" s="22" t="str">
        <x:f>HYPERLINK("https://etp-aktiv.ru/catalog/materialy/instrument-i-specosnastka/2000930595-U117/","Открыть позицию")</x:f>
        <x:v>Открыть позицию</x:v>
      </x:c>
    </x:row>
    <x:row r="494" ht="28" customHeight="1">
      <x:c r="A494" s="16" t="str">
        <x:v>Приморская ГРЭС</x:v>
      </x:c>
      <x:c r="B494" s="16" t="str">
        <x:v>2000996267-U117</x:v>
      </x:c>
      <x:c r="C494" s="16" t="str">
        <x:v>УПЛОТНЕНИЕ ГР-МТ.23110.10.092.0310.1011</x:v>
      </x:c>
      <x:c r="D494" s="16" t="str">
        <x:v>Запасные части к энергетическим насосам</x:v>
      </x:c>
      <x:c r="E494" s="16" t="str">
        <x:v>ШТ</x:v>
      </x:c>
      <x:c r="F494" s="21" t="n">
        <x:v>1</x:v>
      </x:c>
      <x:c r="G494" s="17" t="n">
        <x:v>120868.3036</x:v>
      </x:c>
      <x:c r="H494" s="17" t="n">
        <x:f>G494*F494</x:f>
        <x:v>120868.3036</x:v>
      </x:c>
      <x:c r="I494" s="22" t="str">
        <x:f>HYPERLINK("https://etp-aktiv.ru/catalog/materialy/zapasnye-chasti-promyshlennogo-oborudovaniya/2000996267-U117/","Открыть позицию")</x:f>
        <x:v>Открыть позицию</x:v>
      </x:c>
    </x:row>
    <x:row r="495" ht="28" customHeight="1">
      <x:c r="A495" s="16" t="str">
        <x:v>Приморская ГРЭС</x:v>
      </x:c>
      <x:c r="B495" s="16" t="str">
        <x:v>2000996266-U117</x:v>
      </x:c>
      <x:c r="C495" s="16" t="str">
        <x:v>УПЛОТНЕНИЕ ГР-МТ.23110.10.095.0310.1011</x:v>
      </x:c>
      <x:c r="D495" s="16" t="str">
        <x:v>Запасные части к энергетическим насосам</x:v>
      </x:c>
      <x:c r="E495" s="16" t="str">
        <x:v>ШТ</x:v>
      </x:c>
      <x:c r="F495" s="21" t="n">
        <x:v>1</x:v>
      </x:c>
      <x:c r="G495" s="17" t="n">
        <x:v>120868.29139999999</x:v>
      </x:c>
      <x:c r="H495" s="17" t="n">
        <x:f>G495*F495</x:f>
        <x:v>120868.29139999999</x:v>
      </x:c>
      <x:c r="I495" s="22" t="str">
        <x:f>HYPERLINK("https://etp-aktiv.ru/catalog/materialy/zapasnye-chasti-promyshlennogo-oborudovaniya/2000996266-U117/","Открыть позицию")</x:f>
        <x:v>Открыть позицию</x:v>
      </x:c>
    </x:row>
    <x:row r="496" ht="28" customHeight="1">
      <x:c r="A496" s="16" t="str">
        <x:v>Приморская ГРЭС</x:v>
      </x:c>
      <x:c r="B496" s="16" t="str">
        <x:v>2000534583-U117</x:v>
      </x:c>
      <x:c r="C496" s="16" t="str">
        <x:v>УПЛОТНЕНИЕ Т120.30.00-02 ПЭ-380-185-3</x:v>
      </x:c>
      <x:c r="D496" s="16" t="str">
        <x:v>Запасные части к энергетическим насосам</x:v>
      </x:c>
      <x:c r="E496" s="16" t="str">
        <x:v>ШТ</x:v>
      </x:c>
      <x:c r="F496" s="21" t="n">
        <x:v>5</x:v>
      </x:c>
      <x:c r="G496" s="17" t="n">
        <x:v>127006.87999999999</x:v>
      </x:c>
      <x:c r="H496" s="17" t="n">
        <x:f>G496*F496</x:f>
        <x:v>635034.3999999999</x:v>
      </x:c>
      <x:c r="I496" s="22" t="str">
        <x:f>HYPERLINK("https://etp-aktiv.ru/catalog/materialy/zapasnye-chasti-promyshlennogo-oborudovaniya/2000534583-U117/","Открыть позицию")</x:f>
        <x:v>Открыть позицию</x:v>
      </x:c>
    </x:row>
    <x:row r="497" ht="28" customHeight="1">
      <x:c r="A497" s="16" t="str">
        <x:v>Приморская ГРЭС</x:v>
      </x:c>
      <x:c r="B497" s="16" t="str">
        <x:v>2000974129-U117</x:v>
      </x:c>
      <x:c r="C497" s="16" t="str">
        <x:v>УПЛОТНЕНИЕ ТОРЦ ПЭ-270-150 95УТЗ00.00-01</x:v>
      </x:c>
      <x:c r="D497" s="16" t="str">
        <x:v>Запасные части к энергетическим насосам</x:v>
      </x:c>
      <x:c r="E497" s="16" t="str">
        <x:v>ШТ</x:v>
      </x:c>
      <x:c r="F497" s="21" t="n">
        <x:v>2</x:v>
      </x:c>
      <x:c r="G497" s="17" t="n">
        <x:v>64050</x:v>
      </x:c>
      <x:c r="H497" s="17" t="n">
        <x:f>G497*F497</x:f>
        <x:v>128100</x:v>
      </x:c>
      <x:c r="I497" s="22" t="str">
        <x:f>HYPERLINK("https://etp-aktiv.ru/catalog/materialy/zapasnye-chasti-promyshlennogo-oborudovaniya/2000974129-U117/","Открыть позицию")</x:f>
        <x:v>Открыть позицию</x:v>
      </x:c>
    </x:row>
    <x:row r="498" ht="28" customHeight="1">
      <x:c r="A498" s="16" t="str">
        <x:v>Приморская ГРЭС</x:v>
      </x:c>
      <x:c r="B498" s="16" t="str">
        <x:v>2000634906-U117</x:v>
      </x:c>
      <x:c r="C498" s="16" t="str">
        <x:v>УПЛОТНЕНИЕ ТОРЦ ПЭ-380-200 Т-120.00.00СБ</x:v>
      </x:c>
      <x:c r="D498" s="16" t="str">
        <x:v>Запасные части к энергетическим насосам</x:v>
      </x:c>
      <x:c r="E498" s="16" t="str">
        <x:v>ШТ</x:v>
      </x:c>
      <x:c r="F498" s="21" t="n">
        <x:v>4</x:v>
      </x:c>
      <x:c r="G498" s="17" t="n">
        <x:v>268330.6186</x:v>
      </x:c>
      <x:c r="H498" s="17" t="n">
        <x:f>G498*F498</x:f>
        <x:v>1073322.4744</x:v>
      </x:c>
      <x:c r="I498" s="22" t="str">
        <x:f>HYPERLINK("https://etp-aktiv.ru/catalog/materialy/zapasnye-chasti-promyshlennogo-oborudovaniya/2000634906-U117/","Открыть позицию")</x:f>
        <x:v>Открыть позицию</x:v>
      </x:c>
    </x:row>
    <x:row r="499" ht="28" customHeight="1">
      <x:c r="A499" s="16" t="str">
        <x:v>Приморская ГРЭС</x:v>
      </x:c>
      <x:c r="B499" s="16" t="str">
        <x:v>2000974128-U117</x:v>
      </x:c>
      <x:c r="C499" s="16" t="str">
        <x:v>УПЛОТНЕНИЕ ТОРЦЕВ ПЭ-270-150 95УТЗ00.00</x:v>
      </x:c>
      <x:c r="D499" s="16" t="str">
        <x:v>Запасные части к энергетическим насосам</x:v>
      </x:c>
      <x:c r="E499" s="16" t="str">
        <x:v>ШТ</x:v>
      </x:c>
      <x:c r="F499" s="21" t="n">
        <x:v>2</x:v>
      </x:c>
      <x:c r="G499" s="17" t="n">
        <x:v>64050</x:v>
      </x:c>
      <x:c r="H499" s="17" t="n">
        <x:f>G499*F499</x:f>
        <x:v>128100</x:v>
      </x:c>
      <x:c r="I499" s="22" t="str">
        <x:f>HYPERLINK("https://etp-aktiv.ru/catalog/materialy/zapasnye-chasti-promyshlennogo-oborudovaniya/2000974128-U117/","Открыть позицию")</x:f>
        <x:v>Открыть позицию</x:v>
      </x:c>
    </x:row>
    <x:row r="500" ht="28" customHeight="1">
      <x:c r="A500" s="16" t="str">
        <x:v>Приморская ГРЭС</x:v>
      </x:c>
      <x:c r="B500" s="16" t="str">
        <x:v>2001015993-U117</x:v>
      </x:c>
      <x:c r="C500" s="16" t="str">
        <x:v>УПЛОТНЕНИЕ ТОРЦЕВОЕ КСД 230-115 100УТ15</x:v>
      </x:c>
      <x:c r="D500" s="16" t="str">
        <x:v>Запасные части к энергетическим насосам</x:v>
      </x:c>
      <x:c r="E500" s="16" t="str">
        <x:v>ШТ</x:v>
      </x:c>
      <x:c r="F500" s="21" t="n">
        <x:v>6</x:v>
      </x:c>
      <x:c r="G500" s="17" t="n">
        <x:v>64050</x:v>
      </x:c>
      <x:c r="H500" s="17" t="n">
        <x:f>G500*F500</x:f>
        <x:v>384300</x:v>
      </x:c>
      <x:c r="I500" s="22" t="str">
        <x:f>HYPERLINK("https://etp-aktiv.ru/catalog/materialy/zapasnye-chasti-promyshlennogo-oborudovaniya/2001015993-U117/","Открыть позицию")</x:f>
        <x:v>Открыть позицию</x:v>
      </x:c>
    </x:row>
    <x:row r="501" ht="28" customHeight="1">
      <x:c r="A501" s="16" t="str">
        <x:v>Приморская ГРЭС</x:v>
      </x:c>
      <x:c r="B501" s="16" t="str">
        <x:v>2000696893-U117</x:v>
      </x:c>
      <x:c r="C501" s="16" t="str">
        <x:v>УПЛОТНЕНИЕ ТОРЦЕВОЕ ТУКСВ320.04.00.000СБ</x:v>
      </x:c>
      <x:c r="D501" s="16" t="str">
        <x:v>Запасные части к энергетическим насосам</x:v>
      </x:c>
      <x:c r="E501" s="16" t="str">
        <x:v>КМП</x:v>
      </x:c>
      <x:c r="F501" s="21" t="n">
        <x:v>4</x:v>
      </x:c>
      <x:c r="G501" s="17" t="n">
        <x:v>191567.44999999998</x:v>
      </x:c>
      <x:c r="H501" s="17" t="n">
        <x:f>G501*F501</x:f>
        <x:v>766269.7999999999</x:v>
      </x:c>
      <x:c r="I501" s="22" t="str">
        <x:f>HYPERLINK("https://etp-aktiv.ru/catalog/materialy/zapasnye-chasti-promyshlennogo-oborudovaniya/2000696893-U117/","Открыть позицию")</x:f>
        <x:v>Открыть позицию</x:v>
      </x:c>
    </x:row>
    <x:row r="502" ht="28" customHeight="1">
      <x:c r="A502" s="16" t="str">
        <x:v>Приморская ГРЭС</x:v>
      </x:c>
      <x:c r="B502" s="16" t="str">
        <x:v>2000534602-U117</x:v>
      </x:c>
      <x:c r="C502" s="16" t="str">
        <x:v>УСТРОЙСТВО ДРОССЕЛИРУЮЩЕЕ Н17.139.700.00</x:v>
      </x:c>
      <x:c r="D502" s="16" t="str">
        <x:v>Запасные части к энергетическим насосам</x:v>
      </x:c>
      <x:c r="E502" s="16" t="str">
        <x:v>ШТ</x:v>
      </x:c>
      <x:c r="F502" s="21" t="n">
        <x:v>1</x:v>
      </x:c>
      <x:c r="G502" s="17" t="n">
        <x:v>59477.2936</x:v>
      </x:c>
      <x:c r="H502" s="17" t="n">
        <x:f>G502*F502</x:f>
        <x:v>59477.2936</x:v>
      </x:c>
      <x:c r="I502" s="22" t="str">
        <x:f>HYPERLINK("https://etp-aktiv.ru/catalog/materialy/zapasnye-chasti-promyshlennogo-oborudovaniya/2000534602-U117/","Открыть позицию")</x:f>
        <x:v>Открыть позицию</x:v>
      </x:c>
    </x:row>
    <x:row r="503" ht="28" customHeight="1">
      <x:c r="A503" s="16" t="str">
        <x:v>Приморская ГРЭС</x:v>
      </x:c>
      <x:c r="B503" s="16" t="str">
        <x:v>2000542728-U117</x:v>
      </x:c>
      <x:c r="C503" s="16" t="str">
        <x:v>УТКОНОСЫ 160ММ 211208</x:v>
      </x:c>
      <x:c r="D503" s="16" t="str">
        <x:v>Инструмент и спецоснастка</x:v>
      </x:c>
      <x:c r="E503" s="16" t="str">
        <x:v>ШТ</x:v>
      </x:c>
      <x:c r="F503" s="30" t="n">
        <x:v>19.92</x:v>
      </x:c>
      <x:c r="G503" s="17" t="n">
        <x:v>246.0496</x:v>
      </x:c>
      <x:c r="H503" s="17" t="n">
        <x:f>G503*F503</x:f>
        <x:v>4901.308032000001</x:v>
      </x:c>
      <x:c r="I503" s="22" t="str">
        <x:f>HYPERLINK("https://etp-aktiv.ru/catalog/materialy/instrument-i-specosnastka/2000542728-U117/","Открыть позицию")</x:f>
        <x:v>Открыть позицию</x:v>
      </x:c>
    </x:row>
    <x:row r="504" ht="28" customHeight="1">
      <x:c r="A504" s="16" t="str">
        <x:v>Приморская ГРЭС</x:v>
      </x:c>
      <x:c r="B504" s="16" t="str">
        <x:v>5000092538-U117</x:v>
      </x:c>
      <x:c r="C504" s="16" t="str">
        <x:v>ФЕН ТЕХНИЧЕСКИЙ ЗУБР ФТ-П1600</x:v>
      </x:c>
      <x:c r="D504" s="16" t="str">
        <x:v>Средства малой механизации</x:v>
      </x:c>
      <x:c r="E504" s="16" t="str">
        <x:v>ШТ</x:v>
      </x:c>
      <x:c r="F504" s="21" t="n">
        <x:v>1</x:v>
      </x:c>
      <x:c r="G504" s="17" t="n">
        <x:v>1399.9987999999998</x:v>
      </x:c>
      <x:c r="H504" s="17" t="n">
        <x:f>G504*F504</x:f>
        <x:v>1399.9987999999998</x:v>
      </x:c>
      <x:c r="I504" s="22" t="str">
        <x:f>HYPERLINK("https://etp-aktiv.ru/catalog/materialy/prochie-materialy/5000092538-U117/","Открыть позицию")</x:f>
        <x:v>Открыть позицию</x:v>
      </x:c>
    </x:row>
    <x:row r="505" ht="28" customHeight="1">
      <x:c r="A505" s="16" t="str">
        <x:v>Приморская ГРЭС</x:v>
      </x:c>
      <x:c r="B505" s="16" t="str">
        <x:v>2000486199-U117</x:v>
      </x:c>
      <x:c r="C505" s="16" t="str">
        <x:v>ХОМУТ NORMA 12-18</x:v>
      </x:c>
      <x:c r="D505" s="16" t="str">
        <x:v>Инструмент и спецоснастка</x:v>
      </x:c>
      <x:c r="E505" s="16" t="str">
        <x:v>ШТ</x:v>
      </x:c>
      <x:c r="F505" s="21" t="n">
        <x:v>34</x:v>
      </x:c>
      <x:c r="G505" s="17" t="n">
        <x:v>88.084</x:v>
      </x:c>
      <x:c r="H505" s="17" t="n">
        <x:f>G505*F505</x:f>
        <x:v>2994.856</x:v>
      </x:c>
      <x:c r="I505" s="22" t="str">
        <x:f>HYPERLINK("https://etp-aktiv.ru/catalog/materialy/instrument-i-specosnastka/2000486199-U117/","Открыть позицию")</x:f>
        <x:v>Открыть позицию</x:v>
      </x:c>
    </x:row>
    <x:row r="506" ht="28" customHeight="1">
      <x:c r="A506" s="16" t="str">
        <x:v>Приморская ГРЭС</x:v>
      </x:c>
      <x:c r="B506" s="16" t="str">
        <x:v>2000057428-U117</x:v>
      </x:c>
      <x:c r="C506" s="16" t="str">
        <x:v>ЦЕПЬ КРУГЛОЗВЕННАЯ 18*64 КЛ8</x:v>
      </x:c>
      <x:c r="D506" s="16" t="str">
        <x:v>Цепи и тяговые элементы к скребковым конвейерам</x:v>
      </x:c>
      <x:c r="E506" s="16" t="str">
        <x:v>Т</x:v>
      </x:c>
      <x:c r="F506" s="26" t="n">
        <x:v>0.161</x:v>
      </x:c>
      <x:c r="G506" s="17" t="n">
        <x:v>230580</x:v>
      </x:c>
      <x:c r="H506" s="17" t="n">
        <x:f>G506*F506</x:f>
        <x:v>37123.38</x:v>
      </x:c>
      <x:c r="I506" s="22" t="str">
        <x:f>HYPERLINK("https://etp-aktiv.ru/catalog/materialy/zapasnye-chasti-k-gorno-shahtnomu-oborudovaniyu/2000057428-U117/","Открыть позицию")</x:f>
        <x:v>Открыть позицию</x:v>
      </x:c>
    </x:row>
    <x:row r="507" ht="28" customHeight="1">
      <x:c r="A507" s="16" t="str">
        <x:v>Приморская ГРЭС</x:v>
      </x:c>
      <x:c r="B507" s="16" t="str">
        <x:v>2000728518-U117</x:v>
      </x:c>
      <x:c r="C507" s="16" t="str">
        <x:v>ЧЕРЕНОК Д/МОЛОТКА В/С 1КГ L=400ММ</x:v>
      </x:c>
      <x:c r="D507" s="16" t="str">
        <x:v>Инструмент и спецоснастка</x:v>
      </x:c>
      <x:c r="E507" s="16" t="str">
        <x:v>ШТ</x:v>
      </x:c>
      <x:c r="F507" s="21" t="n">
        <x:v>2</x:v>
      </x:c>
      <x:c r="G507" s="17" t="n">
        <x:v>45.75</x:v>
      </x:c>
      <x:c r="H507" s="17" t="n">
        <x:f>G507*F507</x:f>
        <x:v>91.5</x:v>
      </x:c>
      <x:c r="I507" s="22" t="str">
        <x:f>HYPERLINK("https://etp-aktiv.ru/catalog/materialy/instrument-i-specosnastka/2000728518-U117/","Открыть позицию")</x:f>
        <x:v>Открыть позицию</x:v>
      </x:c>
    </x:row>
    <x:row r="508" ht="28" customHeight="1">
      <x:c r="A508" s="16" t="str">
        <x:v>Приморская ГРЭС</x:v>
      </x:c>
      <x:c r="B508" s="16" t="str">
        <x:v>2000353781-U117</x:v>
      </x:c>
      <x:c r="C508" s="16" t="str">
        <x:v>ЧЕРЕНОК Д/ЩЕТОК 1300*25 1СОРТ</x:v>
      </x:c>
      <x:c r="D508" s="16" t="str">
        <x:v>Инструмент и спецоснастка</x:v>
      </x:c>
      <x:c r="E508" s="16" t="str">
        <x:v>ШТ</x:v>
      </x:c>
      <x:c r="F508" s="21" t="n">
        <x:v>2</x:v>
      </x:c>
      <x:c r="G508" s="17" t="n">
        <x:v>61.915</x:v>
      </x:c>
      <x:c r="H508" s="17" t="n">
        <x:f>G508*F508</x:f>
        <x:v>123.83</x:v>
      </x:c>
      <x:c r="I508" s="22" t="str">
        <x:f>HYPERLINK("https://etp-aktiv.ru/catalog/materialy/instrument-i-specosnastka/2000353781-U117/","Открыть позицию")</x:f>
        <x:v>Открыть позицию</x:v>
      </x:c>
    </x:row>
    <x:row r="509" ht="28" customHeight="1">
      <x:c r="A509" s="16" t="str">
        <x:v>Приморская ГРЭС</x:v>
      </x:c>
      <x:c r="B509" s="16" t="str">
        <x:v>2000469878-U117</x:v>
      </x:c>
      <x:c r="C509" s="16" t="str">
        <x:v>ШАБЛОН РЕЗЬБОВОЙ М60 ТЕХРИМ Т050025</x:v>
      </x:c>
      <x:c r="D509" s="16" t="str">
        <x:v>Инструмент и спецоснастка</x:v>
      </x:c>
      <x:c r="E509" s="16" t="str">
        <x:v>ШТ</x:v>
      </x:c>
      <x:c r="F509" s="21" t="n">
        <x:v>2</x:v>
      </x:c>
      <x:c r="G509" s="17" t="n">
        <x:v>466.7842</x:v>
      </x:c>
      <x:c r="H509" s="17" t="n">
        <x:f>G509*F509</x:f>
        <x:v>933.5684</x:v>
      </x:c>
      <x:c r="I509" s="22" t="str">
        <x:f>HYPERLINK("https://etp-aktiv.ru/catalog/materialy/instrument-i-specosnastka/2000469878-U117/","Открыть позицию")</x:f>
        <x:v>Открыть позицию</x:v>
      </x:c>
    </x:row>
    <x:row r="510" ht="28" customHeight="1">
      <x:c r="A510" s="16" t="str">
        <x:v>Приморская ГРЭС</x:v>
      </x:c>
      <x:c r="B510" s="16" t="str">
        <x:v>2000736668-U117</x:v>
      </x:c>
      <x:c r="C510" s="16" t="str">
        <x:v>ШАЙБА ПГ КТЦ 3916.00 МВ 3300/800/490</x:v>
      </x:c>
      <x:c r="D510" s="16" t="str">
        <x:v>Запасные части к мельницам</x:v>
      </x:c>
      <x:c r="E510" s="16" t="str">
        <x:v>ШТ</x:v>
      </x:c>
      <x:c r="F510" s="21" t="n">
        <x:v>20</x:v>
      </x:c>
      <x:c r="G510" s="17" t="n">
        <x:v>77968.66279999999</x:v>
      </x:c>
      <x:c r="H510" s="17" t="n">
        <x:f>G510*F510</x:f>
        <x:v>1559373.2559999998</x:v>
      </x:c>
      <x:c r="I510" s="22" t="str">
        <x:f>HYPERLINK("https://etp-aktiv.ru/catalog/materialy/zapasnye-chasti-promyshlennogo-oborudovaniya/2000736668-U117/","Открыть позицию")</x:f>
        <x:v>Открыть позицию</x:v>
      </x:c>
    </x:row>
    <x:row r="511" ht="28" customHeight="1">
      <x:c r="A511" s="16" t="str">
        <x:v>Приморская ГРЭС</x:v>
      </x:c>
      <x:c r="B511" s="16" t="str">
        <x:v>2000121786-U117</x:v>
      </x:c>
      <x:c r="C511" s="16" t="str">
        <x:v>ШАЙБА ПЛОСКАЯ М16 ММ150-140-10001</x:v>
      </x:c>
      <x:c r="D511" s="16" t="str">
        <x:v>Запасные части к обогатительному оборудованию</x:v>
      </x:c>
      <x:c r="E511" s="16" t="str">
        <x:v>ШТ</x:v>
      </x:c>
      <x:c r="F511" s="21" t="n">
        <x:v>24</x:v>
      </x:c>
      <x:c r="G511" s="17" t="n">
        <x:v>1.7202</x:v>
      </x:c>
      <x:c r="H511" s="17" t="n">
        <x:f>G511*F511</x:f>
        <x:v>41.2848</x:v>
      </x:c>
      <x:c r="I511" s="22" t="str">
        <x:f>HYPERLINK("https://etp-aktiv.ru/catalog/materialy/zapasnye-chasti-k-drobilno-sortirovochnomu-oborudovaniyu/2000121786-U117/","Открыть позицию")</x:f>
        <x:v>Открыть позицию</x:v>
      </x:c>
    </x:row>
    <x:row r="512" ht="28" customHeight="1">
      <x:c r="A512" s="16" t="str">
        <x:v>Приморская ГРЭС</x:v>
      </x:c>
      <x:c r="B512" s="16" t="str">
        <x:v>2000738227-U117</x:v>
      </x:c>
      <x:c r="C512" s="16" t="str">
        <x:v>ШАЙБА УПРУГОЙ МУФТЫ СТ3 ПГ3.00.64.7.00</x:v>
      </x:c>
      <x:c r="D512" s="16" t="str">
        <x:v>Запасные части к мельницам</x:v>
      </x:c>
      <x:c r="E512" s="16" t="str">
        <x:v>ШТ</x:v>
      </x:c>
      <x:c r="F512" s="21" t="n">
        <x:v>1120</x:v>
      </x:c>
      <x:c r="G512" s="17" t="n">
        <x:v>266.82620000000003</x:v>
      </x:c>
      <x:c r="H512" s="17" t="n">
        <x:f>G512*F512</x:f>
        <x:v>298845.34400000004</x:v>
      </x:c>
      <x:c r="I512" s="22" t="str">
        <x:f>HYPERLINK("https://etp-aktiv.ru/catalog/materialy/zapasnye-chasti-promyshlennogo-oborudovaniya/2000738227-U117/","Открыть позицию")</x:f>
        <x:v>Открыть позицию</x:v>
      </x:c>
    </x:row>
    <x:row r="513" ht="28" customHeight="1">
      <x:c r="A513" s="16" t="str">
        <x:v>Приморская ГРЭС</x:v>
      </x:c>
      <x:c r="B513" s="16" t="str">
        <x:v>2000648308-U117</x:v>
      </x:c>
      <x:c r="C513" s="16" t="str">
        <x:v>ШКУРКА О1 800*20 П14А 6H СФЖ ГОСТ13344</x:v>
      </x:c>
      <x:c r="D513" s="16" t="str">
        <x:v>Инструмент и спецоснастка</x:v>
      </x:c>
      <x:c r="E513" s="16" t="str">
        <x:v>ПМ</x:v>
      </x:c>
      <x:c r="F513" s="21" t="n">
        <x:v>4</x:v>
      </x:c>
      <x:c r="G513" s="17" t="n">
        <x:v>360.9614</x:v>
      </x:c>
      <x:c r="H513" s="17" t="n">
        <x:f>G513*F513</x:f>
        <x:v>1443.8456</x:v>
      </x:c>
      <x:c r="I513" s="22" t="str">
        <x:f>HYPERLINK("https://etp-aktiv.ru/catalog/materialy/instrument-i-specosnastka/2000648308-U117/","Открыть позицию")</x:f>
        <x:v>Открыть позицию</x:v>
      </x:c>
    </x:row>
    <x:row r="514" ht="28" customHeight="1">
      <x:c r="A514" s="16" t="str">
        <x:v>Приморская ГРЭС</x:v>
      </x:c>
      <x:c r="B514" s="16" t="str">
        <x:v>2000648323-U117</x:v>
      </x:c>
      <x:c r="C514" s="16" t="str">
        <x:v>ШКУРКА О2 900*30 УГ63С40Н СФЖ ГОСТ13344</x:v>
      </x:c>
      <x:c r="D514" s="16" t="str">
        <x:v>Инструмент и спецоснастка</x:v>
      </x:c>
      <x:c r="E514" s="16" t="str">
        <x:v>М</x:v>
      </x:c>
      <x:c r="F514" s="30" t="n">
        <x:v>12.3</x:v>
      </x:c>
      <x:c r="G514" s="17" t="n">
        <x:v>460.7818</x:v>
      </x:c>
      <x:c r="H514" s="17" t="n">
        <x:f>G514*F514</x:f>
        <x:v>5667.61614</x:v>
      </x:c>
      <x:c r="I514" s="22" t="str">
        <x:f>HYPERLINK("https://etp-aktiv.ru/catalog/materialy/instrument-i-specosnastka/2000648323-U117/","Открыть позицию")</x:f>
        <x:v>Открыть позицию</x:v>
      </x:c>
    </x:row>
    <x:row r="515" ht="28" customHeight="1">
      <x:c r="A515" s="16" t="str">
        <x:v>Приморская ГРЭС</x:v>
      </x:c>
      <x:c r="B515" s="16" t="str">
        <x:v>2000544299-U117</x:v>
      </x:c>
      <x:c r="C515" s="16" t="str">
        <x:v>ШКУРКА ШЛИФ 775*30 KK19XW P120(10H)</x:v>
      </x:c>
      <x:c r="D515" s="16" t="str">
        <x:v>Инструмент и спецоснастка</x:v>
      </x:c>
      <x:c r="E515" s="16" t="str">
        <x:v>М2</x:v>
      </x:c>
      <x:c r="F515" s="26" t="n">
        <x:v>0.5</x:v>
      </x:c>
      <x:c r="G515" s="17" t="n">
        <x:v>208.8762</x:v>
      </x:c>
      <x:c r="H515" s="17" t="n">
        <x:f>G515*F515</x:f>
        <x:v>104.4381</x:v>
      </x:c>
      <x:c r="I515" s="22" t="str">
        <x:f>HYPERLINK("https://etp-aktiv.ru/catalog/materialy/instrument-i-specosnastka/2000544299-U117/","Открыть позицию")</x:f>
        <x:v>Открыть позицию</x:v>
      </x:c>
    </x:row>
    <x:row r="516" ht="28" customHeight="1">
      <x:c r="A516" s="16" t="str">
        <x:v>Приморская ГРЭС</x:v>
      </x:c>
      <x:c r="B516" s="16" t="str">
        <x:v>2000544185-U117</x:v>
      </x:c>
      <x:c r="C516" s="16" t="str">
        <x:v>ШКУРКА ШЛИФ В/С О1 720 14А 40Н ГОСТ13344</x:v>
      </x:c>
      <x:c r="D516" s="16" t="str">
        <x:v>Инструмент и спецоснастка</x:v>
      </x:c>
      <x:c r="E516" s="16" t="str">
        <x:v>ПМ</x:v>
      </x:c>
      <x:c r="F516" s="30" t="n">
        <x:v>4.5</x:v>
      </x:c>
      <x:c r="G516" s="17" t="n">
        <x:v>363.23060000000004</x:v>
      </x:c>
      <x:c r="H516" s="17" t="n">
        <x:f>G516*F516</x:f>
        <x:v>1634.5377</x:v>
      </x:c>
      <x:c r="I516" s="22" t="str">
        <x:f>HYPERLINK("https://etp-aktiv.ru/catalog/materialy/instrument-i-specosnastka/2000544185-U117/","Открыть позицию")</x:f>
        <x:v>Открыть позицию</x:v>
      </x:c>
    </x:row>
    <x:row r="517" ht="28" customHeight="1">
      <x:c r="A517" s="16" t="str">
        <x:v>Приморская ГРЭС</x:v>
      </x:c>
      <x:c r="B517" s="16" t="str">
        <x:v>2000544178-U117</x:v>
      </x:c>
      <x:c r="C517" s="16" t="str">
        <x:v>ШКУРКА ШЛИФ. 1 С 775 30 ЛОГ 16Н М</x:v>
      </x:c>
      <x:c r="D517" s="16" t="str">
        <x:v>Инструмент и спецоснастка</x:v>
      </x:c>
      <x:c r="E517" s="16" t="str">
        <x:v>М2</x:v>
      </x:c>
      <x:c r="F517" s="21" t="n">
        <x:v>1</x:v>
      </x:c>
      <x:c r="G517" s="17" t="n">
        <x:v>361.3396</x:v>
      </x:c>
      <x:c r="H517" s="17" t="n">
        <x:f>G517*F517</x:f>
        <x:v>361.3396</x:v>
      </x:c>
      <x:c r="I517" s="22" t="str">
        <x:f>HYPERLINK("https://etp-aktiv.ru/catalog/materialy/instrument-i-specosnastka/2000544178-U117/","Открыть позицию")</x:f>
        <x:v>Открыть позицию</x:v>
      </x:c>
    </x:row>
    <x:row r="518" ht="28" customHeight="1">
      <x:c r="A518" s="16" t="str">
        <x:v>Приморская ГРЭС</x:v>
      </x:c>
      <x:c r="B518" s="16" t="str">
        <x:v>2000703565-U117</x:v>
      </x:c>
      <x:c r="C518" s="16" t="str">
        <x:v>ШКУРКА ШЛИФОВАЛЬНАЯ 775 KK19XW 12H</x:v>
      </x:c>
      <x:c r="D518" s="16" t="str">
        <x:v>Инструмент и спецоснастка</x:v>
      </x:c>
      <x:c r="E518" s="16" t="str">
        <x:v>ПМ</x:v>
      </x:c>
      <x:c r="F518" s="30" t="n">
        <x:v>3.5</x:v>
      </x:c>
      <x:c r="G518" s="17" t="n">
        <x:v>382.0308</x:v>
      </x:c>
      <x:c r="H518" s="17" t="n">
        <x:f>G518*F518</x:f>
        <x:v>1337.1078</x:v>
      </x:c>
      <x:c r="I518" s="22" t="str">
        <x:f>HYPERLINK("https://etp-aktiv.ru/catalog/materialy/instrument-i-specosnastka/2000703565-U117/","Открыть позицию")</x:f>
        <x:v>Открыть позицию</x:v>
      </x:c>
    </x:row>
    <x:row r="519" ht="28" customHeight="1">
      <x:c r="A519" s="16" t="str">
        <x:v>Приморская ГРЭС</x:v>
      </x:c>
      <x:c r="B519" s="16" t="str">
        <x:v>2000703566-U117</x:v>
      </x:c>
      <x:c r="C519" s="16" t="str">
        <x:v>ШКУРКА ШЛИФОВАЛЬНАЯ 775 КК19ХW 16Н</x:v>
      </x:c>
      <x:c r="D519" s="16" t="str">
        <x:v>Инструмент и спецоснастка</x:v>
      </x:c>
      <x:c r="E519" s="16" t="str">
        <x:v>ПМ</x:v>
      </x:c>
      <x:c r="F519" s="21" t="n">
        <x:v>10</x:v>
      </x:c>
      <x:c r="G519" s="17" t="n">
        <x:v>395.0482</x:v>
      </x:c>
      <x:c r="H519" s="17" t="n">
        <x:f>G519*F519</x:f>
        <x:v>3950.482</x:v>
      </x:c>
      <x:c r="I519" s="22" t="str">
        <x:f>HYPERLINK("https://etp-aktiv.ru/catalog/materialy/instrument-i-specosnastka/2000703566-U117/","Открыть позицию")</x:f>
        <x:v>Открыть позицию</x:v>
      </x:c>
    </x:row>
    <x:row r="520" ht="28" customHeight="1">
      <x:c r="A520" s="16" t="str">
        <x:v>Приморская ГРЭС</x:v>
      </x:c>
      <x:c r="B520" s="16" t="str">
        <x:v>2000703568-U117</x:v>
      </x:c>
      <x:c r="C520" s="16" t="str">
        <x:v>ШКУРКА ШЛИФОВАЛЬНАЯ 775 КК19ХW 40Н</x:v>
      </x:c>
      <x:c r="D520" s="16" t="str">
        <x:v>Инструмент и спецоснастка</x:v>
      </x:c>
      <x:c r="E520" s="16" t="str">
        <x:v>ПМ</x:v>
      </x:c>
      <x:c r="F520" s="30" t="n">
        <x:v>23.333</x:v>
      </x:c>
      <x:c r="G520" s="17" t="n">
        <x:v>344.9184</x:v>
      </x:c>
      <x:c r="H520" s="17" t="n">
        <x:f>G520*F520</x:f>
        <x:v>8047.9810271999995</x:v>
      </x:c>
      <x:c r="I520" s="22" t="str">
        <x:f>HYPERLINK("https://etp-aktiv.ru/catalog/materialy/instrument-i-specosnastka/2000703568-U117/","Открыть позицию")</x:f>
        <x:v>Открыть позицию</x:v>
      </x:c>
    </x:row>
    <x:row r="521" ht="28" customHeight="1">
      <x:c r="A521" s="16" t="str">
        <x:v>Приморская ГРЭС</x:v>
      </x:c>
      <x:c r="B521" s="16" t="str">
        <x:v>2000703569-U117</x:v>
      </x:c>
      <x:c r="C521" s="16" t="str">
        <x:v>ШКУРКА ШЛИФОВАЛЬНАЯ 775 КК19ХW 63Н</x:v>
      </x:c>
      <x:c r="D521" s="16" t="str">
        <x:v>Инструмент и спецоснастка</x:v>
      </x:c>
      <x:c r="E521" s="16" t="str">
        <x:v>ПМ</x:v>
      </x:c>
      <x:c r="F521" s="21" t="n">
        <x:v>1</x:v>
      </x:c>
      <x:c r="G521" s="17" t="n">
        <x:v>750.8123999999999</x:v>
      </x:c>
      <x:c r="H521" s="17" t="n">
        <x:f>G521*F521</x:f>
        <x:v>750.8123999999999</x:v>
      </x:c>
      <x:c r="I521" s="22" t="str">
        <x:f>HYPERLINK("https://etp-aktiv.ru/catalog/materialy/instrument-i-specosnastka/2000703569-U117/","Открыть позицию")</x:f>
        <x:v>Открыть позицию</x:v>
      </x:c>
    </x:row>
    <x:row r="522" ht="28" customHeight="1">
      <x:c r="A522" s="16" t="str">
        <x:v>Приморская ГРЭС</x:v>
      </x:c>
      <x:c r="B522" s="16" t="str">
        <x:v>2000028725-U117</x:v>
      </x:c>
      <x:c r="C522" s="16" t="str">
        <x:v>ШЛИФКРУГ 125*20*32 25А</x:v>
      </x:c>
      <x:c r="D522" s="16" t="str">
        <x:v>Инструмент и спецоснастка</x:v>
      </x:c>
      <x:c r="E522" s="16" t="str">
        <x:v>ШТ</x:v>
      </x:c>
      <x:c r="F522" s="21" t="n">
        <x:v>4</x:v>
      </x:c>
      <x:c r="G522" s="17" t="n">
        <x:v>570.1792</x:v>
      </x:c>
      <x:c r="H522" s="17" t="n">
        <x:f>G522*F522</x:f>
        <x:v>2280.7168</x:v>
      </x:c>
      <x:c r="I522" s="22" t="str">
        <x:f>HYPERLINK("https://etp-aktiv.ru/catalog/materialy/instrument-i-specosnastka/2000028725-U117/","Открыть позицию")</x:f>
        <x:v>Открыть позицию</x:v>
      </x:c>
    </x:row>
    <x:row r="523" ht="28" customHeight="1">
      <x:c r="A523" s="16" t="str">
        <x:v>Приморская ГРЭС</x:v>
      </x:c>
      <x:c r="B523" s="16" t="str">
        <x:v>2000234641-U117</x:v>
      </x:c>
      <x:c r="C523" s="16" t="str">
        <x:v>ШЛИФКРУГ 1400*40*127</x:v>
      </x:c>
      <x:c r="D523" s="16" t="str">
        <x:v>Инструмент и спецоснастка</x:v>
      </x:c>
      <x:c r="E523" s="16" t="str">
        <x:v>ШТ</x:v>
      </x:c>
      <x:c r="F523" s="21" t="n">
        <x:v>36</x:v>
      </x:c>
      <x:c r="G523" s="17" t="n">
        <x:v>2847.7727999999997</x:v>
      </x:c>
      <x:c r="H523" s="17" t="n">
        <x:f>G523*F523</x:f>
        <x:v>102519.82079999999</x:v>
      </x:c>
      <x:c r="I523" s="22" t="str">
        <x:f>HYPERLINK("https://etp-aktiv.ru/catalog/materialy/instrument-i-specosnastka/2000234641-U117/","Открыть позицию")</x:f>
        <x:v>Открыть позицию</x:v>
      </x:c>
    </x:row>
    <x:row r="524" ht="28" customHeight="1">
      <x:c r="A524" s="16" t="str">
        <x:v>Приморская ГРЭС</x:v>
      </x:c>
      <x:c r="B524" s="16" t="str">
        <x:v>2000045972-U117</x:v>
      </x:c>
      <x:c r="C524" s="16" t="str">
        <x:v>ШЛИФКРУГ 150*20*32 14А</x:v>
      </x:c>
      <x:c r="D524" s="16" t="str">
        <x:v>Инструмент и спецоснастка</x:v>
      </x:c>
      <x:c r="E524" s="16" t="str">
        <x:v>ШТ</x:v>
      </x:c>
      <x:c r="F524" s="21" t="n">
        <x:v>16</x:v>
      </x:c>
      <x:c r="G524" s="17" t="n">
        <x:v>483.547</x:v>
      </x:c>
      <x:c r="H524" s="17" t="n">
        <x:f>G524*F524</x:f>
        <x:v>7736.752</x:v>
      </x:c>
      <x:c r="I524" s="22" t="str">
        <x:f>HYPERLINK("https://etp-aktiv.ru/catalog/materialy/instrument-i-specosnastka/2000045972-U117/","Открыть позицию")</x:f>
        <x:v>Открыть позицию</x:v>
      </x:c>
    </x:row>
    <x:row r="525" ht="28" customHeight="1">
      <x:c r="A525" s="16" t="str">
        <x:v>Приморская ГРЭС</x:v>
      </x:c>
      <x:c r="B525" s="16" t="str">
        <x:v>2000045979-U117</x:v>
      </x:c>
      <x:c r="C525" s="16" t="str">
        <x:v>ШЛИФКРУГ 175*20*32 24А</x:v>
      </x:c>
      <x:c r="D525" s="16" t="str">
        <x:v>Инструмент и спецоснастка</x:v>
      </x:c>
      <x:c r="E525" s="16" t="str">
        <x:v>ШТ</x:v>
      </x:c>
      <x:c r="F525" s="21" t="n">
        <x:v>18</x:v>
      </x:c>
      <x:c r="G525" s="17" t="n">
        <x:v>537.3002</x:v>
      </x:c>
      <x:c r="H525" s="17" t="n">
        <x:f>G525*F525</x:f>
        <x:v>9671.4036</x:v>
      </x:c>
      <x:c r="I525" s="22" t="str">
        <x:f>HYPERLINK("https://etp-aktiv.ru/catalog/materialy/instrument-i-specosnastka/2000045979-U117/","Открыть позицию")</x:f>
        <x:v>Открыть позицию</x:v>
      </x:c>
    </x:row>
    <x:row r="526" ht="28" customHeight="1">
      <x:c r="A526" s="16" t="str">
        <x:v>Приморская ГРЭС</x:v>
      </x:c>
      <x:c r="B526" s="16" t="str">
        <x:v>2000045980-U117</x:v>
      </x:c>
      <x:c r="C526" s="16" t="str">
        <x:v>ШЛИФКРУГ 175*20*32 64С</x:v>
      </x:c>
      <x:c r="D526" s="16" t="str">
        <x:v>Инструмент и спецоснастка</x:v>
      </x:c>
      <x:c r="E526" s="16" t="str">
        <x:v>ШТ</x:v>
      </x:c>
      <x:c r="F526" s="21" t="n">
        <x:v>1</x:v>
      </x:c>
      <x:c r="G526" s="17" t="n">
        <x:v>250.75879999999998</x:v>
      </x:c>
      <x:c r="H526" s="17" t="n">
        <x:f>G526*F526</x:f>
        <x:v>250.75879999999998</x:v>
      </x:c>
      <x:c r="I526" s="22" t="str">
        <x:f>HYPERLINK("https://etp-aktiv.ru/catalog/materialy/instrument-i-specosnastka/2000045980-U117/","Открыть позицию")</x:f>
        <x:v>Открыть позицию</x:v>
      </x:c>
    </x:row>
    <x:row r="527" ht="28" customHeight="1">
      <x:c r="A527" s="16" t="str">
        <x:v>Приморская ГРЭС</x:v>
      </x:c>
      <x:c r="B527" s="16" t="str">
        <x:v>2000045983-U117</x:v>
      </x:c>
      <x:c r="C527" s="16" t="str">
        <x:v>ШЛИФКРУГ 180*20*32 24А</x:v>
      </x:c>
      <x:c r="D527" s="16" t="str">
        <x:v>Инструмент и спецоснастка</x:v>
      </x:c>
      <x:c r="E527" s="16" t="str">
        <x:v>ШТ</x:v>
      </x:c>
      <x:c r="F527" s="21" t="n">
        <x:v>1</x:v>
      </x:c>
      <x:c r="G527" s="17" t="n">
        <x:v>192.88199999999998</x:v>
      </x:c>
      <x:c r="H527" s="17" t="n">
        <x:f>G527*F527</x:f>
        <x:v>192.88199999999998</x:v>
      </x:c>
      <x:c r="I527" s="22" t="str">
        <x:f>HYPERLINK("https://etp-aktiv.ru/catalog/materialy/instrument-i-specosnastka/2000045983-U117/","Открыть позицию")</x:f>
        <x:v>Открыть позицию</x:v>
      </x:c>
    </x:row>
    <x:row r="528" ht="28" customHeight="1">
      <x:c r="A528" s="16" t="str">
        <x:v>Приморская ГРЭС</x:v>
      </x:c>
      <x:c r="B528" s="16" t="str">
        <x:v>2000045984-U117</x:v>
      </x:c>
      <x:c r="C528" s="16" t="str">
        <x:v>ШЛИФКРУГ 180*3*22 14А</x:v>
      </x:c>
      <x:c r="D528" s="16" t="str">
        <x:v>Инструмент и спецоснастка</x:v>
      </x:c>
      <x:c r="E528" s="16" t="str">
        <x:v>ШТ</x:v>
      </x:c>
      <x:c r="F528" s="21" t="n">
        <x:v>36</x:v>
      </x:c>
      <x:c r="G528" s="17" t="n">
        <x:v>310.5754</x:v>
      </x:c>
      <x:c r="H528" s="17" t="n">
        <x:f>G528*F528</x:f>
        <x:v>11180.7144</x:v>
      </x:c>
      <x:c r="I528" s="22" t="str">
        <x:f>HYPERLINK("https://etp-aktiv.ru/catalog/materialy/instrument-i-specosnastka/2000045984-U117/","Открыть позицию")</x:f>
        <x:v>Открыть позицию</x:v>
      </x:c>
    </x:row>
    <x:row r="529" ht="28" customHeight="1">
      <x:c r="A529" s="16" t="str">
        <x:v>Приморская ГРЭС</x:v>
      </x:c>
      <x:c r="B529" s="16" t="str">
        <x:v>2000916437-U117</x:v>
      </x:c>
      <x:c r="C529" s="16" t="str">
        <x:v>ШЛИФКРУГ 200*16*32 25А</x:v>
      </x:c>
      <x:c r="D529" s="16" t="str">
        <x:v>Инструмент и спецоснастка</x:v>
      </x:c>
      <x:c r="E529" s="16" t="str">
        <x:v>ШТ</x:v>
      </x:c>
      <x:c r="F529" s="21" t="n">
        <x:v>3</x:v>
      </x:c>
      <x:c r="G529" s="17" t="n">
        <x:v>190.69819999999999</x:v>
      </x:c>
      <x:c r="H529" s="17" t="n">
        <x:f>G529*F529</x:f>
        <x:v>572.0945999999999</x:v>
      </x:c>
      <x:c r="I529" s="22" t="str">
        <x:f>HYPERLINK("https://etp-aktiv.ru/catalog/materialy/instrument-i-specosnastka/2000916437-U117/","Открыть позицию")</x:f>
        <x:v>Открыть позицию</x:v>
      </x:c>
    </x:row>
    <x:row r="530" ht="28" customHeight="1">
      <x:c r="A530" s="16" t="str">
        <x:v>Приморская ГРЭС</x:v>
      </x:c>
      <x:c r="B530" s="16" t="str">
        <x:v>2000156894-U117</x:v>
      </x:c>
      <x:c r="C530" s="16" t="str">
        <x:v>ШЛИФКРУГ 200*20*32</x:v>
      </x:c>
      <x:c r="D530" s="16" t="str">
        <x:v>Инструмент и спецоснастка</x:v>
      </x:c>
      <x:c r="E530" s="16" t="str">
        <x:v>ШТ</x:v>
      </x:c>
      <x:c r="F530" s="21" t="n">
        <x:v>1</x:v>
      </x:c>
      <x:c r="G530" s="17" t="n">
        <x:v>337.83020000000005</x:v>
      </x:c>
      <x:c r="H530" s="17" t="n">
        <x:f>G530*F530</x:f>
        <x:v>337.83020000000005</x:v>
      </x:c>
      <x:c r="I530" s="22" t="str">
        <x:f>HYPERLINK("https://etp-aktiv.ru/catalog/materialy/instrument-i-specosnastka/2000156894-U117/","Открыть позицию")</x:f>
        <x:v>Открыть позицию</x:v>
      </x:c>
    </x:row>
    <x:row r="531" ht="28" customHeight="1">
      <x:c r="A531" s="16" t="str">
        <x:v>Приморская ГРЭС</x:v>
      </x:c>
      <x:c r="B531" s="16" t="str">
        <x:v>2000122457-U117</x:v>
      </x:c>
      <x:c r="C531" s="16" t="str">
        <x:v>ШЛИФКРУГ 250*20*32 25А</x:v>
      </x:c>
      <x:c r="D531" s="16" t="str">
        <x:v>Инструмент и спецоснастка</x:v>
      </x:c>
      <x:c r="E531" s="16" t="str">
        <x:v>ШТ</x:v>
      </x:c>
      <x:c r="F531" s="21" t="n">
        <x:v>9</x:v>
      </x:c>
      <x:c r="G531" s="17" t="n">
        <x:v>449.997</x:v>
      </x:c>
      <x:c r="H531" s="17" t="n">
        <x:f>G531*F531</x:f>
        <x:v>4049.973</x:v>
      </x:c>
      <x:c r="I531" s="22" t="str">
        <x:f>HYPERLINK("https://etp-aktiv.ru/catalog/materialy/instrument-i-specosnastka/2000122457-U117/","Открыть позицию")</x:f>
        <x:v>Открыть позицию</x:v>
      </x:c>
    </x:row>
    <x:row r="532" ht="28" customHeight="1">
      <x:c r="A532" s="16" t="str">
        <x:v>Приморская ГРЭС</x:v>
      </x:c>
      <x:c r="B532" s="16" t="str">
        <x:v>2000691784-U117</x:v>
      </x:c>
      <x:c r="C532" s="16" t="str">
        <x:v>ШЛИФКРУГ 250*20*76 25А F40</x:v>
      </x:c>
      <x:c r="D532" s="16" t="str">
        <x:v>Инструмент и спецоснастка</x:v>
      </x:c>
      <x:c r="E532" s="16" t="str">
        <x:v>ШТ</x:v>
      </x:c>
      <x:c r="F532" s="21" t="n">
        <x:v>2</x:v>
      </x:c>
      <x:c r="G532" s="17" t="n">
        <x:v>376.30899999999997</x:v>
      </x:c>
      <x:c r="H532" s="17" t="n">
        <x:f>G532*F532</x:f>
        <x:v>752.6179999999999</x:v>
      </x:c>
      <x:c r="I532" s="22" t="str">
        <x:f>HYPERLINK("https://etp-aktiv.ru/catalog/materialy/instrument-i-specosnastka/2000691784-U117/","Открыть позицию")</x:f>
        <x:v>Открыть позицию</x:v>
      </x:c>
    </x:row>
    <x:row r="533" ht="28" customHeight="1">
      <x:c r="A533" s="16" t="str">
        <x:v>Приморская ГРЭС</x:v>
      </x:c>
      <x:c r="B533" s="16" t="str">
        <x:v>2000138161-U117</x:v>
      </x:c>
      <x:c r="C533" s="16" t="str">
        <x:v>ШЛИФКРУГ 250*32*76 25А</x:v>
      </x:c>
      <x:c r="D533" s="16" t="str">
        <x:v>Инструмент и спецоснастка</x:v>
      </x:c>
      <x:c r="E533" s="16" t="str">
        <x:v>ШТ</x:v>
      </x:c>
      <x:c r="F533" s="21" t="n">
        <x:v>6</x:v>
      </x:c>
      <x:c r="G533" s="17" t="n">
        <x:v>1325.0664</x:v>
      </x:c>
      <x:c r="H533" s="17" t="n">
        <x:f>G533*F533</x:f>
        <x:v>7950.3984</x:v>
      </x:c>
      <x:c r="I533" s="22" t="str">
        <x:f>HYPERLINK("https://etp-aktiv.ru/catalog/materialy/instrument-i-specosnastka/2000138161-U117/","Открыть позицию")</x:f>
        <x:v>Открыть позицию</x:v>
      </x:c>
    </x:row>
    <x:row r="534" ht="28" customHeight="1">
      <x:c r="A534" s="16" t="str">
        <x:v>Приморская ГРЭС</x:v>
      </x:c>
      <x:c r="B534" s="16" t="str">
        <x:v>2000046010-U117</x:v>
      </x:c>
      <x:c r="C534" s="16" t="str">
        <x:v>ШЛИФКРУГ 250*40*76 24А</x:v>
      </x:c>
      <x:c r="D534" s="16" t="str">
        <x:v>Инструмент и спецоснастка</x:v>
      </x:c>
      <x:c r="E534" s="16" t="str">
        <x:v>ШТ</x:v>
      </x:c>
      <x:c r="F534" s="21" t="n">
        <x:v>1</x:v>
      </x:c>
      <x:c r="G534" s="17" t="n">
        <x:v>1709.8056</x:v>
      </x:c>
      <x:c r="H534" s="17" t="n">
        <x:f>G534*F534</x:f>
        <x:v>1709.8056</x:v>
      </x:c>
      <x:c r="I534" s="22" t="str">
        <x:f>HYPERLINK("https://etp-aktiv.ru/catalog/materialy/instrument-i-specosnastka/2000046010-U117/","Открыть позицию")</x:f>
        <x:v>Открыть позицию</x:v>
      </x:c>
    </x:row>
    <x:row r="535" ht="28" customHeight="1">
      <x:c r="A535" s="16" t="str">
        <x:v>Приморская ГРЭС</x:v>
      </x:c>
      <x:c r="B535" s="16" t="str">
        <x:v>2000191342-U117</x:v>
      </x:c>
      <x:c r="C535" s="16" t="str">
        <x:v>ШЛИФКРУГ 300*10*76 25А40</x:v>
      </x:c>
      <x:c r="D535" s="16" t="str">
        <x:v>Инструмент и спецоснастка</x:v>
      </x:c>
      <x:c r="E535" s="16" t="str">
        <x:v>ШТ</x:v>
      </x:c>
      <x:c r="F535" s="21" t="n">
        <x:v>17</x:v>
      </x:c>
      <x:c r="G535" s="17" t="n">
        <x:v>1359.3971999999999</x:v>
      </x:c>
      <x:c r="H535" s="17" t="n">
        <x:f>G535*F535</x:f>
        <x:v>23109.752399999998</x:v>
      </x:c>
      <x:c r="I535" s="22" t="str">
        <x:f>HYPERLINK("https://etp-aktiv.ru/catalog/materialy/instrument-i-specosnastka/2000191342-U117/","Открыть позицию")</x:f>
        <x:v>Открыть позицию</x:v>
      </x:c>
    </x:row>
    <x:row r="536" ht="28" customHeight="1">
      <x:c r="A536" s="16" t="str">
        <x:v>Приморская ГРЭС</x:v>
      </x:c>
      <x:c r="B536" s="16" t="str">
        <x:v>2000046023-U117</x:v>
      </x:c>
      <x:c r="C536" s="16" t="str">
        <x:v>ШЛИФКРУГ 300*40*76 24А</x:v>
      </x:c>
      <x:c r="D536" s="16" t="str">
        <x:v>Инструмент и спецоснастка</x:v>
      </x:c>
      <x:c r="E536" s="16" t="str">
        <x:v>ШТ</x:v>
      </x:c>
      <x:c r="F536" s="21" t="n">
        <x:v>8</x:v>
      </x:c>
      <x:c r="G536" s="17" t="n">
        <x:v>1607.1182</x:v>
      </x:c>
      <x:c r="H536" s="17" t="n">
        <x:f>G536*F536</x:f>
        <x:v>12856.9456</x:v>
      </x:c>
      <x:c r="I536" s="22" t="str">
        <x:f>HYPERLINK("https://etp-aktiv.ru/catalog/materialy/instrument-i-specosnastka/2000046023-U117/","Открыть позицию")</x:f>
        <x:v>Открыть позицию</x:v>
      </x:c>
    </x:row>
    <x:row r="537" ht="28" customHeight="1">
      <x:c r="A537" s="16" t="str">
        <x:v>Приморская ГРЭС</x:v>
      </x:c>
      <x:c r="B537" s="16" t="str">
        <x:v>2000182706-U117</x:v>
      </x:c>
      <x:c r="C537" s="16" t="str">
        <x:v>ШЛИФКРУГ 300*76*16 25А М60 ГОСТ52781-07</x:v>
      </x:c>
      <x:c r="D537" s="16" t="str">
        <x:v>Инструмент и спецоснастка</x:v>
      </x:c>
      <x:c r="E537" s="16" t="str">
        <x:v>ШТ</x:v>
      </x:c>
      <x:c r="F537" s="21" t="n">
        <x:v>5</x:v>
      </x:c>
      <x:c r="G537" s="17" t="n">
        <x:v>695.0096</x:v>
      </x:c>
      <x:c r="H537" s="17" t="n">
        <x:f>G537*F537</x:f>
        <x:v>3475.048</x:v>
      </x:c>
      <x:c r="I537" s="22" t="str">
        <x:f>HYPERLINK("https://etp-aktiv.ru/catalog/materialy/instrument-i-specosnastka/2000182706-U117/","Открыть позицию")</x:f>
        <x:v>Открыть позицию</x:v>
      </x:c>
    </x:row>
    <x:row r="538" ht="28" customHeight="1">
      <x:c r="A538" s="16" t="str">
        <x:v>Приморская ГРЭС</x:v>
      </x:c>
      <x:c r="B538" s="16" t="str">
        <x:v>2000160096-U117</x:v>
      </x:c>
      <x:c r="C538" s="16" t="str">
        <x:v>ШЛИФКРУГ 350*40*76 63С</x:v>
      </x:c>
      <x:c r="D538" s="16" t="str">
        <x:v>Инструмент и спецоснастка</x:v>
      </x:c>
      <x:c r="E538" s="16" t="str">
        <x:v>ШТ</x:v>
      </x:c>
      <x:c r="F538" s="21" t="n">
        <x:v>9</x:v>
      </x:c>
      <x:c r="G538" s="17" t="n">
        <x:v>1258.6496</x:v>
      </x:c>
      <x:c r="H538" s="17" t="n">
        <x:f>G538*F538</x:f>
        <x:v>11327.8464</x:v>
      </x:c>
      <x:c r="I538" s="22" t="str">
        <x:f>HYPERLINK("https://etp-aktiv.ru/catalog/materialy/instrument-i-specosnastka/2000160096-U117/","Открыть позицию")</x:f>
        <x:v>Открыть позицию</x:v>
      </x:c>
    </x:row>
    <x:row r="539" ht="28" customHeight="1">
      <x:c r="A539" s="16" t="str">
        <x:v>Приморская ГРЭС</x:v>
      </x:c>
      <x:c r="B539" s="16" t="str">
        <x:v>2000321955-U117</x:v>
      </x:c>
      <x:c r="C539" s="16" t="str">
        <x:v>ШЛИФКРУГ 80*20*20 25А</x:v>
      </x:c>
      <x:c r="D539" s="16" t="str">
        <x:v>Инструмент и спецоснастка</x:v>
      </x:c>
      <x:c r="E539" s="16" t="str">
        <x:v>ШТ</x:v>
      </x:c>
      <x:c r="F539" s="21" t="n">
        <x:v>28</x:v>
      </x:c>
      <x:c r="G539" s="17" t="n">
        <x:v>65.8312</x:v>
      </x:c>
      <x:c r="H539" s="17" t="n">
        <x:f>G539*F539</x:f>
        <x:v>1843.2736</x:v>
      </x:c>
      <x:c r="I539" s="22" t="str">
        <x:f>HYPERLINK("https://etp-aktiv.ru/catalog/materialy/instrument-i-specosnastka/2000321955-U117/","Открыть позицию")</x:f>
        <x:v>Открыть позицию</x:v>
      </x:c>
    </x:row>
    <x:row r="540" ht="28" customHeight="1">
      <x:c r="A540" s="16" t="str">
        <x:v>Приморская ГРЭС</x:v>
      </x:c>
      <x:c r="B540" s="16" t="str">
        <x:v>2000138139-U117</x:v>
      </x:c>
      <x:c r="C540" s="16" t="str">
        <x:v>ШЛИФКРУГ 80*20*20 25А25С</x:v>
      </x:c>
      <x:c r="D540" s="16" t="str">
        <x:v>Инструмент и спецоснастка</x:v>
      </x:c>
      <x:c r="E540" s="16" t="str">
        <x:v>ШТ</x:v>
      </x:c>
      <x:c r="F540" s="21" t="n">
        <x:v>54</x:v>
      </x:c>
      <x:c r="G540" s="17" t="n">
        <x:v>114.9972</x:v>
      </x:c>
      <x:c r="H540" s="17" t="n">
        <x:f>G540*F540</x:f>
        <x:v>6209.848800000001</x:v>
      </x:c>
      <x:c r="I540" s="22" t="str">
        <x:f>HYPERLINK("https://etp-aktiv.ru/catalog/materialy/instrument-i-specosnastka/2000138139-U117/","Открыть позицию")</x:f>
        <x:v>Открыть позицию</x:v>
      </x:c>
    </x:row>
    <x:row r="541" ht="28" customHeight="1">
      <x:c r="A541" s="16" t="str">
        <x:v>Приморская ГРЭС</x:v>
      </x:c>
      <x:c r="B541" s="16" t="str">
        <x:v>5000061207-U117</x:v>
      </x:c>
      <x:c r="C541" s="16" t="str">
        <x:v>ШЛИФМАШИНА ПРЯМАЯ MAKITA GD0602</x:v>
      </x:c>
      <x:c r="D541" s="16" t="str">
        <x:v>Средства малой механизации</x:v>
      </x:c>
      <x:c r="E541" s="16" t="str">
        <x:v>ШТ</x:v>
      </x:c>
      <x:c r="F541" s="21" t="n">
        <x:v>9</x:v>
      </x:c>
      <x:c r="G541" s="17" t="n">
        <x:v>7874.7462</x:v>
      </x:c>
      <x:c r="H541" s="17" t="n">
        <x:f>G541*F541</x:f>
        <x:v>70872.71579999999</x:v>
      </x:c>
      <x:c r="I541" s="22" t="str">
        <x:f>HYPERLINK("https://etp-aktiv.ru/catalog/materialy/prochie-materialy/5000061207-U117/","Открыть позицию")</x:f>
        <x:v>Открыть позицию</x:v>
      </x:c>
    </x:row>
    <x:row r="542" ht="28" customHeight="1">
      <x:c r="A542" s="16" t="str">
        <x:v>Приморская ГРЭС</x:v>
      </x:c>
      <x:c r="B542" s="16" t="str">
        <x:v>5000043738-U117</x:v>
      </x:c>
      <x:c r="C542" s="16" t="str">
        <x:v>ШЛИФМАШИНА ПРЯМАЯ MAKITA GS6000</x:v>
      </x:c>
      <x:c r="D542" s="16" t="str">
        <x:v>Средства малой механизации</x:v>
      </x:c>
      <x:c r="E542" s="16" t="str">
        <x:v>ШТ</x:v>
      </x:c>
      <x:c r="F542" s="21" t="n">
        <x:v>5</x:v>
      </x:c>
      <x:c r="G542" s="17" t="n">
        <x:v>29280</x:v>
      </x:c>
      <x:c r="H542" s="17" t="n">
        <x:f>G542*F542</x:f>
        <x:v>146400</x:v>
      </x:c>
      <x:c r="I542" s="22" t="str">
        <x:f>HYPERLINK("https://etp-aktiv.ru/catalog/materialy/prochie-materialy/5000043738-U117/","Открыть позицию")</x:f>
        <x:v>Открыть позицию</x:v>
      </x:c>
    </x:row>
    <x:row r="543" ht="28" customHeight="1">
      <x:c r="A543" s="16" t="str">
        <x:v>Приморская ГРЭС</x:v>
      </x:c>
      <x:c r="B543" s="16" t="str">
        <x:v>5000105846-U117</x:v>
      </x:c>
      <x:c r="C543" s="16" t="str">
        <x:v>ШЛИФМАШИНА УГЛОВАЯ АККУМ KRESS KU801</x:v>
      </x:c>
      <x:c r="D543" s="16" t="str">
        <x:v>Средства малой механизации</x:v>
      </x:c>
      <x:c r="E543" s="16" t="str">
        <x:v>ШТ</x:v>
      </x:c>
      <x:c r="F543" s="21" t="n">
        <x:v>1</x:v>
      </x:c>
      <x:c r="G543" s="17" t="n">
        <x:v>27511</x:v>
      </x:c>
      <x:c r="H543" s="17" t="n">
        <x:f>G543*F543</x:f>
        <x:v>27511</x:v>
      </x:c>
      <x:c r="I543" s="22" t="str">
        <x:f>HYPERLINK("https://etp-aktiv.ru/catalog/materialy/prochie-materialy/5000105846-U117/","Открыть позицию")</x:f>
        <x:v>Открыть позицию</x:v>
      </x:c>
    </x:row>
    <x:row r="544" ht="28" customHeight="1">
      <x:c r="A544" s="16" t="str">
        <x:v>Приморская ГРЭС</x:v>
      </x:c>
      <x:c r="B544" s="16" t="str">
        <x:v>2000046130-U117</x:v>
      </x:c>
      <x:c r="C544" s="16" t="str">
        <x:v>ШЛИФШКУРКА 6-Н 700*30 14А</x:v>
      </x:c>
      <x:c r="D544" s="16" t="str">
        <x:v>Инструмент и спецоснастка</x:v>
      </x:c>
      <x:c r="E544" s="16" t="str">
        <x:v>ПМ</x:v>
      </x:c>
      <x:c r="F544" s="21" t="n">
        <x:v>1</x:v>
      </x:c>
      <x:c r="G544" s="17" t="n">
        <x:v>176.75359999999998</x:v>
      </x:c>
      <x:c r="H544" s="17" t="n">
        <x:f>G544*F544</x:f>
        <x:v>176.75359999999998</x:v>
      </x:c>
      <x:c r="I544" s="22" t="str">
        <x:f>HYPERLINK("https://etp-aktiv.ru/catalog/materialy/instrument-i-specosnastka/2000046130-U117/","Открыть позицию")</x:f>
        <x:v>Открыть позицию</x:v>
      </x:c>
    </x:row>
    <x:row r="545" ht="28" customHeight="1">
      <x:c r="A545" s="16" t="str">
        <x:v>Приморская ГРЭС</x:v>
      </x:c>
      <x:c r="B545" s="16" t="str">
        <x:v>2000227543-U117</x:v>
      </x:c>
      <x:c r="C545" s="16" t="str">
        <x:v>ШЛИФШКУРКА N40 750*30 14А</x:v>
      </x:c>
      <x:c r="D545" s="16" t="str">
        <x:v>Инструмент и спецоснастка</x:v>
      </x:c>
      <x:c r="E545" s="16" t="str">
        <x:v>М</x:v>
      </x:c>
      <x:c r="F545" s="26" t="n">
        <x:v>0.9</x:v>
      </x:c>
      <x:c r="G545" s="17" t="n">
        <x:v>297.2042</x:v>
      </x:c>
      <x:c r="H545" s="17" t="n">
        <x:f>G545*F545</x:f>
        <x:v>267.48378</x:v>
      </x:c>
      <x:c r="I545" s="22" t="str">
        <x:f>HYPERLINK("https://etp-aktiv.ru/catalog/materialy/instrument-i-specosnastka/2000227543-U117/","Открыть позицию")</x:f>
        <x:v>Открыть позицию</x:v>
      </x:c>
    </x:row>
    <x:row r="546" ht="28" customHeight="1">
      <x:c r="A546" s="16" t="str">
        <x:v>Приморская ГРЭС</x:v>
      </x:c>
      <x:c r="B546" s="16" t="str">
        <x:v>2000259786-U117</x:v>
      </x:c>
      <x:c r="C546" s="16" t="str">
        <x:v>ШЛИФШКУРКА ВОДОСТОЙКАЯ 115*5000 Р180</x:v>
      </x:c>
      <x:c r="D546" s="16" t="str">
        <x:v>Инструмент и спецоснастка</x:v>
      </x:c>
      <x:c r="E546" s="16" t="str">
        <x:v>ШТ</x:v>
      </x:c>
      <x:c r="F546" s="21" t="n">
        <x:v>6</x:v>
      </x:c>
      <x:c r="G546" s="17" t="n">
        <x:v>230.0066</x:v>
      </x:c>
      <x:c r="H546" s="17" t="n">
        <x:f>G546*F546</x:f>
        <x:v>1380.0396</x:v>
      </x:c>
      <x:c r="I546" s="22" t="str">
        <x:f>HYPERLINK("https://etp-aktiv.ru/catalog/materialy/instrument-i-specosnastka/2000259786-U117/","Открыть позицию")</x:f>
        <x:v>Открыть позицию</x:v>
      </x:c>
    </x:row>
    <x:row r="547" ht="28" customHeight="1">
      <x:c r="A547" s="16" t="str">
        <x:v>Приморская ГРЭС</x:v>
      </x:c>
      <x:c r="B547" s="16" t="str">
        <x:v>2000534633-U117</x:v>
      </x:c>
      <x:c r="C547" s="16" t="str">
        <x:v>ШПИЛЬКА ПОДУШКИ ПЯТЫ ОРЦ.32.211 ПЭН-1А</x:v>
      </x:c>
      <x:c r="D547" s="16" t="str">
        <x:v>Запасные части к энергетическим насосам</x:v>
      </x:c>
      <x:c r="E547" s="16" t="str">
        <x:v>ШТ</x:v>
      </x:c>
      <x:c r="F547" s="21" t="n">
        <x:v>16</x:v>
      </x:c>
      <x:c r="G547" s="17" t="n">
        <x:v>903.1782</x:v>
      </x:c>
      <x:c r="H547" s="17" t="n">
        <x:f>G547*F547</x:f>
        <x:v>14450.8512</x:v>
      </x:c>
      <x:c r="I547" s="22" t="str">
        <x:f>HYPERLINK("https://etp-aktiv.ru/catalog/materialy/zapasnye-chasti-promyshlennogo-oborudovaniya/2000534633-U117/","Открыть позицию")</x:f>
        <x:v>Открыть позицию</x:v>
      </x:c>
    </x:row>
    <x:row r="548" ht="28" customHeight="1">
      <x:c r="A548" s="16" t="str">
        <x:v>Приморская ГРЭС</x:v>
      </x:c>
      <x:c r="B548" s="16" t="str">
        <x:v>2000354325-U117</x:v>
      </x:c>
      <x:c r="C548" s="16" t="str">
        <x:v>ШТУЦЕР ВНЕШР R3/8" 617798 UNIOR</x:v>
      </x:c>
      <x:c r="D548" s="16" t="str">
        <x:v>Инструмент и спецоснастка</x:v>
      </x:c>
      <x:c r="E548" s="16" t="str">
        <x:v>ШТ</x:v>
      </x:c>
      <x:c r="F548" s="21" t="n">
        <x:v>15</x:v>
      </x:c>
      <x:c r="G548" s="17" t="n">
        <x:v>377.4436</x:v>
      </x:c>
      <x:c r="H548" s="17" t="n">
        <x:f>G548*F548</x:f>
        <x:v>5661.654</x:v>
      </x:c>
      <x:c r="I548" s="22" t="str">
        <x:f>HYPERLINK("https://etp-aktiv.ru/catalog/materialy/instrument-i-specosnastka/2000354325-U117/","Открыть позицию")</x:f>
        <x:v>Открыть позицию</x:v>
      </x:c>
    </x:row>
    <x:row r="549" ht="28" customHeight="1">
      <x:c r="A549" s="16" t="str">
        <x:v>Приморская ГРЭС</x:v>
      </x:c>
      <x:c r="B549" s="16" t="str">
        <x:v>2000116928-U117</x:v>
      </x:c>
      <x:c r="C549" s="16" t="str">
        <x:v>ШУБКА ВАЛИКА 12*250ММ 8101059</x:v>
      </x:c>
      <x:c r="D549" s="16" t="str">
        <x:v>Инструмент и спецоснастка</x:v>
      </x:c>
      <x:c r="E549" s="16" t="str">
        <x:v>ШТ</x:v>
      </x:c>
      <x:c r="F549" s="21" t="n">
        <x:v>15</x:v>
      </x:c>
      <x:c r="G549" s="17" t="n">
        <x:v>13.993400000000001</x:v>
      </x:c>
      <x:c r="H549" s="17" t="n">
        <x:f>G549*F549</x:f>
        <x:v>209.901</x:v>
      </x:c>
      <x:c r="I549" s="22" t="str">
        <x:f>HYPERLINK("https://etp-aktiv.ru/catalog/materialy/instrument-i-specosnastka/2000116928-U117/","Открыть позицию")</x:f>
        <x:v>Открыть позицию</x:v>
      </x:c>
    </x:row>
    <x:row r="550" ht="28" customHeight="1">
      <x:c r="A550" s="16" t="str">
        <x:v>Приморская ГРЭС</x:v>
      </x:c>
      <x:c r="B550" s="16" t="str">
        <x:v>2000130566-U117</x:v>
      </x:c>
      <x:c r="C550" s="16" t="str">
        <x:v>ШУБКА ВАЛИКА 250ММ 810105R5</x:v>
      </x:c>
      <x:c r="D550" s="16" t="str">
        <x:v>Инструмент и спецоснастка</x:v>
      </x:c>
      <x:c r="E550" s="16" t="str">
        <x:v>УПК</x:v>
      </x:c>
      <x:c r="F550" s="21" t="n">
        <x:v>10</x:v>
      </x:c>
      <x:c r="G550" s="17" t="n">
        <x:v>32.8668</x:v>
      </x:c>
      <x:c r="H550" s="17" t="n">
        <x:f>G550*F550</x:f>
        <x:v>328.668</x:v>
      </x:c>
      <x:c r="I550" s="22" t="str">
        <x:f>HYPERLINK("https://etp-aktiv.ru/catalog/materialy/instrument-i-specosnastka/2000130566-U117/","Открыть позицию")</x:f>
        <x:v>Открыть позицию</x:v>
      </x:c>
    </x:row>
    <x:row r="551" ht="28" customHeight="1">
      <x:c r="A551" s="16" t="str">
        <x:v>Приморская ГРЭС</x:v>
      </x:c>
      <x:c r="B551" s="16" t="str">
        <x:v>2000561635-U117</x:v>
      </x:c>
      <x:c r="C551" s="16" t="str">
        <x:v>ЩЕТКА ЗАЧИСТ Д/УШМ КРАЦОВКА 150ММ 70979</x:v>
      </x:c>
      <x:c r="D551" s="16" t="str">
        <x:v>Инструмент и спецоснастка</x:v>
      </x:c>
      <x:c r="E551" s="16" t="str">
        <x:v>ШТ</x:v>
      </x:c>
      <x:c r="F551" s="21" t="n">
        <x:v>2</x:v>
      </x:c>
      <x:c r="G551" s="17" t="n">
        <x:v>328.6436</x:v>
      </x:c>
      <x:c r="H551" s="17" t="n">
        <x:f>G551*F551</x:f>
        <x:v>657.2872</x:v>
      </x:c>
      <x:c r="I551" s="22" t="str">
        <x:f>HYPERLINK("https://etp-aktiv.ru/catalog/materialy/instrument-i-specosnastka/2000561635-U117/","Открыть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59b35dc4eecc4bfd"/>
  </x:tableParts>
</x:worksheet>
</file>

<file path=xl/worksheets/sheet13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Приморье: Изоляция, РТИ, огнеупорные и кислотоупорные материалы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Приморская ГРЭС</x:v>
      </x:c>
      <x:c r="B5" s="16" t="str">
        <x:v>2000538909-U117</x:v>
      </x:c>
      <x:c r="C5" s="16" t="str">
        <x:v>АСБЕСТ ХРИЗОТИЛОВЫЙ А-3-50</x:v>
      </x:c>
      <x:c r="D5" s="16" t="str">
        <x:v>Асбо-технические изделия</x:v>
      </x:c>
      <x:c r="E5" s="16" t="str">
        <x:v>КГ</x:v>
      </x:c>
      <x:c r="F5" s="21" t="n">
        <x:v>10</x:v>
      </x:c>
      <x:c r="G5" s="17" t="n">
        <x:v>54.35099999999999</x:v>
      </x:c>
      <x:c r="H5" s="17" t="n">
        <x:f>G5*F5</x:f>
        <x:v>543.5099999999999</x:v>
      </x:c>
      <x:c r="I5" s="22" t="str">
        <x:f>HYPERLINK("https://etp-aktiv.ru/catalog/materialy/asbo-tekhnicheskie-izdeliya/2000538909-U117/","Открыть позицию")</x:f>
        <x:v>Открыть позицию</x:v>
      </x:c>
    </x:row>
    <x:row r="6" ht="28" customHeight="1">
      <x:c r="A6" s="16" t="str">
        <x:v>Приморская ГРЭС</x:v>
      </x:c>
      <x:c r="B6" s="16" t="str">
        <x:v>2000019540-U117</x:v>
      </x:c>
      <x:c r="C6" s="16" t="str">
        <x:v>АСБОКАРТОН КАОН 6ММ</x:v>
      </x:c>
      <x:c r="D6" s="16" t="str">
        <x:v>Асбо-технические изделия</x:v>
      </x:c>
      <x:c r="E6" s="16" t="str">
        <x:v>КГ</x:v>
      </x:c>
      <x:c r="F6" s="21" t="n">
        <x:v>11</x:v>
      </x:c>
      <x:c r="G6" s="17" t="n">
        <x:v>61.58559999999999</x:v>
      </x:c>
      <x:c r="H6" s="17" t="n">
        <x:f>G6*F6</x:f>
        <x:v>677.4415999999999</x:v>
      </x:c>
      <x:c r="I6" s="22" t="str">
        <x:f>HYPERLINK("https://etp-aktiv.ru/catalog/materialy/asbo-tekhnicheskie-izdeliya/2000019540-U117/","Открыть позицию")</x:f>
        <x:v>Открыть позицию</x:v>
      </x:c>
    </x:row>
    <x:row r="7" ht="28" customHeight="1">
      <x:c r="A7" s="16" t="str">
        <x:v>Приморская ГРЭС</x:v>
      </x:c>
      <x:c r="B7" s="16" t="str">
        <x:v>2000538916-U117</x:v>
      </x:c>
      <x:c r="C7" s="16" t="str">
        <x:v>АСБОТКАНЬ АТ-3 2,5*1550</x:v>
      </x:c>
      <x:c r="D7" s="16" t="str">
        <x:v>Асбо-технические изделия</x:v>
      </x:c>
      <x:c r="E7" s="16" t="str">
        <x:v>М2</x:v>
      </x:c>
      <x:c r="F7" s="30" t="n">
        <x:v>83.2</x:v>
      </x:c>
      <x:c r="G7" s="17" t="n">
        <x:v>533.9452</x:v>
      </x:c>
      <x:c r="H7" s="17" t="n">
        <x:f>G7*F7</x:f>
        <x:v>44424.24064</x:v>
      </x:c>
      <x:c r="I7" s="22" t="str">
        <x:f>HYPERLINK("https://etp-aktiv.ru/catalog/materialy/asbo-tekhnicheskie-izdeliya/2000538916-U117/","Открыть позицию")</x:f>
        <x:v>Открыть позицию</x:v>
      </x:c>
    </x:row>
    <x:row r="8" ht="28" customHeight="1">
      <x:c r="A8" s="16" t="str">
        <x:v>Приморская ГРЭС</x:v>
      </x:c>
      <x:c r="B8" s="16" t="str">
        <x:v>2000716866-U117</x:v>
      </x:c>
      <x:c r="C8" s="16" t="str">
        <x:v>ВЕРМИКУЛИТ ВСПУЧЕННЫЙ 150 ГОСТ12865-67</x:v>
      </x:c>
      <x:c r="D8" s="16" t="str">
        <x:v>Огнеупорные материалы</x:v>
      </x:c>
      <x:c r="E8" s="16" t="str">
        <x:v>М3</x:v>
      </x:c>
      <x:c r="F8" s="30" t="n">
        <x:v>8.22</x:v>
      </x:c>
      <x:c r="G8" s="17" t="n">
        <x:v>24161.7218</x:v>
      </x:c>
      <x:c r="H8" s="17" t="n">
        <x:f>G8*F8</x:f>
        <x:v>198609.353196</x:v>
      </x:c>
      <x:c r="I8" s="22" t="str">
        <x:f>HYPERLINK("https://etp-aktiv.ru/catalog/materialy/ogneupornye-materialy/2000716866-U117/","Открыть позицию")</x:f>
        <x:v>Открыть позицию</x:v>
      </x:c>
    </x:row>
    <x:row r="9" ht="28" customHeight="1">
      <x:c r="A9" s="16" t="str">
        <x:v>Приморская ГРЭС</x:v>
      </x:c>
      <x:c r="B9" s="16" t="str">
        <x:v>2000138944-U117</x:v>
      </x:c>
      <x:c r="C9" s="16" t="str">
        <x:v>ВОЙЛОК ТЕХНИЧЕСКИЙ 20ММ</x:v>
      </x:c>
      <x:c r="D9" s="16" t="str">
        <x:v>Теплоизоляция</x:v>
      </x:c>
      <x:c r="E9" s="16" t="str">
        <x:v>КГ</x:v>
      </x:c>
      <x:c r="F9" s="30" t="n">
        <x:v>73.5</x:v>
      </x:c>
      <x:c r="G9" s="17" t="n">
        <x:v>383.0068</x:v>
      </x:c>
      <x:c r="H9" s="17" t="n">
        <x:f>G9*F9</x:f>
        <x:v>28150.9998</x:v>
      </x:c>
      <x:c r="I9" s="22" t="str">
        <x:f>HYPERLINK("https://etp-aktiv.ru/catalog/materialy/teploizolyaciya/2000138944-U117/","Открыть позицию")</x:f>
        <x:v>Открыть позицию</x:v>
      </x:c>
    </x:row>
    <x:row r="10" ht="28" customHeight="1">
      <x:c r="A10" s="16" t="str">
        <x:v>Приморская ГРЭС</x:v>
      </x:c>
      <x:c r="B10" s="16" t="str">
        <x:v>2000821013-U117</x:v>
      </x:c>
      <x:c r="C10" s="16" t="str">
        <x:v>ВТУЛКА 14*27*28 МУВП К2 ГОСТ21424-75</x:v>
      </x:c>
      <x:c r="D10" s="16" t="str">
        <x:v>Резино-технические изделия прочие</x:v>
      </x:c>
      <x:c r="E10" s="16" t="str">
        <x:v>ШТ</x:v>
      </x:c>
      <x:c r="F10" s="21" t="n">
        <x:v>24</x:v>
      </x:c>
      <x:c r="G10" s="17" t="n">
        <x:v>65.88</x:v>
      </x:c>
      <x:c r="H10" s="17" t="n">
        <x:f>G10*F10</x:f>
        <x:v>1581.12</x:v>
      </x:c>
      <x:c r="I10" s="22" t="str">
        <x:f>HYPERLINK("https://etp-aktiv.ru/catalog/materialy/rezino-tekhnicheskie-izdeliya/2000821013-U117/","Открыть позицию")</x:f>
        <x:v>Открыть позицию</x:v>
      </x:c>
    </x:row>
    <x:row r="11" ht="28" customHeight="1">
      <x:c r="A11" s="16" t="str">
        <x:v>Приморская ГРЭС</x:v>
      </x:c>
      <x:c r="B11" s="16" t="str">
        <x:v>2000690071-U117</x:v>
      </x:c>
      <x:c r="C11" s="16" t="str">
        <x:v>ЗАПОЛНИТЕЛЬ АЛЮМОСИЛИКАТНЫЙ ЗШБ-4</x:v>
      </x:c>
      <x:c r="D11" s="16" t="str">
        <x:v>Огнеупорные материалы</x:v>
      </x:c>
      <x:c r="E11" s="16" t="str">
        <x:v>КГ</x:v>
      </x:c>
      <x:c r="F11" s="21" t="n">
        <x:v>160</x:v>
      </x:c>
      <x:c r="G11" s="17" t="n">
        <x:v>29.9998</x:v>
      </x:c>
      <x:c r="H11" s="17" t="n">
        <x:f>G11*F11</x:f>
        <x:v>4799.968</x:v>
      </x:c>
      <x:c r="I11" s="22" t="str">
        <x:f>HYPERLINK("https://etp-aktiv.ru/catalog/materialy/ogneupornye-materialy/2000690071-U117/","Открыть позицию")</x:f>
        <x:v>Открыть позицию</x:v>
      </x:c>
    </x:row>
    <x:row r="12" ht="28" customHeight="1">
      <x:c r="A12" s="16" t="str">
        <x:v>Приморская ГРЭС</x:v>
      </x:c>
      <x:c r="B12" s="16" t="str">
        <x:v>2000538922-U117</x:v>
      </x:c>
      <x:c r="C12" s="16" t="str">
        <x:v>КАРТОН КАОН-1 5*1000*1000</x:v>
      </x:c>
      <x:c r="D12" s="16" t="str">
        <x:v>Асбо-технические изделия</x:v>
      </x:c>
      <x:c r="E12" s="16" t="str">
        <x:v>КГ</x:v>
      </x:c>
      <x:c r="F12" s="21" t="n">
        <x:v>137</x:v>
      </x:c>
      <x:c r="G12" s="17" t="n">
        <x:v>50.861799999999995</x:v>
      </x:c>
      <x:c r="H12" s="17" t="n">
        <x:f>G12*F12</x:f>
        <x:v>6968.066599999999</x:v>
      </x:c>
      <x:c r="I12" s="22" t="str">
        <x:f>HYPERLINK("https://etp-aktiv.ru/catalog/materialy/asbo-tekhnicheskie-izdeliya/2000538922-U117/","Открыть позицию")</x:f>
        <x:v>Открыть позицию</x:v>
      </x:c>
    </x:row>
    <x:row r="13" ht="28" customHeight="1">
      <x:c r="A13" s="16" t="str">
        <x:v>Приморская ГРЭС</x:v>
      </x:c>
      <x:c r="B13" s="16" t="str">
        <x:v>2000711636-U117</x:v>
      </x:c>
      <x:c r="C13" s="16" t="str">
        <x:v>КМП К-03Ш 2*4 42*26*48-КГФ-Г</x:v>
      </x:c>
      <x:c r="D13" s="16" t="str">
        <x:v>Асбо-технические изделия</x:v>
      </x:c>
      <x:c r="E13" s="16" t="str">
        <x:v>ШТ</x:v>
      </x:c>
      <x:c r="F13" s="21" t="n">
        <x:v>13</x:v>
      </x:c>
      <x:c r="G13" s="17" t="n">
        <x:v>152.5366</x:v>
      </x:c>
      <x:c r="H13" s="17" t="n">
        <x:f>G13*F13</x:f>
        <x:v>1982.9758</x:v>
      </x:c>
      <x:c r="I13" s="22" t="str">
        <x:f>HYPERLINK("https://etp-aktiv.ru/catalog/materialy/asbo-tekhnicheskie-izdeliya/2000711636-U117/","Открыть позицию")</x:f>
        <x:v>Открыть позицию</x:v>
      </x:c>
    </x:row>
    <x:row r="14" ht="28" customHeight="1">
      <x:c r="A14" s="16" t="str">
        <x:v>Приморская ГРЭС</x:v>
      </x:c>
      <x:c r="B14" s="16" t="str">
        <x:v>2000711637-U117</x:v>
      </x:c>
      <x:c r="C14" s="16" t="str">
        <x:v>КМП К-03Ш 2*4 88*70*54 КГФ-Г</x:v>
      </x:c>
      <x:c r="D14" s="16" t="str">
        <x:v>Асбо-технические изделия</x:v>
      </x:c>
      <x:c r="E14" s="16" t="str">
        <x:v>ШТ</x:v>
      </x:c>
      <x:c r="F14" s="21" t="n">
        <x:v>7</x:v>
      </x:c>
      <x:c r="G14" s="17" t="n">
        <x:v>35.3312</x:v>
      </x:c>
      <x:c r="H14" s="17" t="n">
        <x:f>G14*F14</x:f>
        <x:v>247.31840000000003</x:v>
      </x:c>
      <x:c r="I14" s="22" t="str">
        <x:f>HYPERLINK("https://etp-aktiv.ru/catalog/materialy/asbo-tekhnicheskie-izdeliya/2000711637-U117/","Открыть позицию")</x:f>
        <x:v>Открыть позицию</x:v>
      </x:c>
    </x:row>
    <x:row r="15" ht="28" customHeight="1">
      <x:c r="A15" s="16" t="str">
        <x:v>Приморская ГРЭС</x:v>
      </x:c>
      <x:c r="B15" s="16" t="str">
        <x:v>2000711292-U117</x:v>
      </x:c>
      <x:c r="C15" s="16" t="str">
        <x:v>КМП КОЛЕЦ 2ШТ КП-04 250*210-40-ГФ-2</x:v>
      </x:c>
      <x:c r="D15" s="16" t="str">
        <x:v>Асбо-технические изделия</x:v>
      </x:c>
      <x:c r="E15" s="16" t="str">
        <x:v>ШТ</x:v>
      </x:c>
      <x:c r="F15" s="21" t="n">
        <x:v>13</x:v>
      </x:c>
      <x:c r="G15" s="17" t="n">
        <x:v>2020.9666</x:v>
      </x:c>
      <x:c r="H15" s="17" t="n">
        <x:f>G15*F15</x:f>
        <x:v>26272.5658</x:v>
      </x:c>
      <x:c r="I15" s="22" t="str">
        <x:f>HYPERLINK("https://etp-aktiv.ru/catalog/materialy/asbo-tekhnicheskie-izdeliya/2000711292-U117/","Открыть позицию")</x:f>
        <x:v>Открыть позицию</x:v>
      </x:c>
    </x:row>
    <x:row r="16" ht="28" customHeight="1">
      <x:c r="A16" s="16" t="str">
        <x:v>Приморская ГРЭС</x:v>
      </x:c>
      <x:c r="B16" s="16" t="str">
        <x:v>2000538971-U117</x:v>
      </x:c>
      <x:c r="C16" s="16" t="str">
        <x:v>КМП КОЛЕЦ 2ШТ КШ-03-2*4-32*20*36-ГФ-2</x:v>
      </x:c>
      <x:c r="D16" s="16" t="str">
        <x:v>Асбо-технические изделия</x:v>
      </x:c>
      <x:c r="E16" s="16" t="str">
        <x:v>КМП</x:v>
      </x:c>
      <x:c r="F16" s="21" t="n">
        <x:v>763</x:v>
      </x:c>
      <x:c r="G16" s="17" t="n">
        <x:v>153.7566</x:v>
      </x:c>
      <x:c r="H16" s="17" t="n">
        <x:f>G16*F16</x:f>
        <x:v>117316.2858</x:v>
      </x:c>
      <x:c r="I16" s="22" t="str">
        <x:f>HYPERLINK("https://etp-aktiv.ru/catalog/materialy/asbo-tekhnicheskie-izdeliya/2000538971-U117/","Открыть позицию")</x:f>
        <x:v>Открыть позицию</x:v>
      </x:c>
    </x:row>
    <x:row r="17" ht="28" customHeight="1">
      <x:c r="A17" s="16" t="str">
        <x:v>Приморская ГРЭС</x:v>
      </x:c>
      <x:c r="B17" s="16" t="str">
        <x:v>2000604863-U117</x:v>
      </x:c>
      <x:c r="C17" s="16" t="str">
        <x:v>КМП КОЛЕЦ 5ШТ К-00Ш-5 62*36*65 КГФ-Г</x:v>
      </x:c>
      <x:c r="D17" s="16" t="str">
        <x:v>Асбо-технические изделия</x:v>
      </x:c>
      <x:c r="E17" s="16" t="str">
        <x:v>КМП</x:v>
      </x:c>
      <x:c r="F17" s="21" t="n">
        <x:v>16</x:v>
      </x:c>
      <x:c r="G17" s="17" t="n">
        <x:v>288.93260000000004</x:v>
      </x:c>
      <x:c r="H17" s="17" t="n">
        <x:f>G17*F17</x:f>
        <x:v>4622.921600000001</x:v>
      </x:c>
      <x:c r="I17" s="22" t="str">
        <x:f>HYPERLINK("https://etp-aktiv.ru/catalog/materialy/asbo-tekhnicheskie-izdeliya/2000604863-U117/","Открыть позицию")</x:f>
        <x:v>Открыть позицию</x:v>
      </x:c>
    </x:row>
    <x:row r="18" ht="28" customHeight="1">
      <x:c r="A18" s="16" t="str">
        <x:v>Приморская ГРЭС</x:v>
      </x:c>
      <x:c r="B18" s="16" t="str">
        <x:v>2000539060-U117</x:v>
      </x:c>
      <x:c r="C18" s="16" t="str">
        <x:v>КМП КОЛЕЦ 5ШТ К-04П КГФ-Г ГФ2 250*210*40</x:v>
      </x:c>
      <x:c r="D18" s="16" t="str">
        <x:v>Асбо-технические изделия</x:v>
      </x:c>
      <x:c r="E18" s="16" t="str">
        <x:v>КМП</x:v>
      </x:c>
      <x:c r="F18" s="21" t="n">
        <x:v>9</x:v>
      </x:c>
      <x:c r="G18" s="17" t="n">
        <x:v>1631.0912</x:v>
      </x:c>
      <x:c r="H18" s="17" t="n">
        <x:f>G18*F18</x:f>
        <x:v>14679.820800000001</x:v>
      </x:c>
      <x:c r="I18" s="22" t="str">
        <x:f>HYPERLINK("https://etp-aktiv.ru/catalog/materialy/asbo-tekhnicheskie-izdeliya/2000539060-U117/","Открыть позицию")</x:f>
        <x:v>Открыть позицию</x:v>
      </x:c>
    </x:row>
    <x:row r="19" ht="28" customHeight="1">
      <x:c r="A19" s="16" t="str">
        <x:v>Приморская ГРЭС</x:v>
      </x:c>
      <x:c r="B19" s="16" t="str">
        <x:v>2000539064-U117</x:v>
      </x:c>
      <x:c r="C19" s="16" t="str">
        <x:v>КМП КОЛЕЦ 6ШТ К-03Ш КГФ-Г 2*4-62*36*78</x:v>
      </x:c>
      <x:c r="D19" s="16" t="str">
        <x:v>Асбо-технические изделия</x:v>
      </x:c>
      <x:c r="E19" s="16" t="str">
        <x:v>КМП</x:v>
      </x:c>
      <x:c r="F19" s="21" t="n">
        <x:v>4</x:v>
      </x:c>
      <x:c r="G19" s="17" t="n">
        <x:v>611.3542</x:v>
      </x:c>
      <x:c r="H19" s="17" t="n">
        <x:f>G19*F19</x:f>
        <x:v>2445.4168</x:v>
      </x:c>
      <x:c r="I19" s="22" t="str">
        <x:f>HYPERLINK("https://etp-aktiv.ru/catalog/materialy/asbo-tekhnicheskie-izdeliya/2000539064-U117/","Открыть позицию")</x:f>
        <x:v>Открыть позицию</x:v>
      </x:c>
    </x:row>
    <x:row r="20" ht="28" customHeight="1">
      <x:c r="A20" s="16" t="str">
        <x:v>Приморская ГРЭС</x:v>
      </x:c>
      <x:c r="B20" s="16" t="str">
        <x:v>2000711299-U117</x:v>
      </x:c>
      <x:c r="C20" s="16" t="str">
        <x:v>КМП КОЛЕЦ 6ШТ КШ-03 2*4-30*18*36-ГФ-2</x:v>
      </x:c>
      <x:c r="D20" s="16" t="str">
        <x:v>Асбо-технические изделия</x:v>
      </x:c>
      <x:c r="E20" s="16" t="str">
        <x:v>ШТ</x:v>
      </x:c>
      <x:c r="F20" s="21" t="n">
        <x:v>8</x:v>
      </x:c>
      <x:c r="G20" s="17" t="n">
        <x:v>86.88839999999999</x:v>
      </x:c>
      <x:c r="H20" s="17" t="n">
        <x:f>G20*F20</x:f>
        <x:v>695.1071999999999</x:v>
      </x:c>
      <x:c r="I20" s="22" t="str">
        <x:f>HYPERLINK("https://etp-aktiv.ru/catalog/materialy/asbo-tekhnicheskie-izdeliya/2000711299-U117/","Открыть позицию")</x:f>
        <x:v>Открыть позицию</x:v>
      </x:c>
    </x:row>
    <x:row r="21" ht="28" customHeight="1">
      <x:c r="A21" s="16" t="str">
        <x:v>Приморская ГРЭС</x:v>
      </x:c>
      <x:c r="B21" s="16" t="str">
        <x:v>2000711300-U117</x:v>
      </x:c>
      <x:c r="C21" s="16" t="str">
        <x:v>КМП КОЛЕЦ 6ШТ КШ-03 2*4-52*36*48-ГФ-2</x:v>
      </x:c>
      <x:c r="D21" s="16" t="str">
        <x:v>Асбо-технические изделия</x:v>
      </x:c>
      <x:c r="E21" s="16" t="str">
        <x:v>ШТ</x:v>
      </x:c>
      <x:c r="F21" s="21" t="n">
        <x:v>84</x:v>
      </x:c>
      <x:c r="G21" s="17" t="n">
        <x:v>303.4506</x:v>
      </x:c>
      <x:c r="H21" s="17" t="n">
        <x:f>G21*F21</x:f>
        <x:v>25489.8504</x:v>
      </x:c>
      <x:c r="I21" s="22" t="str">
        <x:f>HYPERLINK("https://etp-aktiv.ru/catalog/materialy/asbo-tekhnicheskie-izdeliya/2000711300-U117/","Открыть позицию")</x:f>
        <x:v>Открыть позицию</x:v>
      </x:c>
    </x:row>
    <x:row r="22" ht="28" customHeight="1">
      <x:c r="A22" s="16" t="str">
        <x:v>Приморская ГРЭС</x:v>
      </x:c>
      <x:c r="B22" s="16" t="str">
        <x:v>2000711301-U117</x:v>
      </x:c>
      <x:c r="C22" s="16" t="str">
        <x:v>КМП КОЛЕЦ 6ШТ КШ-03 2*4-62*36*78-ГФ-2</x:v>
      </x:c>
      <x:c r="D22" s="16" t="str">
        <x:v>Асбо-технические изделия</x:v>
      </x:c>
      <x:c r="E22" s="16" t="str">
        <x:v>ШТ</x:v>
      </x:c>
      <x:c r="F22" s="21" t="n">
        <x:v>539</x:v>
      </x:c>
      <x:c r="G22" s="17" t="n">
        <x:v>529.0652</x:v>
      </x:c>
      <x:c r="H22" s="17" t="n">
        <x:f>G22*F22</x:f>
        <x:v>285166.14280000003</x:v>
      </x:c>
      <x:c r="I22" s="22" t="str">
        <x:f>HYPERLINK("https://etp-aktiv.ru/catalog/materialy/asbo-tekhnicheskie-izdeliya/2000711301-U117/","Открыть позицию")</x:f>
        <x:v>Открыть позицию</x:v>
      </x:c>
    </x:row>
    <x:row r="23" ht="28" customHeight="1">
      <x:c r="A23" s="16" t="str">
        <x:v>Приморская ГРЭС</x:v>
      </x:c>
      <x:c r="B23" s="16" t="str">
        <x:v>2000711302-U117</x:v>
      </x:c>
      <x:c r="C23" s="16" t="str">
        <x:v>КМП КОЛЕЦ 6ШТ КШ-03 2*4-78*52*78-ГФ-2</x:v>
      </x:c>
      <x:c r="D23" s="16" t="str">
        <x:v>Асбо-технические изделия</x:v>
      </x:c>
      <x:c r="E23" s="16" t="str">
        <x:v>ШТ</x:v>
      </x:c>
      <x:c r="F23" s="21" t="n">
        <x:v>50</x:v>
      </x:c>
      <x:c r="G23" s="17" t="n">
        <x:v>781.9223999999999</x:v>
      </x:c>
      <x:c r="H23" s="17" t="n">
        <x:f>G23*F23</x:f>
        <x:v>39096.119999999995</x:v>
      </x:c>
      <x:c r="I23" s="22" t="str">
        <x:f>HYPERLINK("https://etp-aktiv.ru/catalog/materialy/asbo-tekhnicheskie-izdeliya/2000711302-U117/","Открыть позицию")</x:f>
        <x:v>Открыть позицию</x:v>
      </x:c>
    </x:row>
    <x:row r="24" ht="28" customHeight="1">
      <x:c r="A24" s="16" t="str">
        <x:v>Приморская ГРЭС</x:v>
      </x:c>
      <x:c r="B24" s="16" t="str">
        <x:v>2000711303-U117</x:v>
      </x:c>
      <x:c r="C24" s="16" t="str">
        <x:v>КМП КОЛЕЦ 6ШТ КШ-03 2*4-86*60*78-ГФ-2</x:v>
      </x:c>
      <x:c r="D24" s="16" t="str">
        <x:v>Асбо-технические изделия</x:v>
      </x:c>
      <x:c r="E24" s="16" t="str">
        <x:v>ШТ</x:v>
      </x:c>
      <x:c r="F24" s="21" t="n">
        <x:v>38</x:v>
      </x:c>
      <x:c r="G24" s="17" t="n">
        <x:v>1012.1242</x:v>
      </x:c>
      <x:c r="H24" s="17" t="n">
        <x:f>G24*F24</x:f>
        <x:v>38460.7196</x:v>
      </x:c>
      <x:c r="I24" s="22" t="str">
        <x:f>HYPERLINK("https://etp-aktiv.ru/catalog/materialy/asbo-tekhnicheskie-izdeliya/2000711303-U117/","Открыть позицию")</x:f>
        <x:v>Открыть позицию</x:v>
      </x:c>
    </x:row>
    <x:row r="25" ht="28" customHeight="1">
      <x:c r="A25" s="16" t="str">
        <x:v>Приморская ГРЭС</x:v>
      </x:c>
      <x:c r="B25" s="16" t="str">
        <x:v>2000711305-U117</x:v>
      </x:c>
      <x:c r="C25" s="16" t="str">
        <x:v>КМП КОЛЕЦ 6ШТ КШ-05 2*2*2-42*26*48-ГФ-2</x:v>
      </x:c>
      <x:c r="D25" s="16" t="str">
        <x:v>Асбо-технические изделия</x:v>
      </x:c>
      <x:c r="E25" s="16" t="str">
        <x:v>ШТ</x:v>
      </x:c>
      <x:c r="F25" s="21" t="n">
        <x:v>27</x:v>
      </x:c>
      <x:c r="G25" s="17" t="n">
        <x:v>256.3952</x:v>
      </x:c>
      <x:c r="H25" s="17" t="n">
        <x:f>G25*F25</x:f>
        <x:v>6922.6704</x:v>
      </x:c>
      <x:c r="I25" s="22" t="str">
        <x:f>HYPERLINK("https://etp-aktiv.ru/catalog/materialy/asbo-tekhnicheskie-izdeliya/2000711305-U117/","Открыть позицию")</x:f>
        <x:v>Открыть позицию</x:v>
      </x:c>
    </x:row>
    <x:row r="26" ht="28" customHeight="1">
      <x:c r="A26" s="16" t="str">
        <x:v>Приморская ГРЭС</x:v>
      </x:c>
      <x:c r="B26" s="16" t="str">
        <x:v>2000539077-U117</x:v>
      </x:c>
      <x:c r="C26" s="16" t="str">
        <x:v>КМП КОЛЕЦ К-03Ш-2*4-32*20*36-КГФ-Г</x:v>
      </x:c>
      <x:c r="D26" s="16" t="str">
        <x:v>Асбо-технические изделия</x:v>
      </x:c>
      <x:c r="E26" s="16" t="str">
        <x:v>КМП</x:v>
      </x:c>
      <x:c r="F26" s="21" t="n">
        <x:v>181</x:v>
      </x:c>
      <x:c r="G26" s="17" t="n">
        <x:v>140.05599999999998</x:v>
      </x:c>
      <x:c r="H26" s="17" t="n">
        <x:f>G26*F26</x:f>
        <x:v>25350.136</x:v>
      </x:c>
      <x:c r="I26" s="22" t="str">
        <x:f>HYPERLINK("https://etp-aktiv.ru/catalog/materialy/asbo-tekhnicheskie-izdeliya/2000539077-U117/","Открыть позицию")</x:f>
        <x:v>Открыть позицию</x:v>
      </x:c>
    </x:row>
    <x:row r="27" ht="28" customHeight="1">
      <x:c r="A27" s="16" t="str">
        <x:v>Приморская ГРЭС</x:v>
      </x:c>
      <x:c r="B27" s="16" t="str">
        <x:v>2000539079-U117</x:v>
      </x:c>
      <x:c r="C27" s="16" t="str">
        <x:v>КМП КОЛЕЦ К-05Ш КГФ-Г 4*2-32*20*36</x:v>
      </x:c>
      <x:c r="D27" s="16" t="str">
        <x:v>Асбо-технические изделия</x:v>
      </x:c>
      <x:c r="E27" s="16" t="str">
        <x:v>КМП</x:v>
      </x:c>
      <x:c r="F27" s="21" t="n">
        <x:v>95</x:v>
      </x:c>
      <x:c r="G27" s="17" t="n">
        <x:v>166.88379999999998</x:v>
      </x:c>
      <x:c r="H27" s="17" t="n">
        <x:f>G27*F27</x:f>
        <x:v>15853.960999999998</x:v>
      </x:c>
      <x:c r="I27" s="22" t="str">
        <x:f>HYPERLINK("https://etp-aktiv.ru/catalog/materialy/asbo-tekhnicheskie-izdeliya/2000539079-U117/","Открыть позицию")</x:f>
        <x:v>Открыть позицию</x:v>
      </x:c>
    </x:row>
    <x:row r="28" ht="28" customHeight="1">
      <x:c r="A28" s="16" t="str">
        <x:v>Приморская ГРЭС</x:v>
      </x:c>
      <x:c r="B28" s="16" t="str">
        <x:v>2000539080-U117</x:v>
      </x:c>
      <x:c r="C28" s="16" t="str">
        <x:v>КМП КОЛЕЦ К-05Ш КГФ-Г 4*2-64*44*60</x:v>
      </x:c>
      <x:c r="D28" s="16" t="str">
        <x:v>Асбо-технические изделия</x:v>
      </x:c>
      <x:c r="E28" s="16" t="str">
        <x:v>КМП</x:v>
      </x:c>
      <x:c r="F28" s="21" t="n">
        <x:v>12</x:v>
      </x:c>
      <x:c r="G28" s="17" t="n">
        <x:v>682.9681999999999</x:v>
      </x:c>
      <x:c r="H28" s="17" t="n">
        <x:f>G28*F28</x:f>
        <x:v>8195.6184</x:v>
      </x:c>
      <x:c r="I28" s="22" t="str">
        <x:f>HYPERLINK("https://etp-aktiv.ru/catalog/materialy/asbo-tekhnicheskie-izdeliya/2000539080-U117/","Открыть позицию")</x:f>
        <x:v>Открыть позицию</x:v>
      </x:c>
    </x:row>
    <x:row r="29" ht="28" customHeight="1">
      <x:c r="A29" s="16" t="str">
        <x:v>Приморская ГРЭС</x:v>
      </x:c>
      <x:c r="B29" s="16" t="str">
        <x:v>2000539084-U117</x:v>
      </x:c>
      <x:c r="C29" s="16" t="str">
        <x:v>КМП КОЛЕЦ КГФ-Г К-05Ш 2*4-42*26*48</x:v>
      </x:c>
      <x:c r="D29" s="16" t="str">
        <x:v>Асбо-технические изделия</x:v>
      </x:c>
      <x:c r="E29" s="16" t="str">
        <x:v>КМП</x:v>
      </x:c>
      <x:c r="F29" s="21" t="n">
        <x:v>2</x:v>
      </x:c>
      <x:c r="G29" s="17" t="n">
        <x:v>313.6132</x:v>
      </x:c>
      <x:c r="H29" s="17" t="n">
        <x:f>G29*F29</x:f>
        <x:v>627.2264</x:v>
      </x:c>
      <x:c r="I29" s="22" t="str">
        <x:f>HYPERLINK("https://etp-aktiv.ru/catalog/materialy/asbo-tekhnicheskie-izdeliya/2000539084-U117/","Открыть позицию")</x:f>
        <x:v>Открыть позицию</x:v>
      </x:c>
    </x:row>
    <x:row r="30" ht="28" customHeight="1">
      <x:c r="A30" s="16" t="str">
        <x:v>Приморская ГРЭС</x:v>
      </x:c>
      <x:c r="B30" s="16" t="str">
        <x:v>2000539089-U117</x:v>
      </x:c>
      <x:c r="C30" s="16" t="str">
        <x:v>КМП КОЛЕЦ КГФ-К-03Ш КГФ-Г 2*4-36*24*36</x:v>
      </x:c>
      <x:c r="D30" s="16" t="str">
        <x:v>Асбо-технические изделия</x:v>
      </x:c>
      <x:c r="E30" s="16" t="str">
        <x:v>КМП</x:v>
      </x:c>
      <x:c r="F30" s="21" t="n">
        <x:v>10</x:v>
      </x:c>
      <x:c r="G30" s="17" t="n">
        <x:v>132.2602</x:v>
      </x:c>
      <x:c r="H30" s="17" t="n">
        <x:f>G30*F30</x:f>
        <x:v>1322.6019999999999</x:v>
      </x:c>
      <x:c r="I30" s="22" t="str">
        <x:f>HYPERLINK("https://etp-aktiv.ru/catalog/materialy/asbo-tekhnicheskie-izdeliya/2000539089-U117/","Открыть позицию")</x:f>
        <x:v>Открыть позицию</x:v>
      </x:c>
    </x:row>
    <x:row r="31" ht="28" customHeight="1">
      <x:c r="A31" s="16" t="str">
        <x:v>Приморская ГРЭС</x:v>
      </x:c>
      <x:c r="B31" s="16" t="str">
        <x:v>2000539096-U117</x:v>
      </x:c>
      <x:c r="C31" s="16" t="str">
        <x:v>КМП КОЛЕЦ КП-03 300*270*15 ГФ-2</x:v>
      </x:c>
      <x:c r="D31" s="16" t="str">
        <x:v>Асбо-технические изделия</x:v>
      </x:c>
      <x:c r="E31" s="16" t="str">
        <x:v>КМП</x:v>
      </x:c>
      <x:c r="F31" s="21" t="n">
        <x:v>3</x:v>
      </x:c>
      <x:c r="G31" s="17" t="n">
        <x:v>1508.835</x:v>
      </x:c>
      <x:c r="H31" s="17" t="n">
        <x:f>G31*F31</x:f>
        <x:v>4526.505</x:v>
      </x:c>
      <x:c r="I31" s="22" t="str">
        <x:f>HYPERLINK("https://etp-aktiv.ru/catalog/materialy/asbo-tekhnicheskie-izdeliya/2000539096-U117/","Открыть позицию")</x:f>
        <x:v>Открыть позицию</x:v>
      </x:c>
    </x:row>
    <x:row r="32" ht="28" customHeight="1">
      <x:c r="A32" s="16" t="str">
        <x:v>Приморская ГРЭС</x:v>
      </x:c>
      <x:c r="B32" s="16" t="str">
        <x:v>2000539099-U117</x:v>
      </x:c>
      <x:c r="C32" s="16" t="str">
        <x:v>КМП КОЛЕЦ КП-04 170*145*15 ГФ-2</x:v>
      </x:c>
      <x:c r="D32" s="16" t="str">
        <x:v>Асбо-технические изделия</x:v>
      </x:c>
      <x:c r="E32" s="16" t="str">
        <x:v>ШТ</x:v>
      </x:c>
      <x:c r="F32" s="21" t="n">
        <x:v>55</x:v>
      </x:c>
      <x:c r="G32" s="17" t="n">
        <x:v>774.8586</x:v>
      </x:c>
      <x:c r="H32" s="17" t="n">
        <x:f>G32*F32</x:f>
        <x:v>42617.223</x:v>
      </x:c>
      <x:c r="I32" s="22" t="str">
        <x:f>HYPERLINK("https://etp-aktiv.ru/catalog/materialy/asbo-tekhnicheskie-izdeliya/2000539099-U117/","Открыть позицию")</x:f>
        <x:v>Открыть позицию</x:v>
      </x:c>
    </x:row>
    <x:row r="33" ht="28" customHeight="1">
      <x:c r="A33" s="16" t="str">
        <x:v>Приморская ГРЭС</x:v>
      </x:c>
      <x:c r="B33" s="16" t="str">
        <x:v>2000643854-U117</x:v>
      </x:c>
      <x:c r="C33" s="16" t="str">
        <x:v>КМП КОЛЕЦ КП-04-2-300*270-30-ГФ-2</x:v>
      </x:c>
      <x:c r="D33" s="16" t="str">
        <x:v>Асбо-технические изделия</x:v>
      </x:c>
      <x:c r="E33" s="16" t="str">
        <x:v>ШТ</x:v>
      </x:c>
      <x:c r="F33" s="21" t="n">
        <x:v>6</x:v>
      </x:c>
      <x:c r="G33" s="17" t="n">
        <x:v>1234.5912</x:v>
      </x:c>
      <x:c r="H33" s="17" t="n">
        <x:f>G33*F33</x:f>
        <x:v>7407.547200000001</x:v>
      </x:c>
      <x:c r="I33" s="22" t="str">
        <x:f>HYPERLINK("https://etp-aktiv.ru/catalog/materialy/asbo-tekhnicheskie-izdeliya/2000643854-U117/","Открыть позицию")</x:f>
        <x:v>Открыть позицию</x:v>
      </x:c>
    </x:row>
    <x:row r="34" ht="28" customHeight="1">
      <x:c r="A34" s="16" t="str">
        <x:v>Приморская ГРЭС</x:v>
      </x:c>
      <x:c r="B34" s="16" t="str">
        <x:v>2000643856-U117</x:v>
      </x:c>
      <x:c r="C34" s="16" t="str">
        <x:v>КМП КОЛЕЦ КПС-01-2*2-120*100*40-ГФ-2</x:v>
      </x:c>
      <x:c r="D34" s="16" t="str">
        <x:v>Асбо-технические изделия</x:v>
      </x:c>
      <x:c r="E34" s="16" t="str">
        <x:v>ШТ</x:v>
      </x:c>
      <x:c r="F34" s="21" t="n">
        <x:v>10</x:v>
      </x:c>
      <x:c r="G34" s="17" t="n">
        <x:v>931.4334</x:v>
      </x:c>
      <x:c r="H34" s="17" t="n">
        <x:f>G34*F34</x:f>
        <x:v>9314.334</x:v>
      </x:c>
      <x:c r="I34" s="22" t="str">
        <x:f>HYPERLINK("https://etp-aktiv.ru/catalog/materialy/asbo-tekhnicheskie-izdeliya/2000643856-U117/","Открыть позицию")</x:f>
        <x:v>Открыть позицию</x:v>
      </x:c>
    </x:row>
    <x:row r="35" ht="28" customHeight="1">
      <x:c r="A35" s="16" t="str">
        <x:v>Приморская ГРЭС</x:v>
      </x:c>
      <x:c r="B35" s="16" t="str">
        <x:v>2000757725-U117</x:v>
      </x:c>
      <x:c r="C35" s="16" t="str">
        <x:v>КМП КОЛЕЦ КШ-00-6-32*20-36-ГФ-2 32*20*36</x:v>
      </x:c>
      <x:c r="D35" s="16" t="str">
        <x:v>Асбо-технические изделия</x:v>
      </x:c>
      <x:c r="E35" s="16" t="str">
        <x:v>ШТ</x:v>
      </x:c>
      <x:c r="F35" s="21" t="n">
        <x:v>183</x:v>
      </x:c>
      <x:c r="G35" s="17" t="n">
        <x:v>108.39699999999999</x:v>
      </x:c>
      <x:c r="H35" s="17" t="n">
        <x:f>G35*F35</x:f>
        <x:v>19836.650999999998</x:v>
      </x:c>
      <x:c r="I35" s="22" t="str">
        <x:f>HYPERLINK("https://etp-aktiv.ru/catalog/materialy/asbo-tekhnicheskie-izdeliya/2000757725-U117/","Открыть позицию")</x:f>
        <x:v>Открыть позицию</x:v>
      </x:c>
    </x:row>
    <x:row r="36" ht="28" customHeight="1">
      <x:c r="A36" s="16" t="str">
        <x:v>Приморская ГРЭС</x:v>
      </x:c>
      <x:c r="B36" s="16" t="str">
        <x:v>2000643865-U117</x:v>
      </x:c>
      <x:c r="C36" s="16" t="str">
        <x:v>КМП КОЛЕЦ КШ-03-2*4-24*14*30-ГФ-2</x:v>
      </x:c>
      <x:c r="D36" s="16" t="str">
        <x:v>Асбо-технические изделия</x:v>
      </x:c>
      <x:c r="E36" s="16" t="str">
        <x:v>ШТ</x:v>
      </x:c>
      <x:c r="F36" s="21" t="n">
        <x:v>657</x:v>
      </x:c>
      <x:c r="G36" s="17" t="n">
        <x:v>99.9546</x:v>
      </x:c>
      <x:c r="H36" s="17" t="n">
        <x:f>G36*F36</x:f>
        <x:v>65670.1722</x:v>
      </x:c>
      <x:c r="I36" s="22" t="str">
        <x:f>HYPERLINK("https://etp-aktiv.ru/catalog/materialy/asbo-tekhnicheskie-izdeliya/2000643865-U117/","Открыть позицию")</x:f>
        <x:v>Открыть позицию</x:v>
      </x:c>
    </x:row>
    <x:row r="37" ht="28" customHeight="1">
      <x:c r="A37" s="16" t="str">
        <x:v>Приморская ГРЭС</x:v>
      </x:c>
      <x:c r="B37" s="16" t="str">
        <x:v>2000643877-U117</x:v>
      </x:c>
      <x:c r="C37" s="16" t="str">
        <x:v>КМП КОЛЕЦ КШ-05-2*4-52*36*48-ГФ-2</x:v>
      </x:c>
      <x:c r="D37" s="16" t="str">
        <x:v>Асбо-технические изделия</x:v>
      </x:c>
      <x:c r="E37" s="16" t="str">
        <x:v>ШТ</x:v>
      </x:c>
      <x:c r="F37" s="21" t="n">
        <x:v>31</x:v>
      </x:c>
      <x:c r="G37" s="17" t="n">
        <x:v>354.88579999999996</x:v>
      </x:c>
      <x:c r="H37" s="17" t="n">
        <x:f>G37*F37</x:f>
        <x:v>11001.459799999999</x:v>
      </x:c>
      <x:c r="I37" s="22" t="str">
        <x:f>HYPERLINK("https://etp-aktiv.ru/catalog/materialy/asbo-tekhnicheskie-izdeliya/2000643877-U117/","Открыть позицию")</x:f>
        <x:v>Открыть позицию</x:v>
      </x:c>
    </x:row>
    <x:row r="38" ht="28" customHeight="1">
      <x:c r="A38" s="16" t="str">
        <x:v>Приморская ГРЭС</x:v>
      </x:c>
      <x:c r="B38" s="16" t="str">
        <x:v>2000539109-U117</x:v>
      </x:c>
      <x:c r="C38" s="16" t="str">
        <x:v>КМП КОЛЕЦ КШ-06-2*4-32*20-36-ГФ-2</x:v>
      </x:c>
      <x:c r="D38" s="16" t="str">
        <x:v>Асбо-технические изделия</x:v>
      </x:c>
      <x:c r="E38" s="16" t="str">
        <x:v>КМП</x:v>
      </x:c>
      <x:c r="F38" s="21" t="n">
        <x:v>314</x:v>
      </x:c>
      <x:c r="G38" s="17" t="n">
        <x:v>69.4424</x:v>
      </x:c>
      <x:c r="H38" s="17" t="n">
        <x:f>G38*F38</x:f>
        <x:v>21804.913600000003</x:v>
      </x:c>
      <x:c r="I38" s="22" t="str">
        <x:f>HYPERLINK("https://etp-aktiv.ru/catalog/materialy/asbo-tekhnicheskie-izdeliya/2000539109-U117/","Открыть позицию")</x:f>
        <x:v>Открыть позицию</x:v>
      </x:c>
    </x:row>
    <x:row r="39" ht="28" customHeight="1">
      <x:c r="A39" s="16" t="str">
        <x:v>Приморская ГРЭС</x:v>
      </x:c>
      <x:c r="B39" s="16" t="str">
        <x:v>2000539112-U117</x:v>
      </x:c>
      <x:c r="C39" s="16" t="str">
        <x:v>КМП КОЛЕЦ КШ-06-2*4-78*52-78-ГФ-2</x:v>
      </x:c>
      <x:c r="D39" s="16" t="str">
        <x:v>Асбо-технические изделия</x:v>
      </x:c>
      <x:c r="E39" s="16" t="str">
        <x:v>КМП</x:v>
      </x:c>
      <x:c r="F39" s="21" t="n">
        <x:v>6</x:v>
      </x:c>
      <x:c r="G39" s="17" t="n">
        <x:v>830.0026</x:v>
      </x:c>
      <x:c r="H39" s="17" t="n">
        <x:f>G39*F39</x:f>
        <x:v>4980.015600000001</x:v>
      </x:c>
      <x:c r="I39" s="22" t="str">
        <x:f>HYPERLINK("https://etp-aktiv.ru/catalog/materialy/asbo-tekhnicheskie-izdeliya/2000539112-U117/","Открыть позицию")</x:f>
        <x:v>Открыть позицию</x:v>
      </x:c>
    </x:row>
    <x:row r="40" ht="28" customHeight="1">
      <x:c r="A40" s="16" t="str">
        <x:v>Приморская ГРЭС</x:v>
      </x:c>
      <x:c r="B40" s="16" t="str">
        <x:v>2000756366-U117</x:v>
      </x:c>
      <x:c r="C40" s="16" t="str">
        <x:v>КМП КОЛЕЦ КШ00-10-46*25-60-ГФ-2 46*26*60</x:v>
      </x:c>
      <x:c r="D40" s="16" t="str">
        <x:v>Асбо-технические изделия</x:v>
      </x:c>
      <x:c r="E40" s="16" t="str">
        <x:v>ШТ</x:v>
      </x:c>
      <x:c r="F40" s="21" t="n">
        <x:v>42</x:v>
      </x:c>
      <x:c r="G40" s="17" t="n">
        <x:v>131.0768</x:v>
      </x:c>
      <x:c r="H40" s="17" t="n">
        <x:f>G40*F40</x:f>
        <x:v>5505.2256</x:v>
      </x:c>
      <x:c r="I40" s="22" t="str">
        <x:f>HYPERLINK("https://etp-aktiv.ru/catalog/materialy/asbo-tekhnicheskie-izdeliya/2000756366-U117/","Открыть позицию")</x:f>
        <x:v>Открыть позицию</x:v>
      </x:c>
    </x:row>
    <x:row r="41" ht="28" customHeight="1">
      <x:c r="A41" s="16" t="str">
        <x:v>Приморская ГРЭС</x:v>
      </x:c>
      <x:c r="B41" s="16" t="str">
        <x:v>2000756368-U117</x:v>
      </x:c>
      <x:c r="C41" s="16" t="str">
        <x:v>КМП КОЛЕЦ КШ00-13-78*52-78-ГФ-2 78*52*70</x:v>
      </x:c>
      <x:c r="D41" s="16" t="str">
        <x:v>Асбо-технические изделия</x:v>
      </x:c>
      <x:c r="E41" s="16" t="str">
        <x:v>ШТ</x:v>
      </x:c>
      <x:c r="F41" s="21" t="n">
        <x:v>88</x:v>
      </x:c>
      <x:c r="G41" s="17" t="n">
        <x:v>754.4236</x:v>
      </x:c>
      <x:c r="H41" s="17" t="n">
        <x:f>G41*F41</x:f>
        <x:v>66389.27679999999</x:v>
      </x:c>
      <x:c r="I41" s="22" t="str">
        <x:f>HYPERLINK("https://etp-aktiv.ru/catalog/materialy/asbo-tekhnicheskie-izdeliya/2000756368-U117/","Открыть позицию")</x:f>
        <x:v>Открыть позицию</x:v>
      </x:c>
    </x:row>
    <x:row r="42" ht="28" customHeight="1">
      <x:c r="A42" s="16" t="str">
        <x:v>Приморская ГРЭС</x:v>
      </x:c>
      <x:c r="B42" s="16" t="str">
        <x:v>2000580239-U117</x:v>
      </x:c>
      <x:c r="C42" s="16" t="str">
        <x:v>КОВРИК ДИЭЛЕКТРИЧЕСКИЙ 1000*1000 SQ2301-</x:v>
      </x:c>
      <x:c r="D42" s="16" t="str">
        <x:v>Резино-технические изделия прочие</x:v>
      </x:c>
      <x:c r="E42" s="16" t="str">
        <x:v>ШТ</x:v>
      </x:c>
      <x:c r="F42" s="21" t="n">
        <x:v>3</x:v>
      </x:c>
      <x:c r="G42" s="17" t="n">
        <x:v>1728.923</x:v>
      </x:c>
      <x:c r="H42" s="17" t="n">
        <x:f>G42*F42</x:f>
        <x:v>5186.769</x:v>
      </x:c>
      <x:c r="I42" s="22" t="str">
        <x:f>HYPERLINK("https://etp-aktiv.ru/catalog/materialy/rezino-tekhnicheskie-izdeliya/2000580239-U117/","Открыть позицию")</x:f>
        <x:v>Открыть позицию</x:v>
      </x:c>
    </x:row>
    <x:row r="43" ht="28" customHeight="1">
      <x:c r="A43" s="16" t="str">
        <x:v>Приморская ГРЭС</x:v>
      </x:c>
      <x:c r="B43" s="16" t="str">
        <x:v>2000715154-U117</x:v>
      </x:c>
      <x:c r="C43" s="16" t="str">
        <x:v>КОЛЬЦО 00-В-Б 140*120*10 ГФ-2</x:v>
      </x:c>
      <x:c r="D43" s="16" t="str">
        <x:v>Асбо-технические изделия</x:v>
      </x:c>
      <x:c r="E43" s="16" t="str">
        <x:v>ШТ</x:v>
      </x:c>
      <x:c r="F43" s="21" t="n">
        <x:v>4</x:v>
      </x:c>
      <x:c r="G43" s="17" t="n">
        <x:v>219.23399999999998</x:v>
      </x:c>
      <x:c r="H43" s="17" t="n">
        <x:f>G43*F43</x:f>
        <x:v>876.9359999999999</x:v>
      </x:c>
      <x:c r="I43" s="22" t="str">
        <x:f>HYPERLINK("https://etp-aktiv.ru/catalog/materialy/asbo-tekhnicheskie-izdeliya/2000715154-U117/","Открыть позицию")</x:f>
        <x:v>Открыть позицию</x:v>
      </x:c>
    </x:row>
    <x:row r="44" ht="28" customHeight="1">
      <x:c r="A44" s="16" t="str">
        <x:v>Приморская ГРЭС</x:v>
      </x:c>
      <x:c r="B44" s="16" t="str">
        <x:v>2000715155-U117</x:v>
      </x:c>
      <x:c r="C44" s="16" t="str">
        <x:v>КОЛЬЦО 00-В-Б 170*145*10 ГФ-2</x:v>
      </x:c>
      <x:c r="D44" s="16" t="str">
        <x:v>Асбо-технические изделия</x:v>
      </x:c>
      <x:c r="E44" s="16" t="str">
        <x:v>ШТ</x:v>
      </x:c>
      <x:c r="F44" s="21" t="n">
        <x:v>1</x:v>
      </x:c>
      <x:c r="G44" s="17" t="n">
        <x:v>177.1684</x:v>
      </x:c>
      <x:c r="H44" s="17" t="n">
        <x:f>G44*F44</x:f>
        <x:v>177.1684</x:v>
      </x:c>
      <x:c r="I44" s="22" t="str">
        <x:f>HYPERLINK("https://etp-aktiv.ru/catalog/materialy/asbo-tekhnicheskie-izdeliya/2000715155-U117/","Открыть позицию")</x:f>
        <x:v>Открыть позицию</x:v>
      </x:c>
    </x:row>
    <x:row r="45" ht="28" customHeight="1">
      <x:c r="A45" s="16" t="str">
        <x:v>Приморская ГРЭС</x:v>
      </x:c>
      <x:c r="B45" s="16" t="str">
        <x:v>2000715157-U117</x:v>
      </x:c>
      <x:c r="C45" s="16" t="str">
        <x:v>КОЛЬЦО 00-В-Б 88*70*8 ГФ-2</x:v>
      </x:c>
      <x:c r="D45" s="16" t="str">
        <x:v>Асбо-технические изделия</x:v>
      </x:c>
      <x:c r="E45" s="16" t="str">
        <x:v>ШТ</x:v>
      </x:c>
      <x:c r="F45" s="21" t="n">
        <x:v>268</x:v>
      </x:c>
      <x:c r="G45" s="17" t="n">
        <x:v>58.474599999999995</x:v>
      </x:c>
      <x:c r="H45" s="17" t="n">
        <x:f>G45*F45</x:f>
        <x:v>15671.192799999999</x:v>
      </x:c>
      <x:c r="I45" s="22" t="str">
        <x:f>HYPERLINK("https://etp-aktiv.ru/catalog/materialy/asbo-tekhnicheskie-izdeliya/2000715157-U117/","Открыть позицию")</x:f>
        <x:v>Открыть позицию</x:v>
      </x:c>
    </x:row>
    <x:row r="46" ht="28" customHeight="1">
      <x:c r="A46" s="16" t="str">
        <x:v>Приморская ГРЭС</x:v>
      </x:c>
      <x:c r="B46" s="16" t="str">
        <x:v>2000627400-U117</x:v>
      </x:c>
      <x:c r="C46" s="16" t="str">
        <x:v>КОЛЬЦО 00-В-Б ГФ-2 250*210*20</x:v>
      </x:c>
      <x:c r="D46" s="16" t="str">
        <x:v>Асбо-технические изделия</x:v>
      </x:c>
      <x:c r="E46" s="16" t="str">
        <x:v>ШТ</x:v>
      </x:c>
      <x:c r="F46" s="21" t="n">
        <x:v>52</x:v>
      </x:c>
      <x:c r="G46" s="17" t="n">
        <x:v>770.0518000000001</x:v>
      </x:c>
      <x:c r="H46" s="17" t="n">
        <x:f>G46*F46</x:f>
        <x:v>40042.693600000006</x:v>
      </x:c>
      <x:c r="I46" s="22" t="str">
        <x:f>HYPERLINK("https://etp-aktiv.ru/catalog/materialy/asbo-tekhnicheskie-izdeliya/2000627400-U117/","Открыть позицию")</x:f>
        <x:v>Открыть позицию</x:v>
      </x:c>
    </x:row>
    <x:row r="47" ht="28" customHeight="1">
      <x:c r="A47" s="16" t="str">
        <x:v>Приморская ГРЭС</x:v>
      </x:c>
      <x:c r="B47" s="16" t="str">
        <x:v>2000538930-U117</x:v>
      </x:c>
      <x:c r="C47" s="16" t="str">
        <x:v>КОЛЬЦО 00-В-Б ГФ-2 36*24*6</x:v>
      </x:c>
      <x:c r="D47" s="16" t="str">
        <x:v>Асбо-технические изделия</x:v>
      </x:c>
      <x:c r="E47" s="16" t="str">
        <x:v>ШТ</x:v>
      </x:c>
      <x:c r="F47" s="21" t="n">
        <x:v>8</x:v>
      </x:c>
      <x:c r="G47" s="17" t="n">
        <x:v>20.5326</x:v>
      </x:c>
      <x:c r="H47" s="17" t="n">
        <x:f>G47*F47</x:f>
        <x:v>164.2608</x:v>
      </x:c>
      <x:c r="I47" s="22" t="str">
        <x:f>HYPERLINK("https://etp-aktiv.ru/catalog/materialy/asbo-tekhnicheskie-izdeliya/2000538930-U117/","Открыть позицию")</x:f>
        <x:v>Открыть позицию</x:v>
      </x:c>
    </x:row>
    <x:row r="48" ht="28" customHeight="1">
      <x:c r="A48" s="16" t="str">
        <x:v>Приморская ГРЭС</x:v>
      </x:c>
      <x:c r="B48" s="16" t="str">
        <x:v>2000538937-U117</x:v>
      </x:c>
      <x:c r="C48" s="16" t="str">
        <x:v>КОЛЬЦО 00-В-Б ГФ-2 64*44*13</x:v>
      </x:c>
      <x:c r="D48" s="16" t="str">
        <x:v>Асбо-технические изделия</x:v>
      </x:c>
      <x:c r="E48" s="16" t="str">
        <x:v>ШТ</x:v>
      </x:c>
      <x:c r="F48" s="21" t="n">
        <x:v>8</x:v>
      </x:c>
      <x:c r="G48" s="17" t="n">
        <x:v>94.5012</x:v>
      </x:c>
      <x:c r="H48" s="17" t="n">
        <x:f>G48*F48</x:f>
        <x:v>756.0096</x:v>
      </x:c>
      <x:c r="I48" s="22" t="str">
        <x:f>HYPERLINK("https://etp-aktiv.ru/catalog/materialy/asbo-tekhnicheskie-izdeliya/2000538937-U117/","Открыть позицию")</x:f>
        <x:v>Открыть позицию</x:v>
      </x:c>
    </x:row>
    <x:row r="49" ht="28" customHeight="1">
      <x:c r="A49" s="16" t="str">
        <x:v>Приморская ГРЭС</x:v>
      </x:c>
      <x:c r="B49" s="16" t="str">
        <x:v>2000538938-U117</x:v>
      </x:c>
      <x:c r="C49" s="16" t="str">
        <x:v>КОЛЬЦО 00-В-Б ГФ-2 78*52*13</x:v>
      </x:c>
      <x:c r="D49" s="16" t="str">
        <x:v>Асбо-технические изделия</x:v>
      </x:c>
      <x:c r="E49" s="16" t="str">
        <x:v>ШТ</x:v>
      </x:c>
      <x:c r="F49" s="21" t="n">
        <x:v>4</x:v>
      </x:c>
      <x:c r="G49" s="17" t="n">
        <x:v>154.9278</x:v>
      </x:c>
      <x:c r="H49" s="17" t="n">
        <x:f>G49*F49</x:f>
        <x:v>619.7112</x:v>
      </x:c>
      <x:c r="I49" s="22" t="str">
        <x:f>HYPERLINK("https://etp-aktiv.ru/catalog/materialy/asbo-tekhnicheskie-izdeliya/2000538938-U117/","Открыть позицию")</x:f>
        <x:v>Открыть позицию</x:v>
      </x:c>
    </x:row>
    <x:row r="50" ht="28" customHeight="1">
      <x:c r="A50" s="16" t="str">
        <x:v>Приморская ГРЭС</x:v>
      </x:c>
      <x:c r="B50" s="16" t="str">
        <x:v>2000538939-U117</x:v>
      </x:c>
      <x:c r="C50" s="16" t="str">
        <x:v>КОЛЬЦО 00-В-Б ГФ-2 86*60*13</x:v>
      </x:c>
      <x:c r="D50" s="16" t="str">
        <x:v>Асбо-технические изделия</x:v>
      </x:c>
      <x:c r="E50" s="16" t="str">
        <x:v>ШТ</x:v>
      </x:c>
      <x:c r="F50" s="21" t="n">
        <x:v>48</x:v>
      </x:c>
      <x:c r="G50" s="17" t="n">
        <x:v>30.012</x:v>
      </x:c>
      <x:c r="H50" s="17" t="n">
        <x:f>G50*F50</x:f>
        <x:v>1440.576</x:v>
      </x:c>
      <x:c r="I50" s="22" t="str">
        <x:f>HYPERLINK("https://etp-aktiv.ru/catalog/materialy/asbo-tekhnicheskie-izdeliya/2000538939-U117/","Открыть позицию")</x:f>
        <x:v>Открыть позицию</x:v>
      </x:c>
    </x:row>
    <x:row r="51" ht="28" customHeight="1">
      <x:c r="A51" s="16" t="str">
        <x:v>Приморская ГРЭС</x:v>
      </x:c>
      <x:c r="B51" s="16" t="str">
        <x:v>2000606254-U117</x:v>
      </x:c>
      <x:c r="C51" s="16" t="str">
        <x:v>КОЛЬЦО 00-В-Б-200*170*15 ГФ-2</x:v>
      </x:c>
      <x:c r="D51" s="16" t="str">
        <x:v>Асбо-технические изделия</x:v>
      </x:c>
      <x:c r="E51" s="16" t="str">
        <x:v>ШТ</x:v>
      </x:c>
      <x:c r="F51" s="21" t="n">
        <x:v>15</x:v>
      </x:c>
      <x:c r="G51" s="17" t="n">
        <x:v>269.5712</x:v>
      </x:c>
      <x:c r="H51" s="17" t="n">
        <x:f>G51*F51</x:f>
        <x:v>4043.5679999999998</x:v>
      </x:c>
      <x:c r="I51" s="22" t="str">
        <x:f>HYPERLINK("https://etp-aktiv.ru/catalog/materialy/asbo-tekhnicheskie-izdeliya/2000606254-U117/","Открыть позицию")</x:f>
        <x:v>Открыть позицию</x:v>
      </x:c>
    </x:row>
    <x:row r="52" ht="28" customHeight="1">
      <x:c r="A52" s="16" t="str">
        <x:v>Приморская ГРЭС</x:v>
      </x:c>
      <x:c r="B52" s="16" t="str">
        <x:v>2000606261-U117</x:v>
      </x:c>
      <x:c r="C52" s="16" t="str">
        <x:v>КОЛЬЦО 00-В-Б-32*20*6 ГФ-2</x:v>
      </x:c>
      <x:c r="D52" s="16" t="str">
        <x:v>Асбо-технические изделия</x:v>
      </x:c>
      <x:c r="E52" s="16" t="str">
        <x:v>ШТ</x:v>
      </x:c>
      <x:c r="F52" s="21" t="n">
        <x:v>36</x:v>
      </x:c>
      <x:c r="G52" s="17" t="n">
        <x:v>7.8202</x:v>
      </x:c>
      <x:c r="H52" s="17" t="n">
        <x:f>G52*F52</x:f>
        <x:v>281.5272</x:v>
      </x:c>
      <x:c r="I52" s="22" t="str">
        <x:f>HYPERLINK("https://etp-aktiv.ru/catalog/materialy/asbo-tekhnicheskie-izdeliya/2000606261-U117/","Открыть позицию")</x:f>
        <x:v>Открыть позицию</x:v>
      </x:c>
    </x:row>
    <x:row r="53" ht="28" customHeight="1">
      <x:c r="A53" s="16" t="str">
        <x:v>Приморская ГРЭС</x:v>
      </x:c>
      <x:c r="B53" s="16" t="str">
        <x:v>2000606263-U117</x:v>
      </x:c>
      <x:c r="C53" s="16" t="str">
        <x:v>КОЛЬЦО 00-В-Б-36*24*6 ГФ-2</x:v>
      </x:c>
      <x:c r="D53" s="16" t="str">
        <x:v>Асбо-технические изделия</x:v>
      </x:c>
      <x:c r="E53" s="16" t="str">
        <x:v>ШТ</x:v>
      </x:c>
      <x:c r="F53" s="21" t="n">
        <x:v>7</x:v>
      </x:c>
      <x:c r="G53" s="17" t="n">
        <x:v>13.3956</x:v>
      </x:c>
      <x:c r="H53" s="17" t="n">
        <x:f>G53*F53</x:f>
        <x:v>93.7692</x:v>
      </x:c>
      <x:c r="I53" s="22" t="str">
        <x:f>HYPERLINK("https://etp-aktiv.ru/catalog/materialy/asbo-tekhnicheskie-izdeliya/2000606263-U117/","Открыть позицию")</x:f>
        <x:v>Открыть позицию</x:v>
      </x:c>
    </x:row>
    <x:row r="54" ht="28" customHeight="1">
      <x:c r="A54" s="16" t="str">
        <x:v>Приморская ГРЭС</x:v>
      </x:c>
      <x:c r="B54" s="16" t="str">
        <x:v>2000606265-U117</x:v>
      </x:c>
      <x:c r="C54" s="16" t="str">
        <x:v>КОЛЬЦО 00-В-Б-52*36*8 ГФ-2</x:v>
      </x:c>
      <x:c r="D54" s="16" t="str">
        <x:v>Асбо-технические изделия</x:v>
      </x:c>
      <x:c r="E54" s="16" t="str">
        <x:v>ШТ</x:v>
      </x:c>
      <x:c r="F54" s="21" t="n">
        <x:v>48</x:v>
      </x:c>
      <x:c r="G54" s="17" t="n">
        <x:v>22.7896</x:v>
      </x:c>
      <x:c r="H54" s="17" t="n">
        <x:f>G54*F54</x:f>
        <x:v>1093.9008</x:v>
      </x:c>
      <x:c r="I54" s="22" t="str">
        <x:f>HYPERLINK("https://etp-aktiv.ru/catalog/materialy/asbo-tekhnicheskie-izdeliya/2000606265-U117/","Открыть позицию")</x:f>
        <x:v>Открыть позицию</x:v>
      </x:c>
    </x:row>
    <x:row r="55" ht="28" customHeight="1">
      <x:c r="A55" s="16" t="str">
        <x:v>Приморская ГРЭС</x:v>
      </x:c>
      <x:c r="B55" s="16" t="str">
        <x:v>2000606270-U117</x:v>
      </x:c>
      <x:c r="C55" s="16" t="str">
        <x:v>КОЛЬЦО 00-В-Б-64*44*10 ГФ-2</x:v>
      </x:c>
      <x:c r="D55" s="16" t="str">
        <x:v>Асбо-технические изделия</x:v>
      </x:c>
      <x:c r="E55" s="16" t="str">
        <x:v>ШТ</x:v>
      </x:c>
      <x:c r="F55" s="21" t="n">
        <x:v>4</x:v>
      </x:c>
      <x:c r="G55" s="17" t="n">
        <x:v>451.9246</x:v>
      </x:c>
      <x:c r="H55" s="17" t="n">
        <x:f>G55*F55</x:f>
        <x:v>1807.6984</x:v>
      </x:c>
      <x:c r="I55" s="22" t="str">
        <x:f>HYPERLINK("https://etp-aktiv.ru/catalog/materialy/asbo-tekhnicheskie-izdeliya/2000606270-U117/","Открыть позицию")</x:f>
        <x:v>Открыть позицию</x:v>
      </x:c>
    </x:row>
    <x:row r="56" ht="28" customHeight="1">
      <x:c r="A56" s="16" t="str">
        <x:v>Приморская ГРЭС</x:v>
      </x:c>
      <x:c r="B56" s="16" t="str">
        <x:v>2000561722-U117</x:v>
      </x:c>
      <x:c r="C56" s="16" t="str">
        <x:v>КОЛЬЦО 026-032-36 2-51-1668 ГОСТ18829-73</x:v>
      </x:c>
      <x:c r="D56" s="16" t="str">
        <x:v>Резино-технические изделия прочие</x:v>
      </x:c>
      <x:c r="E56" s="16" t="str">
        <x:v>ШТ</x:v>
      </x:c>
      <x:c r="F56" s="21" t="n">
        <x:v>20</x:v>
      </x:c>
      <x:c r="G56" s="17" t="n">
        <x:v>2.013</x:v>
      </x:c>
      <x:c r="H56" s="17" t="n">
        <x:f>G56*F56</x:f>
        <x:v>40.26</x:v>
      </x:c>
      <x:c r="I56" s="22" t="str">
        <x:f>HYPERLINK("https://etp-aktiv.ru/catalog/materialy/rezino-tekhnicheskie-izdeliya/2000561722-U117/","Открыть позицию")</x:f>
        <x:v>Открыть позицию</x:v>
      </x:c>
    </x:row>
    <x:row r="57" ht="28" customHeight="1">
      <x:c r="A57" s="16" t="str">
        <x:v>Приморская ГРЭС</x:v>
      </x:c>
      <x:c r="B57" s="16" t="str">
        <x:v>2000561732-U117</x:v>
      </x:c>
      <x:c r="C57" s="16" t="str">
        <x:v>КОЛЬЦО 060-070-58 2-51-1668 ГОСТ18829-73</x:v>
      </x:c>
      <x:c r="D57" s="16" t="str">
        <x:v>Резино-технические изделия прочие</x:v>
      </x:c>
      <x:c r="E57" s="16" t="str">
        <x:v>ШТ</x:v>
      </x:c>
      <x:c r="F57" s="21" t="n">
        <x:v>30</x:v>
      </x:c>
      <x:c r="G57" s="17" t="n">
        <x:v>8.661999999999999</x:v>
      </x:c>
      <x:c r="H57" s="17" t="n">
        <x:f>G57*F57</x:f>
        <x:v>259.85999999999996</x:v>
      </x:c>
      <x:c r="I57" s="22" t="str">
        <x:f>HYPERLINK("https://etp-aktiv.ru/catalog/materialy/rezino-tekhnicheskie-izdeliya/2000561732-U117/","Открыть позицию")</x:f>
        <x:v>Открыть позицию</x:v>
      </x:c>
    </x:row>
    <x:row r="58" ht="28" customHeight="1">
      <x:c r="A58" s="16" t="str">
        <x:v>Приморская ГРЭС</x:v>
      </x:c>
      <x:c r="B58" s="16" t="str">
        <x:v>2000238432-U117</x:v>
      </x:c>
      <x:c r="C58" s="16" t="str">
        <x:v>КОЛЬЦО 109-115-36-2-3</x:v>
      </x:c>
      <x:c r="D58" s="16" t="str">
        <x:v>Резино-технические изделия прочие</x:v>
      </x:c>
      <x:c r="E58" s="16" t="str">
        <x:v>ШТ</x:v>
      </x:c>
      <x:c r="F58" s="21" t="n">
        <x:v>4</x:v>
      </x:c>
      <x:c r="G58" s="17" t="n">
        <x:v>2202.8686000000002</x:v>
      </x:c>
      <x:c r="H58" s="17" t="n">
        <x:f>G58*F58</x:f>
        <x:v>8811.474400000001</x:v>
      </x:c>
      <x:c r="I58" s="22" t="str">
        <x:f>HYPERLINK("https://etp-aktiv.ru/catalog/materialy/rezino-tekhnicheskie-izdeliya/2000238432-U117/","Открыть позицию")</x:f>
        <x:v>Открыть позицию</x:v>
      </x:c>
    </x:row>
    <x:row r="59" ht="28" customHeight="1">
      <x:c r="A59" s="16" t="str">
        <x:v>Приморская ГРЭС</x:v>
      </x:c>
      <x:c r="B59" s="16" t="str">
        <x:v>2000000326-U117</x:v>
      </x:c>
      <x:c r="C59" s="16" t="str">
        <x:v>КОЛЬЦО 120-126-36-2-3</x:v>
      </x:c>
      <x:c r="D59" s="16" t="str">
        <x:v>Резино-технические изделия прочие</x:v>
      </x:c>
      <x:c r="E59" s="16" t="str">
        <x:v>ШТ</x:v>
      </x:c>
      <x:c r="F59" s="21" t="n">
        <x:v>30</x:v>
      </x:c>
      <x:c r="G59" s="17" t="n">
        <x:v>14.152</x:v>
      </x:c>
      <x:c r="H59" s="17" t="n">
        <x:f>G59*F59</x:f>
        <x:v>424.56</x:v>
      </x:c>
      <x:c r="I59" s="22" t="str">
        <x:f>HYPERLINK("https://etp-aktiv.ru/catalog/materialy/rezino-tekhnicheskie-izdeliya/2000000326-U117/","Открыть позицию")</x:f>
        <x:v>Открыть позицию</x:v>
      </x:c>
    </x:row>
    <x:row r="60" ht="28" customHeight="1">
      <x:c r="A60" s="16" t="str">
        <x:v>Приморская ГРЭС</x:v>
      </x:c>
      <x:c r="B60" s="16" t="str">
        <x:v>2000857200-U117</x:v>
      </x:c>
      <x:c r="C60" s="16" t="str">
        <x:v>КОЛЬЦО 125-135-58-2-3</x:v>
      </x:c>
      <x:c r="D60" s="16" t="str">
        <x:v>Резино-технические изделия прочие</x:v>
      </x:c>
      <x:c r="E60" s="16" t="str">
        <x:v>ШТ</x:v>
      </x:c>
      <x:c r="F60" s="21" t="n">
        <x:v>6</x:v>
      </x:c>
      <x:c r="G60" s="17" t="n">
        <x:v>2202.8686000000002</x:v>
      </x:c>
      <x:c r="H60" s="17" t="n">
        <x:f>G60*F60</x:f>
        <x:v>13217.211600000002</x:v>
      </x:c>
      <x:c r="I60" s="22" t="str">
        <x:f>HYPERLINK("https://etp-aktiv.ru/catalog/materialy/rezino-tekhnicheskie-izdeliya/2000857200-U117/","Открыть позицию")</x:f>
        <x:v>Открыть позицию</x:v>
      </x:c>
    </x:row>
    <x:row r="61" ht="28" customHeight="1">
      <x:c r="A61" s="16" t="str">
        <x:v>Приморская ГРЭС</x:v>
      </x:c>
      <x:c r="B61" s="16" t="str">
        <x:v>2000279722-U117</x:v>
      </x:c>
      <x:c r="C61" s="16" t="str">
        <x:v>КОЛЬЦО 160-170-58-2-5</x:v>
      </x:c>
      <x:c r="D61" s="16" t="str">
        <x:v>Резино-технические изделия прочие</x:v>
      </x:c>
      <x:c r="E61" s="16" t="str">
        <x:v>ШТ</x:v>
      </x:c>
      <x:c r="F61" s="21" t="n">
        <x:v>24</x:v>
      </x:c>
      <x:c r="G61" s="17" t="n">
        <x:v>45.4694</x:v>
      </x:c>
      <x:c r="H61" s="17" t="n">
        <x:f>G61*F61</x:f>
        <x:v>1091.2656</x:v>
      </x:c>
      <x:c r="I61" s="22" t="str">
        <x:f>HYPERLINK("https://etp-aktiv.ru/catalog/materialy/rezino-tekhnicheskie-izdeliya/2000279722-U117/","Открыть позицию")</x:f>
        <x:v>Открыть позицию</x:v>
      </x:c>
    </x:row>
    <x:row r="62" ht="28" customHeight="1">
      <x:c r="A62" s="16" t="str">
        <x:v>Приморская ГРЭС</x:v>
      </x:c>
      <x:c r="B62" s="16" t="str">
        <x:v>2000538986-U117</x:v>
      </x:c>
      <x:c r="C62" s="16" t="str">
        <x:v>КОЛЬЦО АГ-50 250*225*12,5</x:v>
      </x:c>
      <x:c r="D62" s="16" t="str">
        <x:v>Асбо-технические изделия</x:v>
      </x:c>
      <x:c r="E62" s="16" t="str">
        <x:v>ШТ</x:v>
      </x:c>
      <x:c r="F62" s="21" t="n">
        <x:v>10</x:v>
      </x:c>
      <x:c r="G62" s="17" t="n">
        <x:v>448.85020000000003</x:v>
      </x:c>
      <x:c r="H62" s="17" t="n">
        <x:f>G62*F62</x:f>
        <x:v>4488.502</x:v>
      </x:c>
      <x:c r="I62" s="22" t="str">
        <x:f>HYPERLINK("https://etp-aktiv.ru/catalog/materialy/asbo-tekhnicheskie-izdeliya/2000538986-U117/","Открыть позицию")</x:f>
        <x:v>Открыть позицию</x:v>
      </x:c>
    </x:row>
    <x:row r="63" ht="28" customHeight="1">
      <x:c r="A63" s="16" t="str">
        <x:v>Приморская ГРЭС</x:v>
      </x:c>
      <x:c r="B63" s="16" t="str">
        <x:v>2000621160-U117</x:v>
      </x:c>
      <x:c r="C63" s="16" t="str">
        <x:v>КОЛЬЦО ГРАФИТОВОЕ КГУ 1 170*150*10</x:v>
      </x:c>
      <x:c r="D63" s="16" t="str">
        <x:v>Асбо-технические изделия</x:v>
      </x:c>
      <x:c r="E63" s="16" t="str">
        <x:v>ШТ</x:v>
      </x:c>
      <x:c r="F63" s="21" t="n">
        <x:v>1</x:v>
      </x:c>
      <x:c r="G63" s="17" t="n">
        <x:v>230.458</x:v>
      </x:c>
      <x:c r="H63" s="17" t="n">
        <x:f>G63*F63</x:f>
        <x:v>230.458</x:v>
      </x:c>
      <x:c r="I63" s="22" t="str">
        <x:f>HYPERLINK("https://etp-aktiv.ru/catalog/materialy/asbo-tekhnicheskie-izdeliya/2000621160-U117/","Открыть позицию")</x:f>
        <x:v>Открыть позицию</x:v>
      </x:c>
    </x:row>
    <x:row r="64" ht="28" customHeight="1">
      <x:c r="A64" s="16" t="str">
        <x:v>Приморская ГРЭС</x:v>
      </x:c>
      <x:c r="B64" s="16" t="str">
        <x:v>2000539055-U117</x:v>
      </x:c>
      <x:c r="C64" s="16" t="str">
        <x:v>КОЛЬЦО КГФ-Г 32*20*6</x:v>
      </x:c>
      <x:c r="D64" s="16" t="str">
        <x:v>Асбо-технические изделия</x:v>
      </x:c>
      <x:c r="E64" s="16" t="str">
        <x:v>ШТ</x:v>
      </x:c>
      <x:c r="F64" s="21" t="n">
        <x:v>10</x:v>
      </x:c>
      <x:c r="G64" s="17" t="n">
        <x:v>7.966600000000001</x:v>
      </x:c>
      <x:c r="H64" s="17" t="n">
        <x:f>G64*F64</x:f>
        <x:v>79.66600000000001</x:v>
      </x:c>
      <x:c r="I64" s="22" t="str">
        <x:f>HYPERLINK("https://etp-aktiv.ru/catalog/materialy/asbo-tekhnicheskie-izdeliya/2000539055-U117/","Открыть позицию")</x:f>
        <x:v>Открыть позицию</x:v>
      </x:c>
    </x:row>
    <x:row r="65" ht="28" customHeight="1">
      <x:c r="A65" s="16" t="str">
        <x:v>Приморская ГРЭС</x:v>
      </x:c>
      <x:c r="B65" s="16" t="str">
        <x:v>2000539031-U117</x:v>
      </x:c>
      <x:c r="C65" s="16" t="str">
        <x:v>КОЛЬЦО КГФ-Г-ПО 170*145*15</x:v>
      </x:c>
      <x:c r="D65" s="16" t="str">
        <x:v>Асбо-технические изделия</x:v>
      </x:c>
      <x:c r="E65" s="16" t="str">
        <x:v>ШТ</x:v>
      </x:c>
      <x:c r="F65" s="21" t="n">
        <x:v>3</x:v>
      </x:c>
      <x:c r="G65" s="17" t="n">
        <x:v>201.49519999999998</x:v>
      </x:c>
      <x:c r="H65" s="17" t="n">
        <x:f>G65*F65</x:f>
        <x:v>604.4856</x:v>
      </x:c>
      <x:c r="I65" s="22" t="str">
        <x:f>HYPERLINK("https://etp-aktiv.ru/catalog/materialy/asbo-tekhnicheskie-izdeliya/2000539031-U117/","Открыть позицию")</x:f>
        <x:v>Открыть позицию</x:v>
      </x:c>
    </x:row>
    <x:row r="66" ht="28" customHeight="1">
      <x:c r="A66" s="16" t="str">
        <x:v>Приморская ГРЭС</x:v>
      </x:c>
      <x:c r="B66" s="16" t="str">
        <x:v>2000561728-U117</x:v>
      </x:c>
      <x:c r="C66" s="16" t="str">
        <x:v>КОЛЬЦО УПЛОТ 038-046-46-2-3 ГОСТ18829-73</x:v>
      </x:c>
      <x:c r="D66" s="16" t="str">
        <x:v>Резино-технические изделия прочие</x:v>
      </x:c>
      <x:c r="E66" s="16" t="str">
        <x:v>ШТ</x:v>
      </x:c>
      <x:c r="F66" s="21" t="n">
        <x:v>26</x:v>
      </x:c>
      <x:c r="G66" s="17" t="n">
        <x:v>6.7954</x:v>
      </x:c>
      <x:c r="H66" s="17" t="n">
        <x:f>G66*F66</x:f>
        <x:v>176.6804</x:v>
      </x:c>
      <x:c r="I66" s="22" t="str">
        <x:f>HYPERLINK("https://etp-aktiv.ru/catalog/materialy/rezino-tekhnicheskie-izdeliya/2000561728-U117/","Открыть позицию")</x:f>
        <x:v>Открыть позицию</x:v>
      </x:c>
    </x:row>
    <x:row r="67" ht="28" customHeight="1">
      <x:c r="A67" s="16" t="str">
        <x:v>Приморская ГРЭС</x:v>
      </x:c>
      <x:c r="B67" s="16" t="str">
        <x:v>2000000178-U117</x:v>
      </x:c>
      <x:c r="C67" s="16" t="str">
        <x:v>КОЛЬЦО УПЛОТНИТЕЛЬНОЕ 025-030-30-2-2</x:v>
      </x:c>
      <x:c r="D67" s="16" t="str">
        <x:v>Резино-технические изделия прочие</x:v>
      </x:c>
      <x:c r="E67" s="16" t="str">
        <x:v>ШТ</x:v>
      </x:c>
      <x:c r="F67" s="21" t="n">
        <x:v>30</x:v>
      </x:c>
      <x:c r="G67" s="17" t="n">
        <x:v>2.2326</x:v>
      </x:c>
      <x:c r="H67" s="17" t="n">
        <x:f>G67*F67</x:f>
        <x:v>66.97800000000001</x:v>
      </x:c>
      <x:c r="I67" s="22" t="str">
        <x:f>HYPERLINK("https://etp-aktiv.ru/catalog/materialy/rezino-tekhnicheskie-izdeliya/2000000178-U117/","Открыть позицию")</x:f>
        <x:v>Открыть позицию</x:v>
      </x:c>
    </x:row>
    <x:row r="68" ht="28" customHeight="1">
      <x:c r="A68" s="16" t="str">
        <x:v>Приморская ГРЭС</x:v>
      </x:c>
      <x:c r="B68" s="16" t="str">
        <x:v>2000546608-U117</x:v>
      </x:c>
      <x:c r="C68" s="16" t="str">
        <x:v>КОЛЬЦО УПЛОТНИТЕЛЬНОЕ 115-125-58-2-4</x:v>
      </x:c>
      <x:c r="D68" s="16" t="str">
        <x:v>Резино-технические изделия прочие</x:v>
      </x:c>
      <x:c r="E68" s="16" t="str">
        <x:v>ШТ</x:v>
      </x:c>
      <x:c r="F68" s="21" t="n">
        <x:v>4</x:v>
      </x:c>
      <x:c r="G68" s="17" t="n">
        <x:v>27.9014</x:v>
      </x:c>
      <x:c r="H68" s="17" t="n">
        <x:f>G68*F68</x:f>
        <x:v>111.6056</x:v>
      </x:c>
      <x:c r="I68" s="22" t="str">
        <x:f>HYPERLINK("https://etp-aktiv.ru/catalog/materialy/rezino-tekhnicheskie-izdeliya/2000546608-U117/","Открыть позицию")</x:f>
        <x:v>Открыть позицию</x:v>
      </x:c>
    </x:row>
    <x:row r="69" ht="28" customHeight="1">
      <x:c r="A69" s="16" t="str">
        <x:v>Приморская ГРЭС</x:v>
      </x:c>
      <x:c r="B69" s="16" t="str">
        <x:v>2000001066-U117</x:v>
      </x:c>
      <x:c r="C69" s="16" t="str">
        <x:v>КОЛЬЦО УПЛОТНИТЕЛЬНОЕ 150-160-58-2-3</x:v>
      </x:c>
      <x:c r="D69" s="16" t="str">
        <x:v>Резино-технические изделия прочие</x:v>
      </x:c>
      <x:c r="E69" s="16" t="str">
        <x:v>ШТ</x:v>
      </x:c>
      <x:c r="F69" s="21" t="n">
        <x:v>16</x:v>
      </x:c>
      <x:c r="G69" s="17" t="n">
        <x:v>189.5026</x:v>
      </x:c>
      <x:c r="H69" s="17" t="n">
        <x:f>G69*F69</x:f>
        <x:v>3032.0416</x:v>
      </x:c>
      <x:c r="I69" s="22" t="str">
        <x:f>HYPERLINK("https://etp-aktiv.ru/catalog/materialy/rezino-tekhnicheskie-izdeliya/2000001066-U117/","Открыть позицию")</x:f>
        <x:v>Открыть позицию</x:v>
      </x:c>
    </x:row>
    <x:row r="70" ht="28" customHeight="1">
      <x:c r="A70" s="16" t="str">
        <x:v>Приморская ГРЭС</x:v>
      </x:c>
      <x:c r="B70" s="16" t="str">
        <x:v>2000029434-U117</x:v>
      </x:c>
      <x:c r="C70" s="16" t="str">
        <x:v>ЛЕНТА ТОРМОЗНАЯ ЛАТ-2 8*120ММ</x:v>
      </x:c>
      <x:c r="D70" s="16" t="str">
        <x:v>Асбо-технические изделия</x:v>
      </x:c>
      <x:c r="E70" s="16" t="str">
        <x:v>М2</x:v>
      </x:c>
      <x:c r="F70" s="30" t="n">
        <x:v>1.51</x:v>
      </x:c>
      <x:c r="G70" s="17" t="n">
        <x:v>14428.94</x:v>
      </x:c>
      <x:c r="H70" s="17" t="n">
        <x:f>G70*F70</x:f>
        <x:v>21787.6994</x:v>
      </x:c>
      <x:c r="I70" s="22" t="str">
        <x:f>HYPERLINK("https://etp-aktiv.ru/catalog/materialy/asbo-tekhnicheskie-izdeliya/2000029434-U117/","Открыть позицию")</x:f>
        <x:v>Открыть позицию</x:v>
      </x:c>
    </x:row>
    <x:row r="71" ht="28" customHeight="1">
      <x:c r="A71" s="16" t="str">
        <x:v>Приморская ГРЭС</x:v>
      </x:c>
      <x:c r="B71" s="16" t="str">
        <x:v>2000287792-U117</x:v>
      </x:c>
      <x:c r="C71" s="16" t="str">
        <x:v>ЛЕНТА ТОРМОЗНАЯ ЭМ-1 10*140ММ</x:v>
      </x:c>
      <x:c r="D71" s="16" t="str">
        <x:v>Асбо-технические изделия</x:v>
      </x:c>
      <x:c r="E71" s="16" t="str">
        <x:v>М2</x:v>
      </x:c>
      <x:c r="F71" s="30" t="n">
        <x:v>4.42</x:v>
      </x:c>
      <x:c r="G71" s="17" t="n">
        <x:v>7080.9288</x:v>
      </x:c>
      <x:c r="H71" s="17" t="n">
        <x:f>G71*F71</x:f>
        <x:v>31297.705295999996</x:v>
      </x:c>
      <x:c r="I71" s="22" t="str">
        <x:f>HYPERLINK("https://etp-aktiv.ru/catalog/materialy/asbo-tekhnicheskie-izdeliya/2000287792-U117/","Открыть позицию")</x:f>
        <x:v>Открыть позицию</x:v>
      </x:c>
    </x:row>
    <x:row r="72" ht="28" customHeight="1">
      <x:c r="A72" s="16" t="str">
        <x:v>Приморская ГРЭС</x:v>
      </x:c>
      <x:c r="B72" s="16" t="str">
        <x:v>2000546797-U117</x:v>
      </x:c>
      <x:c r="C72" s="16" t="str">
        <x:v>МАНЖЕТА 1,1-180*220-6 ГОСТ8752-79</x:v>
      </x:c>
      <x:c r="D72" s="16" t="str">
        <x:v>Резино-технические изделия прочие</x:v>
      </x:c>
      <x:c r="E72" s="16" t="str">
        <x:v>ШТ</x:v>
      </x:c>
      <x:c r="F72" s="21" t="n">
        <x:v>3</x:v>
      </x:c>
      <x:c r="G72" s="17" t="n">
        <x:v>213.2194</x:v>
      </x:c>
      <x:c r="H72" s="17" t="n">
        <x:f>G72*F72</x:f>
        <x:v>639.6582000000001</x:v>
      </x:c>
      <x:c r="I72" s="22" t="str">
        <x:f>HYPERLINK("https://etp-aktiv.ru/catalog/materialy/rezino-tekhnicheskie-izdeliya/2000546797-U117/","Открыть позицию")</x:f>
        <x:v>Открыть позицию</x:v>
      </x:c>
    </x:row>
    <x:row r="73" ht="28" customHeight="1">
      <x:c r="A73" s="16" t="str">
        <x:v>Приморская ГРЭС</x:v>
      </x:c>
      <x:c r="B73" s="16" t="str">
        <x:v>2000273837-U117</x:v>
      </x:c>
      <x:c r="C73" s="16" t="str">
        <x:v>МАНЖЕТА 1,1-80*100-10 ГОСТ8752-79</x:v>
      </x:c>
      <x:c r="D73" s="16" t="str">
        <x:v>Резино-технические изделия прочие</x:v>
      </x:c>
      <x:c r="E73" s="16" t="str">
        <x:v>ШТ</x:v>
      </x:c>
      <x:c r="F73" s="21" t="n">
        <x:v>2</x:v>
      </x:c>
      <x:c r="G73" s="17" t="n">
        <x:v>73.2</x:v>
      </x:c>
      <x:c r="H73" s="17" t="n">
        <x:f>G73*F73</x:f>
        <x:v>146.4</x:v>
      </x:c>
      <x:c r="I73" s="22" t="str">
        <x:f>HYPERLINK("https://etp-aktiv.ru/catalog/materialy/rezino-tekhnicheskie-izdeliya/2000273837-U117/","Открыть позицию")</x:f>
        <x:v>Открыть позицию</x:v>
      </x:c>
    </x:row>
    <x:row r="74" ht="28" customHeight="1">
      <x:c r="A74" s="16" t="str">
        <x:v>Приморская ГРЭС</x:v>
      </x:c>
      <x:c r="B74" s="16" t="str">
        <x:v>2000002392-U117</x:v>
      </x:c>
      <x:c r="C74" s="16" t="str">
        <x:v>МАНЖЕТА 1,1-80*105-1 ГОСТ8752-79</x:v>
      </x:c>
      <x:c r="D74" s="16" t="str">
        <x:v>Резино-технические изделия прочие</x:v>
      </x:c>
      <x:c r="E74" s="16" t="str">
        <x:v>ШТ</x:v>
      </x:c>
      <x:c r="F74" s="21" t="n">
        <x:v>2</x:v>
      </x:c>
      <x:c r="G74" s="17" t="n">
        <x:v>40.26</x:v>
      </x:c>
      <x:c r="H74" s="17" t="n">
        <x:f>G74*F74</x:f>
        <x:v>80.52</x:v>
      </x:c>
      <x:c r="I74" s="22" t="str">
        <x:f>HYPERLINK("https://etp-aktiv.ru/catalog/materialy/rezino-tekhnicheskie-izdeliya/2000002392-U117/","Открыть позицию")</x:f>
        <x:v>Открыть позицию</x:v>
      </x:c>
    </x:row>
    <x:row r="75" ht="28" customHeight="1">
      <x:c r="A75" s="16" t="str">
        <x:v>Приморская ГРЭС</x:v>
      </x:c>
      <x:c r="B75" s="16" t="str">
        <x:v>2000294651-U117</x:v>
      </x:c>
      <x:c r="C75" s="16" t="str">
        <x:v>МАНЖЕТА 1,2-100*125-1 ГОСТ8752-79</x:v>
      </x:c>
      <x:c r="D75" s="16" t="str">
        <x:v>Резино-технические изделия прочие</x:v>
      </x:c>
      <x:c r="E75" s="16" t="str">
        <x:v>ШТ</x:v>
      </x:c>
      <x:c r="F75" s="21" t="n">
        <x:v>33</x:v>
      </x:c>
      <x:c r="G75" s="17" t="n">
        <x:v>114.9972</x:v>
      </x:c>
      <x:c r="H75" s="17" t="n">
        <x:f>G75*F75</x:f>
        <x:v>3794.9076</x:v>
      </x:c>
      <x:c r="I75" s="22" t="str">
        <x:f>HYPERLINK("https://etp-aktiv.ru/catalog/materialy/rezino-tekhnicheskie-izdeliya/2000294651-U117/","Открыть позицию")</x:f>
        <x:v>Открыть позицию</x:v>
      </x:c>
    </x:row>
    <x:row r="76" ht="28" customHeight="1">
      <x:c r="A76" s="16" t="str">
        <x:v>Приморская ГРЭС</x:v>
      </x:c>
      <x:c r="B76" s="16" t="str">
        <x:v>2000752215-U117</x:v>
      </x:c>
      <x:c r="C76" s="16" t="str">
        <x:v>МАНЖЕТА 1,2-115*145-1 ГОСТ8752-79</x:v>
      </x:c>
      <x:c r="D76" s="16" t="str">
        <x:v>Резино-технические изделия прочие</x:v>
      </x:c>
      <x:c r="E76" s="16" t="str">
        <x:v>ШТ</x:v>
      </x:c>
      <x:c r="F76" s="21" t="n">
        <x:v>1</x:v>
      </x:c>
      <x:c r="G76" s="17" t="n">
        <x:v>383.0556</x:v>
      </x:c>
      <x:c r="H76" s="17" t="n">
        <x:f>G76*F76</x:f>
        <x:v>383.0556</x:v>
      </x:c>
      <x:c r="I76" s="22" t="str">
        <x:f>HYPERLINK("https://etp-aktiv.ru/catalog/materialy/rezino-tekhnicheskie-izdeliya/2000752215-U117/","Открыть позицию")</x:f>
        <x:v>Открыть позицию</x:v>
      </x:c>
    </x:row>
    <x:row r="77" ht="28" customHeight="1">
      <x:c r="A77" s="16" t="str">
        <x:v>Приморская ГРЭС</x:v>
      </x:c>
      <x:c r="B77" s="16" t="str">
        <x:v>2000002743-U117</x:v>
      </x:c>
      <x:c r="C77" s="16" t="str">
        <x:v>МАНЖЕТА 1,2-120*150-1 ГОСТ8752-79</x:v>
      </x:c>
      <x:c r="D77" s="16" t="str">
        <x:v>Резино-технические изделия прочие</x:v>
      </x:c>
      <x:c r="E77" s="16" t="str">
        <x:v>ШТ</x:v>
      </x:c>
      <x:c r="F77" s="21" t="n">
        <x:v>12</x:v>
      </x:c>
      <x:c r="G77" s="17" t="n">
        <x:v>77.6896</x:v>
      </x:c>
      <x:c r="H77" s="17" t="n">
        <x:f>G77*F77</x:f>
        <x:v>932.2752</x:v>
      </x:c>
      <x:c r="I77" s="22" t="str">
        <x:f>HYPERLINK("https://etp-aktiv.ru/catalog/materialy/rezino-tekhnicheskie-izdeliya/2000002743-U117/","Открыть позицию")</x:f>
        <x:v>Открыть позицию</x:v>
      </x:c>
    </x:row>
    <x:row r="78" ht="28" customHeight="1">
      <x:c r="A78" s="16" t="str">
        <x:v>Приморская ГРЭС</x:v>
      </x:c>
      <x:c r="B78" s="16" t="str">
        <x:v>2000546827-U117</x:v>
      </x:c>
      <x:c r="C78" s="16" t="str">
        <x:v>МАНЖЕТА 1,2-130*160-1 ГОСТ8752-79</x:v>
      </x:c>
      <x:c r="D78" s="16" t="str">
        <x:v>Резино-технические изделия прочие</x:v>
      </x:c>
      <x:c r="E78" s="16" t="str">
        <x:v>ШТ</x:v>
      </x:c>
      <x:c r="F78" s="21" t="n">
        <x:v>14</x:v>
      </x:c>
      <x:c r="G78" s="17" t="n">
        <x:v>114.9972</x:v>
      </x:c>
      <x:c r="H78" s="17" t="n">
        <x:f>G78*F78</x:f>
        <x:v>1609.9608</x:v>
      </x:c>
      <x:c r="I78" s="22" t="str">
        <x:f>HYPERLINK("https://etp-aktiv.ru/catalog/materialy/rezino-tekhnicheskie-izdeliya/2000546827-U117/","Открыть позицию")</x:f>
        <x:v>Открыть позицию</x:v>
      </x:c>
    </x:row>
    <x:row r="79" ht="28" customHeight="1">
      <x:c r="A79" s="16" t="str">
        <x:v>Приморская ГРЭС</x:v>
      </x:c>
      <x:c r="B79" s="16" t="str">
        <x:v>2000753863-U117</x:v>
      </x:c>
      <x:c r="C79" s="16" t="str">
        <x:v>МАНЖЕТА 1,2-140*160 DIN3760</x:v>
      </x:c>
      <x:c r="D79" s="16" t="str">
        <x:v>Резино-технические изделия прочие</x:v>
      </x:c>
      <x:c r="E79" s="16" t="str">
        <x:v>ШТ</x:v>
      </x:c>
      <x:c r="F79" s="21" t="n">
        <x:v>6</x:v>
      </x:c>
      <x:c r="G79" s="17" t="n">
        <x:v>259.3842</x:v>
      </x:c>
      <x:c r="H79" s="17" t="n">
        <x:f>G79*F79</x:f>
        <x:v>1556.3052000000002</x:v>
      </x:c>
      <x:c r="I79" s="22" t="str">
        <x:f>HYPERLINK("https://etp-aktiv.ru/catalog/materialy/rezino-tekhnicheskie-izdeliya/2000753863-U117/","Открыть позицию")</x:f>
        <x:v>Открыть позицию</x:v>
      </x:c>
    </x:row>
    <x:row r="80" ht="28" customHeight="1">
      <x:c r="A80" s="16" t="str">
        <x:v>Приморская ГРЭС</x:v>
      </x:c>
      <x:c r="B80" s="16" t="str">
        <x:v>2000546829-U117</x:v>
      </x:c>
      <x:c r="C80" s="16" t="str">
        <x:v>МАНЖЕТА 1,2-140*170-1 ГОСТ8752-79</x:v>
      </x:c>
      <x:c r="D80" s="16" t="str">
        <x:v>Резино-технические изделия прочие</x:v>
      </x:c>
      <x:c r="E80" s="16" t="str">
        <x:v>ШТ</x:v>
      </x:c>
      <x:c r="F80" s="21" t="n">
        <x:v>38</x:v>
      </x:c>
      <x:c r="G80" s="17" t="n">
        <x:v>114.9972</x:v>
      </x:c>
      <x:c r="H80" s="17" t="n">
        <x:f>G80*F80</x:f>
        <x:v>4369.8936</x:v>
      </x:c>
      <x:c r="I80" s="22" t="str">
        <x:f>HYPERLINK("https://etp-aktiv.ru/catalog/materialy/rezino-tekhnicheskie-izdeliya/2000546829-U117/","Открыть позицию")</x:f>
        <x:v>Открыть позицию</x:v>
      </x:c>
    </x:row>
    <x:row r="81" ht="28" customHeight="1">
      <x:c r="A81" s="16" t="str">
        <x:v>Приморская ГРЭС</x:v>
      </x:c>
      <x:c r="B81" s="16" t="str">
        <x:v>2000140155-U117</x:v>
      </x:c>
      <x:c r="C81" s="16" t="str">
        <x:v>МАНЖЕТА 1,2-140*170-12 ГОСТ8752-79</x:v>
      </x:c>
      <x:c r="D81" s="16" t="str">
        <x:v>Резино-технические изделия прочие</x:v>
      </x:c>
      <x:c r="E81" s="16" t="str">
        <x:v>ШТ</x:v>
      </x:c>
      <x:c r="F81" s="21" t="n">
        <x:v>8</x:v>
      </x:c>
      <x:c r="G81" s="17" t="n">
        <x:v>212.43859999999998</x:v>
      </x:c>
      <x:c r="H81" s="17" t="n">
        <x:f>G81*F81</x:f>
        <x:v>1699.5087999999998</x:v>
      </x:c>
      <x:c r="I81" s="22" t="str">
        <x:f>HYPERLINK("https://etp-aktiv.ru/catalog/materialy/rezino-tekhnicheskie-izdeliya/2000140155-U117/","Открыть позицию")</x:f>
        <x:v>Открыть позицию</x:v>
      </x:c>
    </x:row>
    <x:row r="82" ht="28" customHeight="1">
      <x:c r="A82" s="16" t="str">
        <x:v>Приморская ГРЭС</x:v>
      </x:c>
      <x:c r="B82" s="16" t="str">
        <x:v>2000546830-U117</x:v>
      </x:c>
      <x:c r="C82" s="16" t="str">
        <x:v>МАНЖЕТА 1,2-140*170-2 ГОСТ8752-79</x:v>
      </x:c>
      <x:c r="D82" s="16" t="str">
        <x:v>Резино-технические изделия прочие</x:v>
      </x:c>
      <x:c r="E82" s="16" t="str">
        <x:v>ШТ</x:v>
      </x:c>
      <x:c r="F82" s="21" t="n">
        <x:v>44</x:v>
      </x:c>
      <x:c r="G82" s="17" t="n">
        <x:v>176.94879999999998</x:v>
      </x:c>
      <x:c r="H82" s="17" t="n">
        <x:f>G82*F82</x:f>
        <x:v>7785.747199999999</x:v>
      </x:c>
      <x:c r="I82" s="22" t="str">
        <x:f>HYPERLINK("https://etp-aktiv.ru/catalog/materialy/rezino-tekhnicheskie-izdeliya/2000546830-U117/","Открыть позицию")</x:f>
        <x:v>Открыть позицию</x:v>
      </x:c>
    </x:row>
    <x:row r="83" ht="28" customHeight="1">
      <x:c r="A83" s="16" t="str">
        <x:v>Приморская ГРЭС</x:v>
      </x:c>
      <x:c r="B83" s="16" t="str">
        <x:v>2000503573-U117</x:v>
      </x:c>
      <x:c r="C83" s="16" t="str">
        <x:v>МАНЖЕТА 1,2-240*280-3 ГОСТ8752-79</x:v>
      </x:c>
      <x:c r="D83" s="16" t="str">
        <x:v>Резино-технические изделия прочие</x:v>
      </x:c>
      <x:c r="E83" s="16" t="str">
        <x:v>ШТ</x:v>
      </x:c>
      <x:c r="F83" s="21" t="n">
        <x:v>4</x:v>
      </x:c>
      <x:c r="G83" s="17" t="n">
        <x:v>251.32</x:v>
      </x:c>
      <x:c r="H83" s="17" t="n">
        <x:f>G83*F83</x:f>
        <x:v>1005.28</x:v>
      </x:c>
      <x:c r="I83" s="22" t="str">
        <x:f>HYPERLINK("https://etp-aktiv.ru/catalog/materialy/rezino-tekhnicheskie-izdeliya/2000503573-U117/","Открыть позицию")</x:f>
        <x:v>Открыть позицию</x:v>
      </x:c>
    </x:row>
    <x:row r="84" ht="28" customHeight="1">
      <x:c r="A84" s="16" t="str">
        <x:v>Приморская ГРЭС</x:v>
      </x:c>
      <x:c r="B84" s="16" t="str">
        <x:v>2000000652-U117</x:v>
      </x:c>
      <x:c r="C84" s="16" t="str">
        <x:v>МАНЖЕТА 1,2-25*42-1 ГОСТ8752-79</x:v>
      </x:c>
      <x:c r="D84" s="16" t="str">
        <x:v>Резино-технические изделия прочие</x:v>
      </x:c>
      <x:c r="E84" s="16" t="str">
        <x:v>ШТ</x:v>
      </x:c>
      <x:c r="F84" s="21" t="n">
        <x:v>15</x:v>
      </x:c>
      <x:c r="G84" s="17" t="n">
        <x:v>23.3752</x:v>
      </x:c>
      <x:c r="H84" s="17" t="n">
        <x:f>G84*F84</x:f>
        <x:v>350.628</x:v>
      </x:c>
      <x:c r="I84" s="22" t="str">
        <x:f>HYPERLINK("https://etp-aktiv.ru/catalog/materialy/rezino-tekhnicheskie-izdeliya/2000000652-U117/","Открыть позицию")</x:f>
        <x:v>Открыть позицию</x:v>
      </x:c>
    </x:row>
    <x:row r="85" ht="28" customHeight="1">
      <x:c r="A85" s="16" t="str">
        <x:v>Приморская ГРЭС</x:v>
      </x:c>
      <x:c r="B85" s="16" t="str">
        <x:v>2000000754-U117</x:v>
      </x:c>
      <x:c r="C85" s="16" t="str">
        <x:v>МАНЖЕТА 1,2-30*52-1 ГОСТ8752-79</x:v>
      </x:c>
      <x:c r="D85" s="16" t="str">
        <x:v>Резино-технические изделия прочие</x:v>
      </x:c>
      <x:c r="E85" s="16" t="str">
        <x:v>ШТ</x:v>
      </x:c>
      <x:c r="F85" s="21" t="n">
        <x:v>3</x:v>
      </x:c>
      <x:c r="G85" s="17" t="n">
        <x:v>15.286599999999998</x:v>
      </x:c>
      <x:c r="H85" s="17" t="n">
        <x:f>G85*F85</x:f>
        <x:v>45.85979999999999</x:v>
      </x:c>
      <x:c r="I85" s="22" t="str">
        <x:f>HYPERLINK("https://etp-aktiv.ru/catalog/materialy/rezino-tekhnicheskie-izdeliya/2000000754-U117/","Открыть позицию")</x:f>
        <x:v>Открыть позицию</x:v>
      </x:c>
    </x:row>
    <x:row r="86" ht="28" customHeight="1">
      <x:c r="A86" s="16" t="str">
        <x:v>Приморская ГРЭС</x:v>
      </x:c>
      <x:c r="B86" s="16" t="str">
        <x:v>2000135572-U117</x:v>
      </x:c>
      <x:c r="C86" s="16" t="str">
        <x:v>МАНЖЕТА 1,2-30*52-2 ГОСТ8752-79</x:v>
      </x:c>
      <x:c r="D86" s="16" t="str">
        <x:v>Резино-технические изделия прочие</x:v>
      </x:c>
      <x:c r="E86" s="16" t="str">
        <x:v>ШТ</x:v>
      </x:c>
      <x:c r="F86" s="21" t="n">
        <x:v>6</x:v>
      </x:c>
      <x:c r="G86" s="17" t="n">
        <x:v>17.7754</x:v>
      </x:c>
      <x:c r="H86" s="17" t="n">
        <x:f>G86*F86</x:f>
        <x:v>106.6524</x:v>
      </x:c>
      <x:c r="I86" s="22" t="str">
        <x:f>HYPERLINK("https://etp-aktiv.ru/catalog/materialy/rezino-tekhnicheskie-izdeliya/2000135572-U117/","Открыть позицию")</x:f>
        <x:v>Открыть позицию</x:v>
      </x:c>
    </x:row>
    <x:row r="87" ht="28" customHeight="1">
      <x:c r="A87" s="16" t="str">
        <x:v>Приморская ГРЭС</x:v>
      </x:c>
      <x:c r="B87" s="16" t="str">
        <x:v>2000135571-U117</x:v>
      </x:c>
      <x:c r="C87" s="16" t="str">
        <x:v>МАНЖЕТА 1,2-300*340-2 ГОСТ8752-79</x:v>
      </x:c>
      <x:c r="D87" s="16" t="str">
        <x:v>Резино-технические изделия прочие</x:v>
      </x:c>
      <x:c r="E87" s="16" t="str">
        <x:v>ШТ</x:v>
      </x:c>
      <x:c r="F87" s="21" t="n">
        <x:v>14</x:v>
      </x:c>
      <x:c r="G87" s="17" t="n">
        <x:v>444.385</x:v>
      </x:c>
      <x:c r="H87" s="17" t="n">
        <x:f>G87*F87</x:f>
        <x:v>6221.389999999999</x:v>
      </x:c>
      <x:c r="I87" s="22" t="str">
        <x:f>HYPERLINK("https://etp-aktiv.ru/catalog/materialy/rezino-tekhnicheskie-izdeliya/2000135571-U117/","Открыть позицию")</x:f>
        <x:v>Открыть позицию</x:v>
      </x:c>
    </x:row>
    <x:row r="88" ht="28" customHeight="1">
      <x:c r="A88" s="16" t="str">
        <x:v>Приморская ГРЭС</x:v>
      </x:c>
      <x:c r="B88" s="16" t="str">
        <x:v>2000722879-U117</x:v>
      </x:c>
      <x:c r="C88" s="16" t="str">
        <x:v>МАНЖЕТА 1,2-40*60-1 ГОСТ8752-79</x:v>
      </x:c>
      <x:c r="D88" s="16" t="str">
        <x:v>Резино-технические изделия прочие</x:v>
      </x:c>
      <x:c r="E88" s="16" t="str">
        <x:v>ШТ</x:v>
      </x:c>
      <x:c r="F88" s="21" t="n">
        <x:v>11</x:v>
      </x:c>
      <x:c r="G88" s="17" t="n">
        <x:v>54.9854</x:v>
      </x:c>
      <x:c r="H88" s="17" t="n">
        <x:f>G88*F88</x:f>
        <x:v>604.8394</x:v>
      </x:c>
      <x:c r="I88" s="22" t="str">
        <x:f>HYPERLINK("https://etp-aktiv.ru/catalog/materialy/rezino-tekhnicheskie-izdeliya/2000722879-U117/","Открыть позицию")</x:f>
        <x:v>Открыть позицию</x:v>
      </x:c>
    </x:row>
    <x:row r="89" ht="28" customHeight="1">
      <x:c r="A89" s="16" t="str">
        <x:v>Приморская ГРЭС</x:v>
      </x:c>
      <x:c r="B89" s="16" t="str">
        <x:v>2000546850-U117</x:v>
      </x:c>
      <x:c r="C89" s="16" t="str">
        <x:v>МАНЖЕТА 1,2-45*65-1 ГОСТ8752-79</x:v>
      </x:c>
      <x:c r="D89" s="16" t="str">
        <x:v>Резино-технические изделия прочие</x:v>
      </x:c>
      <x:c r="E89" s="16" t="str">
        <x:v>ШТ</x:v>
      </x:c>
      <x:c r="F89" s="21" t="n">
        <x:v>2</x:v>
      </x:c>
      <x:c r="G89" s="17" t="n">
        <x:v>199.10399999999998</x:v>
      </x:c>
      <x:c r="H89" s="17" t="n">
        <x:f>G89*F89</x:f>
        <x:v>398.20799999999997</x:v>
      </x:c>
      <x:c r="I89" s="22" t="str">
        <x:f>HYPERLINK("https://etp-aktiv.ru/catalog/materialy/rezino-tekhnicheskie-izdeliya/2000546850-U117/","Открыть позицию")</x:f>
        <x:v>Открыть позицию</x:v>
      </x:c>
    </x:row>
    <x:row r="90" ht="28" customHeight="1">
      <x:c r="A90" s="16" t="str">
        <x:v>Приморская ГРЭС</x:v>
      </x:c>
      <x:c r="B90" s="16" t="str">
        <x:v>2000787431-U117</x:v>
      </x:c>
      <x:c r="C90" s="16" t="str">
        <x:v>МАНЖЕТА 1,2-45*65-4 ГОСТ8752-79</x:v>
      </x:c>
      <x:c r="D90" s="16" t="str">
        <x:v>Резино-технические изделия прочие</x:v>
      </x:c>
      <x:c r="E90" s="16" t="str">
        <x:v>ШТ</x:v>
      </x:c>
      <x:c r="F90" s="21" t="n">
        <x:v>2</x:v>
      </x:c>
      <x:c r="G90" s="17" t="n">
        <x:v>24.924599999999998</x:v>
      </x:c>
      <x:c r="H90" s="17" t="n">
        <x:f>G90*F90</x:f>
        <x:v>49.849199999999996</x:v>
      </x:c>
      <x:c r="I90" s="22" t="str">
        <x:f>HYPERLINK("https://etp-aktiv.ru/catalog/materialy/rezino-tekhnicheskie-izdeliya/2000787431-U117/","Открыть позицию")</x:f>
        <x:v>Открыть позицию</x:v>
      </x:c>
    </x:row>
    <x:row r="91" ht="28" customHeight="1">
      <x:c r="A91" s="16" t="str">
        <x:v>Приморская ГРЭС</x:v>
      </x:c>
      <x:c r="B91" s="16" t="str">
        <x:v>2000001648-U117</x:v>
      </x:c>
      <x:c r="C91" s="16" t="str">
        <x:v>МАНЖЕТА 1,2-55*80 ГОСТ8752-79</x:v>
      </x:c>
      <x:c r="D91" s="16" t="str">
        <x:v>Резино-технические изделия прочие</x:v>
      </x:c>
      <x:c r="E91" s="16" t="str">
        <x:v>ШТ</x:v>
      </x:c>
      <x:c r="F91" s="21" t="n">
        <x:v>4</x:v>
      </x:c>
      <x:c r="G91" s="17" t="n">
        <x:v>22.142999999999997</x:v>
      </x:c>
      <x:c r="H91" s="17" t="n">
        <x:f>G91*F91</x:f>
        <x:v>88.57199999999999</x:v>
      </x:c>
      <x:c r="I91" s="22" t="str">
        <x:f>HYPERLINK("https://etp-aktiv.ru/catalog/materialy/rezino-tekhnicheskie-izdeliya/2000001648-U117/","Открыть позицию")</x:f>
        <x:v>Открыть позицию</x:v>
      </x:c>
    </x:row>
    <x:row r="92" ht="28" customHeight="1">
      <x:c r="A92" s="16" t="str">
        <x:v>Приморская ГРЭС</x:v>
      </x:c>
      <x:c r="B92" s="16" t="str">
        <x:v>2000734187-U117</x:v>
      </x:c>
      <x:c r="C92" s="16" t="str">
        <x:v>МАНЖЕТА 1,2-55*80-4 ГОСТ8752-79</x:v>
      </x:c>
      <x:c r="D92" s="16" t="str">
        <x:v>Резино-технические изделия прочие</x:v>
      </x:c>
      <x:c r="E92" s="16" t="str">
        <x:v>ШТ</x:v>
      </x:c>
      <x:c r="F92" s="21" t="n">
        <x:v>3</x:v>
      </x:c>
      <x:c r="G92" s="17" t="n">
        <x:v>26.5838</x:v>
      </x:c>
      <x:c r="H92" s="17" t="n">
        <x:f>G92*F92</x:f>
        <x:v>79.7514</x:v>
      </x:c>
      <x:c r="I92" s="22" t="str">
        <x:f>HYPERLINK("https://etp-aktiv.ru/catalog/materialy/rezino-tekhnicheskie-izdeliya/2000734187-U117/","Открыть позицию")</x:f>
        <x:v>Открыть позицию</x:v>
      </x:c>
    </x:row>
    <x:row r="93" ht="28" customHeight="1">
      <x:c r="A93" s="16" t="str">
        <x:v>Приморская ГРЭС</x:v>
      </x:c>
      <x:c r="B93" s="16" t="str">
        <x:v>2000546855-U117</x:v>
      </x:c>
      <x:c r="C93" s="16" t="str">
        <x:v>МАНЖЕТА 1,2-60*85-1 ГОСТ8752-79</x:v>
      </x:c>
      <x:c r="D93" s="16" t="str">
        <x:v>Резино-технические изделия прочие</x:v>
      </x:c>
      <x:c r="E93" s="16" t="str">
        <x:v>ШТ</x:v>
      </x:c>
      <x:c r="F93" s="21" t="n">
        <x:v>8</x:v>
      </x:c>
      <x:c r="G93" s="17" t="n">
        <x:v>100.30839999999999</x:v>
      </x:c>
      <x:c r="H93" s="17" t="n">
        <x:f>G93*F93</x:f>
        <x:v>802.4671999999999</x:v>
      </x:c>
      <x:c r="I93" s="22" t="str">
        <x:f>HYPERLINK("https://etp-aktiv.ru/catalog/materialy/rezino-tekhnicheskie-izdeliya/2000546855-U117/","Открыть позицию")</x:f>
        <x:v>Открыть позицию</x:v>
      </x:c>
    </x:row>
    <x:row r="94" ht="28" customHeight="1">
      <x:c r="A94" s="16" t="str">
        <x:v>Приморская ГРЭС</x:v>
      </x:c>
      <x:c r="B94" s="16" t="str">
        <x:v>2000146426-U117</x:v>
      </x:c>
      <x:c r="C94" s="16" t="str">
        <x:v>МАНЖЕТА 1,2-65*90-1 ГОСТ8752-79</x:v>
      </x:c>
      <x:c r="D94" s="16" t="str">
        <x:v>Резино-технические изделия прочие</x:v>
      </x:c>
      <x:c r="E94" s="16" t="str">
        <x:v>ШТ</x:v>
      </x:c>
      <x:c r="F94" s="21" t="n">
        <x:v>16</x:v>
      </x:c>
      <x:c r="G94" s="17" t="n">
        <x:v>28.4992</x:v>
      </x:c>
      <x:c r="H94" s="17" t="n">
        <x:f>G94*F94</x:f>
        <x:v>455.9872</x:v>
      </x:c>
      <x:c r="I94" s="22" t="str">
        <x:f>HYPERLINK("https://etp-aktiv.ru/catalog/materialy/rezino-tekhnicheskie-izdeliya/2000146426-U117/","Открыть позицию")</x:f>
        <x:v>Открыть позицию</x:v>
      </x:c>
    </x:row>
    <x:row r="95" ht="28" customHeight="1">
      <x:c r="A95" s="16" t="str">
        <x:v>Приморская ГРЭС</x:v>
      </x:c>
      <x:c r="B95" s="16" t="str">
        <x:v>2000001388-U117</x:v>
      </x:c>
      <x:c r="C95" s="16" t="str">
        <x:v>МАНЖЕТА 1,2-70*95-1 ГОСТ8752-79</x:v>
      </x:c>
      <x:c r="D95" s="16" t="str">
        <x:v>Резино-технические изделия прочие</x:v>
      </x:c>
      <x:c r="E95" s="16" t="str">
        <x:v>ШТ</x:v>
      </x:c>
      <x:c r="F95" s="21" t="n">
        <x:v>3</x:v>
      </x:c>
      <x:c r="G95" s="17" t="n">
        <x:v>45.6036</x:v>
      </x:c>
      <x:c r="H95" s="17" t="n">
        <x:f>G95*F95</x:f>
        <x:v>136.8108</x:v>
      </x:c>
      <x:c r="I95" s="22" t="str">
        <x:f>HYPERLINK("https://etp-aktiv.ru/catalog/materialy/rezino-tekhnicheskie-izdeliya/2000001388-U117/","Открыть позицию")</x:f>
        <x:v>Открыть позицию</x:v>
      </x:c>
    </x:row>
    <x:row r="96" ht="28" customHeight="1">
      <x:c r="A96" s="16" t="str">
        <x:v>Приморская ГРЭС</x:v>
      </x:c>
      <x:c r="B96" s="16" t="str">
        <x:v>2000912398-U117</x:v>
      </x:c>
      <x:c r="C96" s="16" t="str">
        <x:v>МАНЖЕТА 1.2-115*145-12 ГОСТ8752-79</x:v>
      </x:c>
      <x:c r="D96" s="16" t="str">
        <x:v>Резино-технические изделия прочие</x:v>
      </x:c>
      <x:c r="E96" s="16" t="str">
        <x:v>ШТ</x:v>
      </x:c>
      <x:c r="F96" s="21" t="n">
        <x:v>23</x:v>
      </x:c>
      <x:c r="G96" s="17" t="n">
        <x:v>337.4764</x:v>
      </x:c>
      <x:c r="H96" s="17" t="n">
        <x:f>G96*F96</x:f>
        <x:v>7761.957200000001</x:v>
      </x:c>
      <x:c r="I96" s="22" t="str">
        <x:f>HYPERLINK("https://etp-aktiv.ru/catalog/materialy/rezino-tekhnicheskie-izdeliya/2000912398-U117/","Открыть позицию")</x:f>
        <x:v>Открыть позицию</x:v>
      </x:c>
    </x:row>
    <x:row r="97" ht="28" customHeight="1">
      <x:c r="A97" s="16" t="str">
        <x:v>Приморская ГРЭС</x:v>
      </x:c>
      <x:c r="B97" s="16" t="str">
        <x:v>2000002624-U117</x:v>
      </x:c>
      <x:c r="C97" s="16" t="str">
        <x:v>МАНЖЕТА 110*135 ГОСТ8752-79</x:v>
      </x:c>
      <x:c r="D97" s="16" t="str">
        <x:v>Резино-технические изделия прочие</x:v>
      </x:c>
      <x:c r="E97" s="16" t="str">
        <x:v>ШТ</x:v>
      </x:c>
      <x:c r="F97" s="21" t="n">
        <x:v>61</x:v>
      </x:c>
      <x:c r="G97" s="17" t="n">
        <x:v>114.9972</x:v>
      </x:c>
      <x:c r="H97" s="17" t="n">
        <x:f>G97*F97</x:f>
        <x:v>7014.8292</x:v>
      </x:c>
      <x:c r="I97" s="22" t="str">
        <x:f>HYPERLINK("https://etp-aktiv.ru/catalog/materialy/rezino-tekhnicheskie-izdeliya/2000002624-U117/","Открыть позицию")</x:f>
        <x:v>Открыть позицию</x:v>
      </x:c>
    </x:row>
    <x:row r="98" ht="28" customHeight="1">
      <x:c r="A98" s="16" t="str">
        <x:v>Приморская ГРЭС</x:v>
      </x:c>
      <x:c r="B98" s="16" t="str">
        <x:v>2000029801-U117</x:v>
      </x:c>
      <x:c r="C98" s="16" t="str">
        <x:v>МАНЖЕТА 115*145 ГОСТ14896-84</x:v>
      </x:c>
      <x:c r="D98" s="16" t="str">
        <x:v>Резино-технические изделия прочие</x:v>
      </x:c>
      <x:c r="E98" s="16" t="str">
        <x:v>ШТ</x:v>
      </x:c>
      <x:c r="F98" s="21" t="n">
        <x:v>20</x:v>
      </x:c>
      <x:c r="G98" s="17" t="n">
        <x:v>50.7886</x:v>
      </x:c>
      <x:c r="H98" s="17" t="n">
        <x:f>G98*F98</x:f>
        <x:v>1015.772</x:v>
      </x:c>
      <x:c r="I98" s="22" t="str">
        <x:f>HYPERLINK("https://etp-aktiv.ru/catalog/materialy/rezino-tekhnicheskie-izdeliya/2000029801-U117/","Открыть позицию")</x:f>
        <x:v>Открыть позицию</x:v>
      </x:c>
    </x:row>
    <x:row r="99" ht="28" customHeight="1">
      <x:c r="A99" s="16" t="str">
        <x:v>Приморская ГРЭС</x:v>
      </x:c>
      <x:c r="B99" s="16" t="str">
        <x:v>2000002786-U117</x:v>
      </x:c>
      <x:c r="C99" s="16" t="str">
        <x:v>МАНЖЕТА 130*160 ГОСТ8752-79</x:v>
      </x:c>
      <x:c r="D99" s="16" t="str">
        <x:v>Резино-технические изделия прочие</x:v>
      </x:c>
      <x:c r="E99" s="16" t="str">
        <x:v>ШТ</x:v>
      </x:c>
      <x:c r="F99" s="21" t="n">
        <x:v>23</x:v>
      </x:c>
      <x:c r="G99" s="17" t="n">
        <x:v>114.9972</x:v>
      </x:c>
      <x:c r="H99" s="17" t="n">
        <x:f>G99*F99</x:f>
        <x:v>2644.9356000000002</x:v>
      </x:c>
      <x:c r="I99" s="22" t="str">
        <x:f>HYPERLINK("https://etp-aktiv.ru/catalog/materialy/rezino-tekhnicheskie-izdeliya/2000002786-U117/","Открыть позицию")</x:f>
        <x:v>Открыть позицию</x:v>
      </x:c>
    </x:row>
    <x:row r="100" ht="28" customHeight="1">
      <x:c r="A100" s="16" t="str">
        <x:v>Приморская ГРЭС</x:v>
      </x:c>
      <x:c r="B100" s="16" t="str">
        <x:v>2000006107-U117</x:v>
      </x:c>
      <x:c r="C100" s="16" t="str">
        <x:v>МАНЖЕТА 140*160 ГОСТ8752-79</x:v>
      </x:c>
      <x:c r="D100" s="16" t="str">
        <x:v>Резино-технические изделия прочие</x:v>
      </x:c>
      <x:c r="E100" s="16" t="str">
        <x:v>ШТ</x:v>
      </x:c>
      <x:c r="F100" s="21" t="n">
        <x:v>60</x:v>
      </x:c>
      <x:c r="G100" s="17" t="n">
        <x:v>228.1034</x:v>
      </x:c>
      <x:c r="H100" s="17" t="n">
        <x:f>G100*F100</x:f>
        <x:v>13686.204</x:v>
      </x:c>
      <x:c r="I100" s="22" t="str">
        <x:f>HYPERLINK("https://etp-aktiv.ru/catalog/materialy/rezino-tekhnicheskie-izdeliya/2000006107-U117/","Открыть позицию")</x:f>
        <x:v>Открыть позицию</x:v>
      </x:c>
    </x:row>
    <x:row r="101" ht="28" customHeight="1">
      <x:c r="A101" s="16" t="str">
        <x:v>Приморская ГРЭС</x:v>
      </x:c>
      <x:c r="B101" s="16" t="str">
        <x:v>2000003013-U117</x:v>
      </x:c>
      <x:c r="C101" s="16" t="str">
        <x:v>МАНЖЕТА 140*170 ГОСТ8752-79</x:v>
      </x:c>
      <x:c r="D101" s="16" t="str">
        <x:v>Резино-технические изделия прочие</x:v>
      </x:c>
      <x:c r="E101" s="16" t="str">
        <x:v>ШТ</x:v>
      </x:c>
      <x:c r="F101" s="21" t="n">
        <x:v>10</x:v>
      </x:c>
      <x:c r="G101" s="17" t="n">
        <x:v>143.63060000000002</x:v>
      </x:c>
      <x:c r="H101" s="17" t="n">
        <x:f>G101*F101</x:f>
        <x:v>1436.306</x:v>
      </x:c>
      <x:c r="I101" s="22" t="str">
        <x:f>HYPERLINK("https://etp-aktiv.ru/catalog/materialy/rezino-tekhnicheskie-izdeliya/2000003013-U117/","Открыть позицию")</x:f>
        <x:v>Открыть позицию</x:v>
      </x:c>
    </x:row>
    <x:row r="102" ht="28" customHeight="1">
      <x:c r="A102" s="16" t="str">
        <x:v>Приморская ГРЭС</x:v>
      </x:c>
      <x:c r="B102" s="16" t="str">
        <x:v>2000002674-U117</x:v>
      </x:c>
      <x:c r="C102" s="16" t="str">
        <x:v>МАНЖЕТА 170*200 ГОСТ8752-79</x:v>
      </x:c>
      <x:c r="D102" s="16" t="str">
        <x:v>Резино-технические изделия прочие</x:v>
      </x:c>
      <x:c r="E102" s="16" t="str">
        <x:v>ШТ</x:v>
      </x:c>
      <x:c r="F102" s="21" t="n">
        <x:v>21</x:v>
      </x:c>
      <x:c r="G102" s="17" t="n">
        <x:v>134.9442</x:v>
      </x:c>
      <x:c r="H102" s="17" t="n">
        <x:f>G102*F102</x:f>
        <x:v>2833.8282</x:v>
      </x:c>
      <x:c r="I102" s="22" t="str">
        <x:f>HYPERLINK("https://etp-aktiv.ru/catalog/materialy/rezino-tekhnicheskie-izdeliya/2000002674-U117/","Открыть позицию")</x:f>
        <x:v>Открыть позицию</x:v>
      </x:c>
    </x:row>
    <x:row r="103" ht="28" customHeight="1">
      <x:c r="A103" s="16" t="str">
        <x:v>Приморская ГРЭС</x:v>
      </x:c>
      <x:c r="B103" s="16" t="str">
        <x:v>2000305971-U117</x:v>
      </x:c>
      <x:c r="C103" s="16" t="str">
        <x:v>МАНЖЕТА 170*200 ТУ38-1051725-86</x:v>
      </x:c>
      <x:c r="D103" s="16" t="str">
        <x:v>Резино-технические изделия прочие</x:v>
      </x:c>
      <x:c r="E103" s="16" t="str">
        <x:v>ШТ</x:v>
      </x:c>
      <x:c r="F103" s="21" t="n">
        <x:v>8</x:v>
      </x:c>
      <x:c r="G103" s="17" t="n">
        <x:v>169.82399999999998</x:v>
      </x:c>
      <x:c r="H103" s="17" t="n">
        <x:f>G103*F103</x:f>
        <x:v>1358.5919999999999</x:v>
      </x:c>
      <x:c r="I103" s="22" t="str">
        <x:f>HYPERLINK("https://etp-aktiv.ru/catalog/materialy/rezino-tekhnicheskie-izdeliya/2000305971-U117/","Открыть позицию")</x:f>
        <x:v>Открыть позицию</x:v>
      </x:c>
    </x:row>
    <x:row r="104" ht="28" customHeight="1">
      <x:c r="A104" s="16" t="str">
        <x:v>Приморская ГРЭС</x:v>
      </x:c>
      <x:c r="B104" s="16" t="str">
        <x:v>2000029824-U117</x:v>
      </x:c>
      <x:c r="C104" s="16" t="str">
        <x:v>МАНЖЕТА 180*220 ГОСТ8752-79</x:v>
      </x:c>
      <x:c r="D104" s="16" t="str">
        <x:v>Резино-технические изделия прочие</x:v>
      </x:c>
      <x:c r="E104" s="16" t="str">
        <x:v>ШТ</x:v>
      </x:c>
      <x:c r="F104" s="21" t="n">
        <x:v>3</x:v>
      </x:c>
      <x:c r="G104" s="17" t="n">
        <x:v>57.840199999999996</x:v>
      </x:c>
      <x:c r="H104" s="17" t="n">
        <x:f>G104*F104</x:f>
        <x:v>173.5206</x:v>
      </x:c>
      <x:c r="I104" s="22" t="str">
        <x:f>HYPERLINK("https://etp-aktiv.ru/catalog/materialy/rezino-tekhnicheskie-izdeliya/2000029824-U117/","Открыть позицию")</x:f>
        <x:v>Открыть позицию</x:v>
      </x:c>
    </x:row>
    <x:row r="105" ht="28" customHeight="1">
      <x:c r="A105" s="16" t="str">
        <x:v>Приморская ГРЭС</x:v>
      </x:c>
      <x:c r="B105" s="16" t="str">
        <x:v>2000589341-U117</x:v>
      </x:c>
      <x:c r="C105" s="16" t="str">
        <x:v>МАНЖЕТА 2,2-100*125-12 ГОСТ8752-82</x:v>
      </x:c>
      <x:c r="D105" s="16" t="str">
        <x:v>Резино-технические изделия прочие</x:v>
      </x:c>
      <x:c r="E105" s="16" t="str">
        <x:v>ШТ</x:v>
      </x:c>
      <x:c r="F105" s="21" t="n">
        <x:v>6</x:v>
      </x:c>
      <x:c r="G105" s="17" t="n">
        <x:v>63.135</x:v>
      </x:c>
      <x:c r="H105" s="17" t="n">
        <x:f>G105*F105</x:f>
        <x:v>378.81</x:v>
      </x:c>
      <x:c r="I105" s="22" t="str">
        <x:f>HYPERLINK("https://etp-aktiv.ru/catalog/materialy/rezino-tekhnicheskie-izdeliya/2000589341-U117/","Открыть позицию")</x:f>
        <x:v>Открыть позицию</x:v>
      </x:c>
    </x:row>
    <x:row r="106" ht="28" customHeight="1">
      <x:c r="A106" s="16" t="str">
        <x:v>Приморская ГРЭС</x:v>
      </x:c>
      <x:c r="B106" s="16" t="str">
        <x:v>2000546866-U117</x:v>
      </x:c>
      <x:c r="C106" s="16" t="str">
        <x:v>МАНЖЕТА 2,2-50*70-10 ГОСТ8752-79</x:v>
      </x:c>
      <x:c r="D106" s="16" t="str">
        <x:v>Резино-технические изделия прочие</x:v>
      </x:c>
      <x:c r="E106" s="16" t="str">
        <x:v>ШТ</x:v>
      </x:c>
      <x:c r="F106" s="21" t="n">
        <x:v>3</x:v>
      </x:c>
      <x:c r="G106" s="17" t="n">
        <x:v>18.5074</x:v>
      </x:c>
      <x:c r="H106" s="17" t="n">
        <x:f>G106*F106</x:f>
        <x:v>55.5222</x:v>
      </x:c>
      <x:c r="I106" s="22" t="str">
        <x:f>HYPERLINK("https://etp-aktiv.ru/catalog/materialy/rezino-tekhnicheskie-izdeliya/2000546866-U117/","Открыть позицию")</x:f>
        <x:v>Открыть позицию</x:v>
      </x:c>
    </x:row>
    <x:row r="107" ht="28" customHeight="1">
      <x:c r="A107" s="16" t="str">
        <x:v>Приморская ГРЭС</x:v>
      </x:c>
      <x:c r="B107" s="16" t="str">
        <x:v>2000546739-U117</x:v>
      </x:c>
      <x:c r="C107" s="16" t="str">
        <x:v>МАНЖЕТА 2,2-55*80-1 ГОСТ8752-79</x:v>
      </x:c>
      <x:c r="D107" s="16" t="str">
        <x:v>Резино-технические изделия прочие</x:v>
      </x:c>
      <x:c r="E107" s="16" t="str">
        <x:v>ШТ</x:v>
      </x:c>
      <x:c r="F107" s="21" t="n">
        <x:v>12</x:v>
      </x:c>
      <x:c r="G107" s="17" t="n">
        <x:v>114.9972</x:v>
      </x:c>
      <x:c r="H107" s="17" t="n">
        <x:f>G107*F107</x:f>
        <x:v>1379.9664</x:v>
      </x:c>
      <x:c r="I107" s="22" t="str">
        <x:f>HYPERLINK("https://etp-aktiv.ru/catalog/materialy/rezino-tekhnicheskie-izdeliya/2000546739-U117/","Открыть позицию")</x:f>
        <x:v>Открыть позицию</x:v>
      </x:c>
    </x:row>
    <x:row r="108" ht="28" customHeight="1">
      <x:c r="A108" s="16" t="str">
        <x:v>Приморская ГРЭС</x:v>
      </x:c>
      <x:c r="B108" s="16" t="str">
        <x:v>2000546713-U117</x:v>
      </x:c>
      <x:c r="C108" s="16" t="str">
        <x:v>МАНЖЕТА 2,2-75*110-10 ГОСТ8752-79</x:v>
      </x:c>
      <x:c r="D108" s="16" t="str">
        <x:v>Резино-технические изделия прочие</x:v>
      </x:c>
      <x:c r="E108" s="16" t="str">
        <x:v>ШТ</x:v>
      </x:c>
      <x:c r="F108" s="21" t="n">
        <x:v>30</x:v>
      </x:c>
      <x:c r="G108" s="17" t="n">
        <x:v>70.882</x:v>
      </x:c>
      <x:c r="H108" s="17" t="n">
        <x:f>G108*F108</x:f>
        <x:v>2126.46</x:v>
      </x:c>
      <x:c r="I108" s="22" t="str">
        <x:f>HYPERLINK("https://etp-aktiv.ru/catalog/materialy/rezino-tekhnicheskie-izdeliya/2000546713-U117/","Открыть позицию")</x:f>
        <x:v>Открыть позицию</x:v>
      </x:c>
    </x:row>
    <x:row r="109" ht="28" customHeight="1">
      <x:c r="A109" s="16" t="str">
        <x:v>Приморская ГРЭС</x:v>
      </x:c>
      <x:c r="B109" s="16" t="str">
        <x:v>2000007527-U117</x:v>
      </x:c>
      <x:c r="C109" s="16" t="str">
        <x:v>МАНЖЕТА 2-260*300-1 ГОСТ8752-79</x:v>
      </x:c>
      <x:c r="D109" s="16" t="str">
        <x:v>Резино-технические изделия прочие</x:v>
      </x:c>
      <x:c r="E109" s="16" t="str">
        <x:v>ШТ</x:v>
      </x:c>
      <x:c r="F109" s="21" t="n">
        <x:v>6</x:v>
      </x:c>
      <x:c r="G109" s="17" t="n">
        <x:v>376.01619999999997</x:v>
      </x:c>
      <x:c r="H109" s="17" t="n">
        <x:f>G109*F109</x:f>
        <x:v>2256.0971999999997</x:v>
      </x:c>
      <x:c r="I109" s="22" t="str">
        <x:f>HYPERLINK("https://etp-aktiv.ru/catalog/materialy/rezino-tekhnicheskie-izdeliya/2000007527-U117/","Открыть позицию")</x:f>
        <x:v>Открыть позицию</x:v>
      </x:c>
    </x:row>
    <x:row r="110" ht="28" customHeight="1">
      <x:c r="A110" s="16" t="str">
        <x:v>Приморская ГРЭС</x:v>
      </x:c>
      <x:c r="B110" s="16" t="str">
        <x:v>2000912401-U117</x:v>
      </x:c>
      <x:c r="C110" s="16" t="str">
        <x:v>МАНЖЕТА 2.2-240*280-15 ГОСТ8752-79</x:v>
      </x:c>
      <x:c r="D110" s="16" t="str">
        <x:v>Резино-технические изделия прочие</x:v>
      </x:c>
      <x:c r="E110" s="16" t="str">
        <x:v>ШТ</x:v>
      </x:c>
      <x:c r="F110" s="21" t="n">
        <x:v>9</x:v>
      </x:c>
      <x:c r="G110" s="17" t="n">
        <x:v>413.9582</x:v>
      </x:c>
      <x:c r="H110" s="17" t="n">
        <x:f>G110*F110</x:f>
        <x:v>3725.6238</x:v>
      </x:c>
      <x:c r="I110" s="22" t="str">
        <x:f>HYPERLINK("https://etp-aktiv.ru/catalog/materialy/rezino-tekhnicheskie-izdeliya/2000912401-U117/","Открыть позицию")</x:f>
        <x:v>Открыть позицию</x:v>
      </x:c>
    </x:row>
    <x:row r="111" ht="28" customHeight="1">
      <x:c r="A111" s="16" t="str">
        <x:v>Приморская ГРЭС</x:v>
      </x:c>
      <x:c r="B111" s="16" t="str">
        <x:v>2000619628-U117</x:v>
      </x:c>
      <x:c r="C111" s="16" t="str">
        <x:v>МАНЖЕТА 2.2-30*52-3 ГОСТ8752-79</x:v>
      </x:c>
      <x:c r="D111" s="16" t="str">
        <x:v>Резино-технические изделия прочие</x:v>
      </x:c>
      <x:c r="E111" s="16" t="str">
        <x:v>ШТ</x:v>
      </x:c>
      <x:c r="F111" s="21" t="n">
        <x:v>2</x:v>
      </x:c>
      <x:c r="G111" s="17" t="n">
        <x:v>22.5822</x:v>
      </x:c>
      <x:c r="H111" s="17" t="n">
        <x:f>G111*F111</x:f>
        <x:v>45.1644</x:v>
      </x:c>
      <x:c r="I111" s="22" t="str">
        <x:f>HYPERLINK("https://etp-aktiv.ru/catalog/materialy/rezino-tekhnicheskie-izdeliya/2000619628-U117/","Открыть позицию")</x:f>
        <x:v>Открыть позицию</x:v>
      </x:c>
    </x:row>
    <x:row r="112" ht="28" customHeight="1">
      <x:c r="A112" s="16" t="str">
        <x:v>Приморская ГРЭС</x:v>
      </x:c>
      <x:c r="B112" s="16" t="str">
        <x:v>2000127474-U117</x:v>
      </x:c>
      <x:c r="C112" s="16" t="str">
        <x:v>МАНЖЕТА 200*240*15 ГОСТ8752-79</x:v>
      </x:c>
      <x:c r="D112" s="16" t="str">
        <x:v>Резино-технические изделия прочие</x:v>
      </x:c>
      <x:c r="E112" s="16" t="str">
        <x:v>ШТ</x:v>
      </x:c>
      <x:c r="F112" s="21" t="n">
        <x:v>2</x:v>
      </x:c>
      <x:c r="G112" s="17" t="n">
        <x:v>244.305</x:v>
      </x:c>
      <x:c r="H112" s="17" t="n">
        <x:f>G112*F112</x:f>
        <x:v>488.61</x:v>
      </x:c>
      <x:c r="I112" s="22" t="str">
        <x:f>HYPERLINK("https://etp-aktiv.ru/catalog/materialy/rezino-tekhnicheskie-izdeliya/2000127474-U117/","Открыть позицию")</x:f>
        <x:v>Открыть позицию</x:v>
      </x:c>
    </x:row>
    <x:row r="113" ht="28" customHeight="1">
      <x:c r="A113" s="16" t="str">
        <x:v>Приморская ГРЭС</x:v>
      </x:c>
      <x:c r="B113" s="16" t="str">
        <x:v>2000007837-U117</x:v>
      </x:c>
      <x:c r="C113" s="16" t="str">
        <x:v>МАНЖЕТА 250*290 ГОСТ8752-79</x:v>
      </x:c>
      <x:c r="D113" s="16" t="str">
        <x:v>Резино-технические изделия прочие</x:v>
      </x:c>
      <x:c r="E113" s="16" t="str">
        <x:v>ШТ</x:v>
      </x:c>
      <x:c r="F113" s="21" t="n">
        <x:v>18</x:v>
      </x:c>
      <x:c r="G113" s="17" t="n">
        <x:v>2087.6884</x:v>
      </x:c>
      <x:c r="H113" s="17" t="n">
        <x:f>G113*F113</x:f>
        <x:v>37578.3912</x:v>
      </x:c>
      <x:c r="I113" s="22" t="str">
        <x:f>HYPERLINK("https://etp-aktiv.ru/catalog/materialy/rezino-tekhnicheskie-izdeliya/2000007837-U117/","Открыть позицию")</x:f>
        <x:v>Открыть позицию</x:v>
      </x:c>
    </x:row>
    <x:row r="114" ht="28" customHeight="1">
      <x:c r="A114" s="16" t="str">
        <x:v>Приморская ГРЭС</x:v>
      </x:c>
      <x:c r="B114" s="16" t="str">
        <x:v>2000001820-U117</x:v>
      </x:c>
      <x:c r="C114" s="16" t="str">
        <x:v>МАНЖЕТА 80*105 ГОСТ6969-54</x:v>
      </x:c>
      <x:c r="D114" s="16" t="str">
        <x:v>Резино-технические изделия прочие</x:v>
      </x:c>
      <x:c r="E114" s="16" t="str">
        <x:v>ШТ</x:v>
      </x:c>
      <x:c r="F114" s="21" t="n">
        <x:v>2</x:v>
      </x:c>
      <x:c r="G114" s="17" t="n">
        <x:v>87.474</x:v>
      </x:c>
      <x:c r="H114" s="17" t="n">
        <x:f>G114*F114</x:f>
        <x:v>174.948</x:v>
      </x:c>
      <x:c r="I114" s="22" t="str">
        <x:f>HYPERLINK("https://etp-aktiv.ru/catalog/materialy/rezino-tekhnicheskie-izdeliya/2000001820-U117/","Открыть позицию")</x:f>
        <x:v>Открыть позицию</x:v>
      </x:c>
    </x:row>
    <x:row r="115" ht="28" customHeight="1">
      <x:c r="A115" s="16" t="str">
        <x:v>Приморская ГРЭС</x:v>
      </x:c>
      <x:c r="B115" s="16" t="str">
        <x:v>2000002318-U117</x:v>
      </x:c>
      <x:c r="C115" s="16" t="str">
        <x:v>МАНЖЕТА 80*110 ГОСТ6969-54</x:v>
      </x:c>
      <x:c r="D115" s="16" t="str">
        <x:v>Резино-технические изделия прочие</x:v>
      </x:c>
      <x:c r="E115" s="16" t="str">
        <x:v>ШТ</x:v>
      </x:c>
      <x:c r="F115" s="21" t="n">
        <x:v>34</x:v>
      </x:c>
      <x:c r="G115" s="17" t="n">
        <x:v>140.38539999999998</x:v>
      </x:c>
      <x:c r="H115" s="17" t="n">
        <x:f>G115*F115</x:f>
        <x:v>4773.1035999999995</x:v>
      </x:c>
      <x:c r="I115" s="22" t="str">
        <x:f>HYPERLINK("https://etp-aktiv.ru/catalog/materialy/rezino-tekhnicheskie-izdeliya/2000002318-U117/","Открыть позицию")</x:f>
        <x:v>Открыть позицию</x:v>
      </x:c>
    </x:row>
    <x:row r="116" ht="28" customHeight="1">
      <x:c r="A116" s="16" t="str">
        <x:v>Приморская ГРЭС</x:v>
      </x:c>
      <x:c r="B116" s="16" t="str">
        <x:v>2000225088-U117</x:v>
      </x:c>
      <x:c r="C116" s="16" t="str">
        <x:v>МАНЖЕТА АРМИР 1,1-55*80-1 ГОСТ8752-80</x:v>
      </x:c>
      <x:c r="D116" s="16" t="str">
        <x:v>Резино-технические изделия прочие</x:v>
      </x:c>
      <x:c r="E116" s="16" t="str">
        <x:v>ШТ</x:v>
      </x:c>
      <x:c r="F116" s="21" t="n">
        <x:v>5</x:v>
      </x:c>
      <x:c r="G116" s="17" t="n">
        <x:v>22.142999999999997</x:v>
      </x:c>
      <x:c r="H116" s="17" t="n">
        <x:f>G116*F116</x:f>
        <x:v>110.71499999999999</x:v>
      </x:c>
      <x:c r="I116" s="22" t="str">
        <x:f>HYPERLINK("https://etp-aktiv.ru/catalog/materialy/rezino-tekhnicheskie-izdeliya/2000225088-U117/","Открыть позицию")</x:f>
        <x:v>Открыть позицию</x:v>
      </x:c>
    </x:row>
    <x:row r="117" ht="28" customHeight="1">
      <x:c r="A117" s="16" t="str">
        <x:v>Приморская ГРЭС</x:v>
      </x:c>
      <x:c r="B117" s="16" t="str">
        <x:v>2000201635-U117</x:v>
      </x:c>
      <x:c r="C117" s="16" t="str">
        <x:v>МАНЖЕТА АРМИР 1,1-65*90-07 ГОСТ8752-79</x:v>
      </x:c>
      <x:c r="D117" s="16" t="str">
        <x:v>Резино-технические изделия прочие</x:v>
      </x:c>
      <x:c r="E117" s="16" t="str">
        <x:v>ШТ</x:v>
      </x:c>
      <x:c r="F117" s="21" t="n">
        <x:v>20</x:v>
      </x:c>
      <x:c r="G117" s="17" t="n">
        <x:v>31.0734</x:v>
      </x:c>
      <x:c r="H117" s="17" t="n">
        <x:f>G117*F117</x:f>
        <x:v>621.468</x:v>
      </x:c>
      <x:c r="I117" s="22" t="str">
        <x:f>HYPERLINK("https://etp-aktiv.ru/catalog/materialy/rezino-tekhnicheskie-izdeliya/2000201635-U117/","Открыть позицию")</x:f>
        <x:v>Открыть позицию</x:v>
      </x:c>
    </x:row>
    <x:row r="118" ht="28" customHeight="1">
      <x:c r="A118" s="16" t="str">
        <x:v>Приморская ГРЭС</x:v>
      </x:c>
      <x:c r="B118" s="16" t="str">
        <x:v>2000003027-U117</x:v>
      </x:c>
      <x:c r="C118" s="16" t="str">
        <x:v>МАНЖЕТА АРМИР 1,2-130*160-3 ГОСТ8752-79</x:v>
      </x:c>
      <x:c r="D118" s="16" t="str">
        <x:v>Резино-технические изделия прочие</x:v>
      </x:c>
      <x:c r="E118" s="16" t="str">
        <x:v>ШТ</x:v>
      </x:c>
      <x:c r="F118" s="21" t="n">
        <x:v>5</x:v>
      </x:c>
      <x:c r="G118" s="17" t="n">
        <x:v>164.9562</x:v>
      </x:c>
      <x:c r="H118" s="17" t="n">
        <x:f>G118*F118</x:f>
        <x:v>824.781</x:v>
      </x:c>
      <x:c r="I118" s="22" t="str">
        <x:f>HYPERLINK("https://etp-aktiv.ru/catalog/materialy/rezino-tekhnicheskie-izdeliya/2000003027-U117/","Открыть позицию")</x:f>
        <x:v>Открыть позицию</x:v>
      </x:c>
    </x:row>
    <x:row r="119" ht="28" customHeight="1">
      <x:c r="A119" s="16" t="str">
        <x:v>Приморская ГРЭС</x:v>
      </x:c>
      <x:c r="B119" s="16" t="str">
        <x:v>2000004667-U117</x:v>
      </x:c>
      <x:c r="C119" s="16" t="str">
        <x:v>МАНЖЕТА АРМИР 1,2-170*200-3 ГОСТ8752-79</x:v>
      </x:c>
      <x:c r="D119" s="16" t="str">
        <x:v>Резино-технические изделия прочие</x:v>
      </x:c>
      <x:c r="E119" s="16" t="str">
        <x:v>ШТ</x:v>
      </x:c>
      <x:c r="F119" s="21" t="n">
        <x:v>16</x:v>
      </x:c>
      <x:c r="G119" s="17" t="n">
        <x:v>246.5864</x:v>
      </x:c>
      <x:c r="H119" s="17" t="n">
        <x:f>G119*F119</x:f>
        <x:v>3945.3824</x:v>
      </x:c>
      <x:c r="I119" s="22" t="str">
        <x:f>HYPERLINK("https://etp-aktiv.ru/catalog/materialy/rezino-tekhnicheskie-izdeliya/2000004667-U117/","Открыть позицию")</x:f>
        <x:v>Открыть позицию</x:v>
      </x:c>
    </x:row>
    <x:row r="120" ht="28" customHeight="1">
      <x:c r="A120" s="16" t="str">
        <x:v>Приморская ГРЭС</x:v>
      </x:c>
      <x:c r="B120" s="16" t="str">
        <x:v>2000224681-U117</x:v>
      </x:c>
      <x:c r="C120" s="16" t="str">
        <x:v>МАНЖЕТА ГИДРАВЛ 75*90 H12 ГОСТ14896-84</x:v>
      </x:c>
      <x:c r="D120" s="16" t="str">
        <x:v>Резино-технические изделия прочие</x:v>
      </x:c>
      <x:c r="E120" s="16" t="str">
        <x:v>ШТ</x:v>
      </x:c>
      <x:c r="F120" s="21" t="n">
        <x:v>12</x:v>
      </x:c>
      <x:c r="G120" s="17" t="n">
        <x:v>37.21</x:v>
      </x:c>
      <x:c r="H120" s="17" t="n">
        <x:f>G120*F120</x:f>
        <x:v>446.52</x:v>
      </x:c>
      <x:c r="I120" s="22" t="str">
        <x:f>HYPERLINK("https://etp-aktiv.ru/catalog/materialy/rezino-tekhnicheskie-izdeliya/2000224681-U117/","Открыть позицию")</x:f>
        <x:v>Открыть позицию</x:v>
      </x:c>
    </x:row>
    <x:row r="121" ht="28" customHeight="1">
      <x:c r="A121" s="16" t="str">
        <x:v>Приморская ГРЭС</x:v>
      </x:c>
      <x:c r="B121" s="16" t="str">
        <x:v>2000074140-U117</x:v>
      </x:c>
      <x:c r="C121" s="16" t="str">
        <x:v>МАНЖЕТА М50*70-2 ГОСТ22704-77</x:v>
      </x:c>
      <x:c r="D121" s="16" t="str">
        <x:v>Резино-технические изделия прочие</x:v>
      </x:c>
      <x:c r="E121" s="16" t="str">
        <x:v>ШТ</x:v>
      </x:c>
      <x:c r="F121" s="21" t="n">
        <x:v>30</x:v>
      </x:c>
      <x:c r="G121" s="17" t="n">
        <x:v>74.725</x:v>
      </x:c>
      <x:c r="H121" s="17" t="n">
        <x:f>G121*F121</x:f>
        <x:v>2241.75</x:v>
      </x:c>
      <x:c r="I121" s="22" t="str">
        <x:f>HYPERLINK("https://etp-aktiv.ru/catalog/materialy/rezino-tekhnicheskie-izdeliya/2000074140-U117/","Открыть позицию")</x:f>
        <x:v>Открыть позицию</x:v>
      </x:c>
    </x:row>
    <x:row r="122" ht="28" customHeight="1">
      <x:c r="A122" s="16" t="str">
        <x:v>Приморская ГРЭС</x:v>
      </x:c>
      <x:c r="B122" s="16" t="str">
        <x:v>2000074077-U117</x:v>
      </x:c>
      <x:c r="C122" s="16" t="str">
        <x:v>МАНЖЕТА УПЛОТНИТ 1,2-170*200-1 ГОСТ8752</x:v>
      </x:c>
      <x:c r="D122" s="16" t="str">
        <x:v>Резино-технические изделия прочие</x:v>
      </x:c>
      <x:c r="E122" s="16" t="str">
        <x:v>ШТ</x:v>
      </x:c>
      <x:c r="F122" s="21" t="n">
        <x:v>14</x:v>
      </x:c>
      <x:c r="G122" s="17" t="n">
        <x:v>190.0028</x:v>
      </x:c>
      <x:c r="H122" s="17" t="n">
        <x:f>G122*F122</x:f>
        <x:v>2660.0392</x:v>
      </x:c>
      <x:c r="I122" s="22" t="str">
        <x:f>HYPERLINK("https://etp-aktiv.ru/catalog/materialy/rezino-tekhnicheskie-izdeliya/2000074077-U117/","Открыть позицию")</x:f>
        <x:v>Открыть позицию</x:v>
      </x:c>
    </x:row>
    <x:row r="123" ht="28" customHeight="1">
      <x:c r="A123" s="16" t="str">
        <x:v>Приморская ГРЭС</x:v>
      </x:c>
      <x:c r="B123" s="16" t="str">
        <x:v>2000711666-U117</x:v>
      </x:c>
      <x:c r="C123" s="16" t="str">
        <x:v>НАБИВКА 200М 5*5</x:v>
      </x:c>
      <x:c r="D123" s="16" t="str">
        <x:v>Асбо-технические изделия</x:v>
      </x:c>
      <x:c r="E123" s="16" t="str">
        <x:v>КГ</x:v>
      </x:c>
      <x:c r="F123" s="21" t="n">
        <x:v>8</x:v>
      </x:c>
      <x:c r="G123" s="17" t="n">
        <x:v>743.9437999999999</x:v>
      </x:c>
      <x:c r="H123" s="17" t="n">
        <x:f>G123*F123</x:f>
        <x:v>5951.550399999999</x:v>
      </x:c>
      <x:c r="I123" s="22" t="str">
        <x:f>HYPERLINK("https://etp-aktiv.ru/catalog/materialy/asbo-tekhnicheskie-izdeliya/2000711666-U117/","Открыть позицию")</x:f>
        <x:v>Открыть позицию</x:v>
      </x:c>
    </x:row>
    <x:row r="124" ht="28" customHeight="1">
      <x:c r="A124" s="16" t="str">
        <x:v>Приморская ГРЭС</x:v>
      </x:c>
      <x:c r="B124" s="16" t="str">
        <x:v>2000539139-U117</x:v>
      </x:c>
      <x:c r="C124" s="16" t="str">
        <x:v>НАБИВКА H 1100 5*5</x:v>
      </x:c>
      <x:c r="D124" s="16" t="str">
        <x:v>Асбо-технические изделия</x:v>
      </x:c>
      <x:c r="E124" s="16" t="str">
        <x:v>КГ</x:v>
      </x:c>
      <x:c r="F124" s="21" t="n">
        <x:v>4</x:v>
      </x:c>
      <x:c r="G124" s="17" t="n">
        <x:v>1787.8368</x:v>
      </x:c>
      <x:c r="H124" s="17" t="n">
        <x:f>G124*F124</x:f>
        <x:v>7151.3472</x:v>
      </x:c>
      <x:c r="I124" s="22" t="str">
        <x:f>HYPERLINK("https://etp-aktiv.ru/catalog/materialy/asbo-tekhnicheskie-izdeliya/2000539139-U117/","Открыть позицию")</x:f>
        <x:v>Открыть позицию</x:v>
      </x:c>
    </x:row>
    <x:row r="125" ht="28" customHeight="1">
      <x:c r="A125" s="16" t="str">
        <x:v>Приморская ГРЭС</x:v>
      </x:c>
      <x:c r="B125" s="16" t="str">
        <x:v>2000140982-U117</x:v>
      </x:c>
      <x:c r="C125" s="16" t="str">
        <x:v>НАБИВКА АГИ 13ММ ГОСТ5152-84</x:v>
      </x:c>
      <x:c r="D125" s="16" t="str">
        <x:v>Асбо-технические изделия</x:v>
      </x:c>
      <x:c r="E125" s="16" t="str">
        <x:v>КГ</x:v>
      </x:c>
      <x:c r="F125" s="21" t="n">
        <x:v>1</x:v>
      </x:c>
      <x:c r="G125" s="17" t="n">
        <x:v>258.5424</x:v>
      </x:c>
      <x:c r="H125" s="17" t="n">
        <x:f>G125*F125</x:f>
        <x:v>258.5424</x:v>
      </x:c>
      <x:c r="I125" s="22" t="str">
        <x:f>HYPERLINK("https://etp-aktiv.ru/catalog/materialy/asbo-tekhnicheskie-izdeliya/2000140982-U117/","Открыть позицию")</x:f>
        <x:v>Открыть позицию</x:v>
      </x:c>
    </x:row>
    <x:row r="126" ht="28" customHeight="1">
      <x:c r="A126" s="16" t="str">
        <x:v>Приморская ГРЭС</x:v>
      </x:c>
      <x:c r="B126" s="16" t="str">
        <x:v>2000604953-U117</x:v>
      </x:c>
      <x:c r="C126" s="16" t="str">
        <x:v>НАБИВКА АГИ 19*19 ГОСТ5152-84</x:v>
      </x:c>
      <x:c r="D126" s="16" t="str">
        <x:v>Асбо-технические изделия</x:v>
      </x:c>
      <x:c r="E126" s="16" t="str">
        <x:v>КГ</x:v>
      </x:c>
      <x:c r="F126" s="30" t="n">
        <x:v>19.2</x:v>
      </x:c>
      <x:c r="G126" s="17" t="n">
        <x:v>569.7765999999999</x:v>
      </x:c>
      <x:c r="H126" s="17" t="n">
        <x:f>G126*F126</x:f>
        <x:v>10939.710719999997</x:v>
      </x:c>
      <x:c r="I126" s="22" t="str">
        <x:f>HYPERLINK("https://etp-aktiv.ru/catalog/materialy/asbo-tekhnicheskie-izdeliya/2000604953-U117/","Открыть позицию")</x:f>
        <x:v>Открыть позицию</x:v>
      </x:c>
    </x:row>
    <x:row r="127" ht="28" customHeight="1">
      <x:c r="A127" s="16" t="str">
        <x:v>Приморская ГРЭС</x:v>
      </x:c>
      <x:c r="B127" s="16" t="str">
        <x:v>2000165144-U117</x:v>
      </x:c>
      <x:c r="C127" s="16" t="str">
        <x:v>НАБИВКА АГИ 20*20ММ</x:v>
      </x:c>
      <x:c r="D127" s="16" t="str">
        <x:v>Асбо-технические изделия</x:v>
      </x:c>
      <x:c r="E127" s="16" t="str">
        <x:v>КГ</x:v>
      </x:c>
      <x:c r="F127" s="30" t="n">
        <x:v>11.3</x:v>
      </x:c>
      <x:c r="G127" s="17" t="n">
        <x:v>286.578</x:v>
      </x:c>
      <x:c r="H127" s="17" t="n">
        <x:f>G127*F127</x:f>
        <x:v>3238.3314</x:v>
      </x:c>
      <x:c r="I127" s="22" t="str">
        <x:f>HYPERLINK("https://etp-aktiv.ru/catalog/materialy/asbo-tekhnicheskie-izdeliya/2000165144-U117/","Открыть позицию")</x:f>
        <x:v>Открыть позицию</x:v>
      </x:c>
    </x:row>
    <x:row r="128" ht="28" customHeight="1">
      <x:c r="A128" s="16" t="str">
        <x:v>Приморская ГРЭС</x:v>
      </x:c>
      <x:c r="B128" s="16" t="str">
        <x:v>2000085271-U117</x:v>
      </x:c>
      <x:c r="C128" s="16" t="str">
        <x:v>НАБИВКА АГИ 6ММ</x:v>
      </x:c>
      <x:c r="D128" s="16" t="str">
        <x:v>Асбо-технические изделия</x:v>
      </x:c>
      <x:c r="E128" s="16" t="str">
        <x:v>КГ</x:v>
      </x:c>
      <x:c r="F128" s="26" t="n">
        <x:v>0.219</x:v>
      </x:c>
      <x:c r="G128" s="17" t="n">
        <x:v>389.9974</x:v>
      </x:c>
      <x:c r="H128" s="17" t="n">
        <x:f>G128*F128</x:f>
        <x:v>85.40943060000001</x:v>
      </x:c>
      <x:c r="I128" s="22" t="str">
        <x:f>HYPERLINK("https://etp-aktiv.ru/catalog/materialy/asbo-tekhnicheskie-izdeliya/2000085271-U117/","Открыть позицию")</x:f>
        <x:v>Открыть позицию</x:v>
      </x:c>
    </x:row>
    <x:row r="129" ht="28" customHeight="1">
      <x:c r="A129" s="16" t="str">
        <x:v>Приморская ГРЭС</x:v>
      </x:c>
      <x:c r="B129" s="16" t="str">
        <x:v>2000157671-U117</x:v>
      </x:c>
      <x:c r="C129" s="16" t="str">
        <x:v>НАБИВКА АП-31 10*10ММ</x:v>
      </x:c>
      <x:c r="D129" s="16" t="str">
        <x:v>Асбо-технические изделия</x:v>
      </x:c>
      <x:c r="E129" s="16" t="str">
        <x:v>КГ</x:v>
      </x:c>
      <x:c r="F129" s="30" t="n">
        <x:v>29.68</x:v>
      </x:c>
      <x:c r="G129" s="17" t="n">
        <x:v>329.5586</x:v>
      </x:c>
      <x:c r="H129" s="17" t="n">
        <x:f>G129*F129</x:f>
        <x:v>9781.299248000001</x:v>
      </x:c>
      <x:c r="I129" s="22" t="str">
        <x:f>HYPERLINK("https://etp-aktiv.ru/catalog/materialy/asbo-tekhnicheskie-izdeliya/2000157671-U117/","Открыть позицию")</x:f>
        <x:v>Открыть позицию</x:v>
      </x:c>
    </x:row>
    <x:row r="130" ht="28" customHeight="1">
      <x:c r="A130" s="16" t="str">
        <x:v>Приморская ГРЭС</x:v>
      </x:c>
      <x:c r="B130" s="16" t="str">
        <x:v>2000157675-U117</x:v>
      </x:c>
      <x:c r="C130" s="16" t="str">
        <x:v>НАБИВКА АП-31 14*14ММ</x:v>
      </x:c>
      <x:c r="D130" s="16" t="str">
        <x:v>Асбо-технические изделия</x:v>
      </x:c>
      <x:c r="E130" s="16" t="str">
        <x:v>КГ</x:v>
      </x:c>
      <x:c r="F130" s="21" t="n">
        <x:v>6</x:v>
      </x:c>
      <x:c r="G130" s="17" t="n">
        <x:v>307.4278</x:v>
      </x:c>
      <x:c r="H130" s="17" t="n">
        <x:f>G130*F130</x:f>
        <x:v>1844.5668</x:v>
      </x:c>
      <x:c r="I130" s="22" t="str">
        <x:f>HYPERLINK("https://etp-aktiv.ru/catalog/materialy/asbo-tekhnicheskie-izdeliya/2000157675-U117/","Открыть позицию")</x:f>
        <x:v>Открыть позицию</x:v>
      </x:c>
    </x:row>
    <x:row r="131" ht="28" customHeight="1">
      <x:c r="A131" s="16" t="str">
        <x:v>Приморская ГРЭС</x:v>
      </x:c>
      <x:c r="B131" s="16" t="str">
        <x:v>2000031508-U117</x:v>
      </x:c>
      <x:c r="C131" s="16" t="str">
        <x:v>НАБИВКА АП-31 22ММ</x:v>
      </x:c>
      <x:c r="D131" s="16" t="str">
        <x:v>Асбо-технические изделия</x:v>
      </x:c>
      <x:c r="E131" s="16" t="str">
        <x:v>КГ</x:v>
      </x:c>
      <x:c r="F131" s="30" t="n">
        <x:v>20.07</x:v>
      </x:c>
      <x:c r="G131" s="17" t="n">
        <x:v>449.997</x:v>
      </x:c>
      <x:c r="H131" s="17" t="n">
        <x:f>G131*F131</x:f>
        <x:v>9031.43979</x:v>
      </x:c>
      <x:c r="I131" s="22" t="str">
        <x:f>HYPERLINK("https://etp-aktiv.ru/catalog/materialy/asbo-tekhnicheskie-izdeliya/2000031508-U117/","Открыть позицию")</x:f>
        <x:v>Открыть позицию</x:v>
      </x:c>
    </x:row>
    <x:row r="132" ht="28" customHeight="1">
      <x:c r="A132" s="16" t="str">
        <x:v>Приморская ГРЭС</x:v>
      </x:c>
      <x:c r="B132" s="16" t="str">
        <x:v>2000031512-U117</x:v>
      </x:c>
      <x:c r="C132" s="16" t="str">
        <x:v>НАБИВКА АП-31 6ММ</x:v>
      </x:c>
      <x:c r="D132" s="16" t="str">
        <x:v>Асбо-технические изделия</x:v>
      </x:c>
      <x:c r="E132" s="16" t="str">
        <x:v>КГ</x:v>
      </x:c>
      <x:c r="F132" s="30" t="n">
        <x:v>15.1</x:v>
      </x:c>
      <x:c r="G132" s="17" t="n">
        <x:v>127.612</x:v>
      </x:c>
      <x:c r="H132" s="17" t="n">
        <x:f>G132*F132</x:f>
        <x:v>1926.9412</x:v>
      </x:c>
      <x:c r="I132" s="22" t="str">
        <x:f>HYPERLINK("https://etp-aktiv.ru/catalog/materialy/asbo-tekhnicheskie-izdeliya/2000031512-U117/","Открыть позицию")</x:f>
        <x:v>Открыть позицию</x:v>
      </x:c>
    </x:row>
    <x:row r="133" ht="28" customHeight="1">
      <x:c r="A133" s="16" t="str">
        <x:v>Приморская ГРЭС</x:v>
      </x:c>
      <x:c r="B133" s="16" t="str">
        <x:v>2000711667-U117</x:v>
      </x:c>
      <x:c r="C133" s="16" t="str">
        <x:v>НАБИВКА АП-31 7</x:v>
      </x:c>
      <x:c r="D133" s="16" t="str">
        <x:v>Асбо-технические изделия</x:v>
      </x:c>
      <x:c r="E133" s="16" t="str">
        <x:v>КГ</x:v>
      </x:c>
      <x:c r="F133" s="30" t="n">
        <x:v>2.8</x:v>
      </x:c>
      <x:c r="G133" s="17" t="n">
        <x:v>131.9186</x:v>
      </x:c>
      <x:c r="H133" s="17" t="n">
        <x:f>G133*F133</x:f>
        <x:v>369.37208</x:v>
      </x:c>
      <x:c r="I133" s="22" t="str">
        <x:f>HYPERLINK("https://etp-aktiv.ru/catalog/materialy/asbo-tekhnicheskie-izdeliya/2000711667-U117/","Открыть позицию")</x:f>
        <x:v>Открыть позицию</x:v>
      </x:c>
    </x:row>
    <x:row r="134" ht="28" customHeight="1">
      <x:c r="A134" s="16" t="str">
        <x:v>Приморская ГРЭС</x:v>
      </x:c>
      <x:c r="B134" s="16" t="str">
        <x:v>2000031502-U117</x:v>
      </x:c>
      <x:c r="C134" s="16" t="str">
        <x:v>НАБИВКА АП-31 8ММ</x:v>
      </x:c>
      <x:c r="D134" s="16" t="str">
        <x:v>Асбо-технические изделия</x:v>
      </x:c>
      <x:c r="E134" s="16" t="str">
        <x:v>КГ</x:v>
      </x:c>
      <x:c r="F134" s="30" t="n">
        <x:v>5.8</x:v>
      </x:c>
      <x:c r="G134" s="17" t="n">
        <x:v>199.28699999999998</x:v>
      </x:c>
      <x:c r="H134" s="17" t="n">
        <x:f>G134*F134</x:f>
        <x:v>1155.8645999999999</x:v>
      </x:c>
      <x:c r="I134" s="22" t="str">
        <x:f>HYPERLINK("https://etp-aktiv.ru/catalog/materialy/asbo-tekhnicheskie-izdeliya/2000031502-U117/","Открыть позицию")</x:f>
        <x:v>Открыть позицию</x:v>
      </x:c>
    </x:row>
    <x:row r="135" ht="28" customHeight="1">
      <x:c r="A135" s="16" t="str">
        <x:v>Приморская ГРЭС</x:v>
      </x:c>
      <x:c r="B135" s="16" t="str">
        <x:v>2000140976-U117</x:v>
      </x:c>
      <x:c r="C135" s="16" t="str">
        <x:v>НАБИВКА АПР-31 19ММ</x:v>
      </x:c>
      <x:c r="D135" s="16" t="str">
        <x:v>Асбо-технические изделия</x:v>
      </x:c>
      <x:c r="E135" s="16" t="str">
        <x:v>КГ</x:v>
      </x:c>
      <x:c r="F135" s="21" t="n">
        <x:v>25</x:v>
      </x:c>
      <x:c r="G135" s="17" t="n">
        <x:v>449.997</x:v>
      </x:c>
      <x:c r="H135" s="17" t="n">
        <x:f>G135*F135</x:f>
        <x:v>11249.925000000001</x:v>
      </x:c>
      <x:c r="I135" s="22" t="str">
        <x:f>HYPERLINK("https://etp-aktiv.ru/catalog/materialy/asbo-tekhnicheskie-izdeliya/2000140976-U117/","Открыть позицию")</x:f>
        <x:v>Открыть позицию</x:v>
      </x:c>
    </x:row>
    <x:row r="136" ht="28" customHeight="1">
      <x:c r="A136" s="16" t="str">
        <x:v>Приморская ГРЭС</x:v>
      </x:c>
      <x:c r="B136" s="16" t="str">
        <x:v>2000031519-U117</x:v>
      </x:c>
      <x:c r="C136" s="16" t="str">
        <x:v>НАБИВКА АС 10ММ</x:v>
      </x:c>
      <x:c r="D136" s="16" t="str">
        <x:v>Асбо-технические изделия</x:v>
      </x:c>
      <x:c r="E136" s="16" t="str">
        <x:v>КГ</x:v>
      </x:c>
      <x:c r="F136" s="30" t="n">
        <x:v>38.7</x:v>
      </x:c>
      <x:c r="G136" s="17" t="n">
        <x:v>605.1078</x:v>
      </x:c>
      <x:c r="H136" s="17" t="n">
        <x:f>G136*F136</x:f>
        <x:v>23417.671860000002</x:v>
      </x:c>
      <x:c r="I136" s="22" t="str">
        <x:f>HYPERLINK("https://etp-aktiv.ru/catalog/materialy/asbo-tekhnicheskie-izdeliya/2000031519-U117/","Открыть позицию")</x:f>
        <x:v>Открыть позицию</x:v>
      </x:c>
    </x:row>
    <x:row r="137" ht="28" customHeight="1">
      <x:c r="A137" s="16" t="str">
        <x:v>Приморская ГРЭС</x:v>
      </x:c>
      <x:c r="B137" s="16" t="str">
        <x:v>2000274651-U117</x:v>
      </x:c>
      <x:c r="C137" s="16" t="str">
        <x:v>НАБИВКА ГРАФЛЕКС Н-1201 4*4</x:v>
      </x:c>
      <x:c r="D137" s="16" t="str">
        <x:v>Асбо-технические изделия</x:v>
      </x:c>
      <x:c r="E137" s="16" t="str">
        <x:v>КГ</x:v>
      </x:c>
      <x:c r="F137" s="21" t="n">
        <x:v>5</x:v>
      </x:c>
      <x:c r="G137" s="17" t="n">
        <x:v>884.5</x:v>
      </x:c>
      <x:c r="H137" s="17" t="n">
        <x:f>G137*F137</x:f>
        <x:v>4422.5</x:v>
      </x:c>
      <x:c r="I137" s="22" t="str">
        <x:f>HYPERLINK("https://etp-aktiv.ru/catalog/materialy/asbo-tekhnicheskie-izdeliya/2000274651-U117/","Открыть позицию")</x:f>
        <x:v>Открыть позицию</x:v>
      </x:c>
    </x:row>
    <x:row r="138" ht="28" customHeight="1">
      <x:c r="A138" s="16" t="str">
        <x:v>Приморская ГРЭС</x:v>
      </x:c>
      <x:c r="B138" s="16" t="str">
        <x:v>2000274652-U117</x:v>
      </x:c>
      <x:c r="C138" s="16" t="str">
        <x:v>НАБИВКА ГРАФЛЕКС Н-1201 6*6</x:v>
      </x:c>
      <x:c r="D138" s="16" t="str">
        <x:v>Асбо-технические изделия</x:v>
      </x:c>
      <x:c r="E138" s="16" t="str">
        <x:v>КГ</x:v>
      </x:c>
      <x:c r="F138" s="21" t="n">
        <x:v>9</x:v>
      </x:c>
      <x:c r="G138" s="17" t="n">
        <x:v>1149.24</x:v>
      </x:c>
      <x:c r="H138" s="17" t="n">
        <x:f>G138*F138</x:f>
        <x:v>10343.16</x:v>
      </x:c>
      <x:c r="I138" s="22" t="str">
        <x:f>HYPERLINK("https://etp-aktiv.ru/catalog/materialy/asbo-tekhnicheskie-izdeliya/2000274652-U117/","Открыть позицию")</x:f>
        <x:v>Открыть позицию</x:v>
      </x:c>
    </x:row>
    <x:row r="139" ht="28" customHeight="1">
      <x:c r="A139" s="16" t="str">
        <x:v>Приморская ГРЭС</x:v>
      </x:c>
      <x:c r="B139" s="16" t="str">
        <x:v>2000631009-U117</x:v>
      </x:c>
      <x:c r="C139" s="16" t="str">
        <x:v>НАБИВКА ГРАФЛЕКС Н1401 12*12ММ</x:v>
      </x:c>
      <x:c r="D139" s="16" t="str">
        <x:v>Асбо-технические изделия</x:v>
      </x:c>
      <x:c r="E139" s="16" t="str">
        <x:v>КГ</x:v>
      </x:c>
      <x:c r="F139" s="21" t="n">
        <x:v>5</x:v>
      </x:c>
      <x:c r="G139" s="17" t="n">
        <x:v>1300.0076</x:v>
      </x:c>
      <x:c r="H139" s="17" t="n">
        <x:f>G139*F139</x:f>
        <x:v>6500.038</x:v>
      </x:c>
      <x:c r="I139" s="22" t="str">
        <x:f>HYPERLINK("https://etp-aktiv.ru/catalog/materialy/asbo-tekhnicheskie-izdeliya/2000631009-U117/","Открыть позицию")</x:f>
        <x:v>Открыть позицию</x:v>
      </x:c>
    </x:row>
    <x:row r="140" ht="28" customHeight="1">
      <x:c r="A140" s="16" t="str">
        <x:v>Приморская ГРЭС</x:v>
      </x:c>
      <x:c r="B140" s="16" t="str">
        <x:v>2000631120-U117</x:v>
      </x:c>
      <x:c r="C140" s="16" t="str">
        <x:v>НАБИВКА ГРАФЛЕКС Н1401 14*14ММ</x:v>
      </x:c>
      <x:c r="D140" s="16" t="str">
        <x:v>Асбо-технические изделия</x:v>
      </x:c>
      <x:c r="E140" s="16" t="str">
        <x:v>КГ</x:v>
      </x:c>
      <x:c r="F140" s="21" t="n">
        <x:v>12</x:v>
      </x:c>
      <x:c r="G140" s="17" t="n">
        <x:v>1300.0076</x:v>
      </x:c>
      <x:c r="H140" s="17" t="n">
        <x:f>G140*F140</x:f>
        <x:v>15600.091199999999</x:v>
      </x:c>
      <x:c r="I140" s="22" t="str">
        <x:f>HYPERLINK("https://etp-aktiv.ru/catalog/materialy/asbo-tekhnicheskie-izdeliya/2000631120-U117/","Открыть позицию")</x:f>
        <x:v>Открыть позицию</x:v>
      </x:c>
    </x:row>
    <x:row r="141" ht="28" customHeight="1">
      <x:c r="A141" s="16" t="str">
        <x:v>Приморская ГРЭС</x:v>
      </x:c>
      <x:c r="B141" s="16" t="str">
        <x:v>2000631121-U117</x:v>
      </x:c>
      <x:c r="C141" s="16" t="str">
        <x:v>НАБИВКА ГРАФЛЕКС Н1401 16*16ММ</x:v>
      </x:c>
      <x:c r="D141" s="16" t="str">
        <x:v>Асбо-технические изделия</x:v>
      </x:c>
      <x:c r="E141" s="16" t="str">
        <x:v>КГ</x:v>
      </x:c>
      <x:c r="F141" s="30" t="n">
        <x:v>4.08</x:v>
      </x:c>
      <x:c r="G141" s="17" t="n">
        <x:v>1300.0076</x:v>
      </x:c>
      <x:c r="H141" s="17" t="n">
        <x:f>G141*F141</x:f>
        <x:v>5304.031008</x:v>
      </x:c>
      <x:c r="I141" s="22" t="str">
        <x:f>HYPERLINK("https://etp-aktiv.ru/catalog/materialy/asbo-tekhnicheskie-izdeliya/2000631121-U117/","Открыть позицию")</x:f>
        <x:v>Открыть позицию</x:v>
      </x:c>
    </x:row>
    <x:row r="142" ht="28" customHeight="1">
      <x:c r="A142" s="16" t="str">
        <x:v>Приморская ГРЭС</x:v>
      </x:c>
      <x:c r="B142" s="16" t="str">
        <x:v>2000631122-U117</x:v>
      </x:c>
      <x:c r="C142" s="16" t="str">
        <x:v>НАБИВКА ГРАФЛЕКС Н1401 18*18ММ</x:v>
      </x:c>
      <x:c r="D142" s="16" t="str">
        <x:v>Асбо-технические изделия</x:v>
      </x:c>
      <x:c r="E142" s="16" t="str">
        <x:v>КГ</x:v>
      </x:c>
      <x:c r="F142" s="30" t="n">
        <x:v>1.5</x:v>
      </x:c>
      <x:c r="G142" s="17" t="n">
        <x:v>1300.0076</x:v>
      </x:c>
      <x:c r="H142" s="17" t="n">
        <x:f>G142*F142</x:f>
        <x:v>1950.0113999999999</x:v>
      </x:c>
      <x:c r="I142" s="22" t="str">
        <x:f>HYPERLINK("https://etp-aktiv.ru/catalog/materialy/asbo-tekhnicheskie-izdeliya/2000631122-U117/","Открыть позицию")</x:f>
        <x:v>Открыть позицию</x:v>
      </x:c>
    </x:row>
    <x:row r="143" ht="28" customHeight="1">
      <x:c r="A143" s="16" t="str">
        <x:v>Приморская ГРЭС</x:v>
      </x:c>
      <x:c r="B143" s="16" t="str">
        <x:v>2000539228-U117</x:v>
      </x:c>
      <x:c r="C143" s="16" t="str">
        <x:v>НАБИВКА ГРАФЛЕКС НУ 1230 8*8ММ</x:v>
      </x:c>
      <x:c r="D143" s="16" t="str">
        <x:v>Асбо-технические изделия</x:v>
      </x:c>
      <x:c r="E143" s="16" t="str">
        <x:v>КГ</x:v>
      </x:c>
      <x:c r="F143" s="30" t="n">
        <x:v>8.6</x:v>
      </x:c>
      <x:c r="G143" s="17" t="n">
        <x:v>1746.0762</x:v>
      </x:c>
      <x:c r="H143" s="17" t="n">
        <x:f>G143*F143</x:f>
        <x:v>15016.255319999998</x:v>
      </x:c>
      <x:c r="I143" s="22" t="str">
        <x:f>HYPERLINK("https://etp-aktiv.ru/catalog/materialy/asbo-tekhnicheskie-izdeliya/2000539228-U117/","Открыть позицию")</x:f>
        <x:v>Открыть позицию</x:v>
      </x:c>
    </x:row>
    <x:row r="144" ht="28" customHeight="1">
      <x:c r="A144" s="16" t="str">
        <x:v>Приморская ГРЭС</x:v>
      </x:c>
      <x:c r="B144" s="16" t="str">
        <x:v>2000539230-U117</x:v>
      </x:c>
      <x:c r="C144" s="16" t="str">
        <x:v>НАБИВКА ГРАФЛЕКС НУ 1260 10*10ММ</x:v>
      </x:c>
      <x:c r="D144" s="16" t="str">
        <x:v>Асбо-технические изделия</x:v>
      </x:c>
      <x:c r="E144" s="16" t="str">
        <x:v>КГ</x:v>
      </x:c>
      <x:c r="F144" s="30" t="n">
        <x:v>9.465</x:v>
      </x:c>
      <x:c r="G144" s="17" t="n">
        <x:v>1768.5974</x:v>
      </x:c>
      <x:c r="H144" s="17" t="n">
        <x:f>G144*F144</x:f>
        <x:v>16739.774391</x:v>
      </x:c>
      <x:c r="I144" s="22" t="str">
        <x:f>HYPERLINK("https://etp-aktiv.ru/catalog/materialy/asbo-tekhnicheskie-izdeliya/2000539230-U117/","Открыть позицию")</x:f>
        <x:v>Открыть позицию</x:v>
      </x:c>
    </x:row>
    <x:row r="145" ht="28" customHeight="1">
      <x:c r="A145" s="16" t="str">
        <x:v>Приморская ГРЭС</x:v>
      </x:c>
      <x:c r="B145" s="16" t="str">
        <x:v>2000157655-U117</x:v>
      </x:c>
      <x:c r="C145" s="16" t="str">
        <x:v>НАБИВКА ЛП-31 20*20ММ</x:v>
      </x:c>
      <x:c r="D145" s="16" t="str">
        <x:v>Асбо-технические изделия</x:v>
      </x:c>
      <x:c r="E145" s="16" t="str">
        <x:v>КГ</x:v>
      </x:c>
      <x:c r="F145" s="30" t="n">
        <x:v>4369.079</x:v>
      </x:c>
      <x:c r="G145" s="17" t="n">
        <x:v>161.32059999999998</x:v>
      </x:c>
      <x:c r="H145" s="17" t="n">
        <x:f>G145*F145</x:f>
        <x:v>704822.4457273999</x:v>
      </x:c>
      <x:c r="I145" s="22" t="str">
        <x:f>HYPERLINK("https://etp-aktiv.ru/catalog/materialy/asbo-tekhnicheskie-izdeliya/2000157655-U117/","Открыть позицию")</x:f>
        <x:v>Открыть позицию</x:v>
      </x:c>
    </x:row>
    <x:row r="146" ht="28" customHeight="1">
      <x:c r="A146" s="16" t="str">
        <x:v>Приморская ГРЭС</x:v>
      </x:c>
      <x:c r="B146" s="16" t="str">
        <x:v>2000645068-U117</x:v>
      </x:c>
      <x:c r="C146" s="16" t="str">
        <x:v>НАБИВКА МНОГОСЛ ПЛЕТ АПР 13*13 ГОСТ5152</x:v>
      </x:c>
      <x:c r="D146" s="16" t="str">
        <x:v>Асбо-технические изделия</x:v>
      </x:c>
      <x:c r="E146" s="16" t="str">
        <x:v>КГ</x:v>
      </x:c>
      <x:c r="F146" s="30" t="n">
        <x:v>9.6</x:v>
      </x:c>
      <x:c r="G146" s="17" t="n">
        <x:v>449.997</x:v>
      </x:c>
      <x:c r="H146" s="17" t="n">
        <x:f>G146*F146</x:f>
        <x:v>4319.9712</x:v>
      </x:c>
      <x:c r="I146" s="22" t="str">
        <x:f>HYPERLINK("https://etp-aktiv.ru/catalog/materialy/asbo-tekhnicheskie-izdeliya/2000645068-U117/","Открыть позицию")</x:f>
        <x:v>Открыть позицию</x:v>
      </x:c>
    </x:row>
    <x:row r="147" ht="28" customHeight="1">
      <x:c r="A147" s="16" t="str">
        <x:v>Приморская ГРЭС</x:v>
      </x:c>
      <x:c r="B147" s="16" t="str">
        <x:v>2000539172-U117</x:v>
      </x:c>
      <x:c r="C147" s="16" t="str">
        <x:v>НАБИВКА МНОГОСЛОЙНОЕ ПЛЕТЕНИЕ АП-31 35ММ</x:v>
      </x:c>
      <x:c r="D147" s="16" t="str">
        <x:v>Асбо-технические изделия</x:v>
      </x:c>
      <x:c r="E147" s="16" t="str">
        <x:v>КГ</x:v>
      </x:c>
      <x:c r="F147" s="21" t="n">
        <x:v>50</x:v>
      </x:c>
      <x:c r="G147" s="17" t="n">
        <x:v>364.56039999999996</x:v>
      </x:c>
      <x:c r="H147" s="17" t="n">
        <x:f>G147*F147</x:f>
        <x:v>18228.019999999997</x:v>
      </x:c>
      <x:c r="I147" s="22" t="str">
        <x:f>HYPERLINK("https://etp-aktiv.ru/catalog/materialy/asbo-tekhnicheskie-izdeliya/2000539172-U117/","Открыть позицию")</x:f>
        <x:v>Открыть позицию</x:v>
      </x:c>
    </x:row>
    <x:row r="148" ht="28" customHeight="1">
      <x:c r="A148" s="16" t="str">
        <x:v>Приморская ГРЭС</x:v>
      </x:c>
      <x:c r="B148" s="16" t="str">
        <x:v>2000176370-U117</x:v>
      </x:c>
      <x:c r="C148" s="16" t="str">
        <x:v>НАБИВКА НГ 200 6*6</x:v>
      </x:c>
      <x:c r="D148" s="16" t="str">
        <x:v>Асбо-технические изделия</x:v>
      </x:c>
      <x:c r="E148" s="16" t="str">
        <x:v>КГ</x:v>
      </x:c>
      <x:c r="F148" s="30" t="n">
        <x:v>3.47</x:v>
      </x:c>
      <x:c r="G148" s="17" t="n">
        <x:v>814.1914</x:v>
      </x:c>
      <x:c r="H148" s="17" t="n">
        <x:f>G148*F148</x:f>
        <x:v>2825.2441580000004</x:v>
      </x:c>
      <x:c r="I148" s="22" t="str">
        <x:f>HYPERLINK("https://etp-aktiv.ru/catalog/materialy/asbo-tekhnicheskie-izdeliya/2000176370-U117/","Открыть позицию")</x:f>
        <x:v>Открыть позицию</x:v>
      </x:c>
    </x:row>
    <x:row r="149" ht="28" customHeight="1">
      <x:c r="A149" s="16" t="str">
        <x:v>Приморская ГРЭС</x:v>
      </x:c>
      <x:c r="B149" s="16" t="str">
        <x:v>2000141920-U117</x:v>
      </x:c>
      <x:c r="C149" s="16" t="str">
        <x:v>НАБИВКА НГ-100 16*16</x:v>
      </x:c>
      <x:c r="D149" s="16" t="str">
        <x:v>Резино-технические изделия прочие</x:v>
      </x:c>
      <x:c r="E149" s="16" t="str">
        <x:v>КГ</x:v>
      </x:c>
      <x:c r="F149" s="30" t="n">
        <x:v>39.751</x:v>
      </x:c>
      <x:c r="G149" s="17" t="n">
        <x:v>884.5</x:v>
      </x:c>
      <x:c r="H149" s="17" t="n">
        <x:f>G149*F149</x:f>
        <x:v>35159.7595</x:v>
      </x:c>
      <x:c r="I149" s="22" t="str">
        <x:f>HYPERLINK("https://etp-aktiv.ru/catalog/materialy/rezino-tekhnicheskie-izdeliya/2000141920-U117/","Открыть позицию")</x:f>
        <x:v>Открыть позицию</x:v>
      </x:c>
    </x:row>
    <x:row r="150" ht="28" customHeight="1">
      <x:c r="A150" s="16" t="str">
        <x:v>Приморская ГРЭС</x:v>
      </x:c>
      <x:c r="B150" s="16" t="str">
        <x:v>2000711675-U117</x:v>
      </x:c>
      <x:c r="C150" s="16" t="str">
        <x:v>НАБИВКА НГ-100 17*17</x:v>
      </x:c>
      <x:c r="D150" s="16" t="str">
        <x:v>Асбо-технические изделия</x:v>
      </x:c>
      <x:c r="E150" s="16" t="str">
        <x:v>КГ</x:v>
      </x:c>
      <x:c r="F150" s="21" t="n">
        <x:v>24</x:v>
      </x:c>
      <x:c r="G150" s="17" t="n">
        <x:v>1378.9294</x:v>
      </x:c>
      <x:c r="H150" s="17" t="n">
        <x:f>G150*F150</x:f>
        <x:v>33094.3056</x:v>
      </x:c>
      <x:c r="I150" s="22" t="str">
        <x:f>HYPERLINK("https://etp-aktiv.ru/catalog/materialy/asbo-tekhnicheskie-izdeliya/2000711675-U117/","Открыть позицию")</x:f>
        <x:v>Открыть позицию</x:v>
      </x:c>
    </x:row>
    <x:row r="151" ht="28" customHeight="1">
      <x:c r="A151" s="16" t="str">
        <x:v>Приморская ГРЭС</x:v>
      </x:c>
      <x:c r="B151" s="16" t="str">
        <x:v>2000645079-U117</x:v>
      </x:c>
      <x:c r="C151" s="16" t="str">
        <x:v>НАБИВКА НГ-100 6*6 ТУ2573-002-93978201</x:v>
      </x:c>
      <x:c r="D151" s="16" t="str">
        <x:v>Асбо-технические изделия</x:v>
      </x:c>
      <x:c r="E151" s="16" t="str">
        <x:v>КГ</x:v>
      </x:c>
      <x:c r="F151" s="21" t="n">
        <x:v>1</x:v>
      </x:c>
      <x:c r="G151" s="17" t="n">
        <x:v>2086.7612</x:v>
      </x:c>
      <x:c r="H151" s="17" t="n">
        <x:f>G151*F151</x:f>
        <x:v>2086.7612</x:v>
      </x:c>
      <x:c r="I151" s="22" t="str">
        <x:f>HYPERLINK("https://etp-aktiv.ru/catalog/materialy/asbo-tekhnicheskie-izdeliya/2000645079-U117/","Открыть позицию")</x:f>
        <x:v>Открыть позицию</x:v>
      </x:c>
    </x:row>
    <x:row r="152" ht="28" customHeight="1">
      <x:c r="A152" s="16" t="str">
        <x:v>Приморская ГРЭС</x:v>
      </x:c>
      <x:c r="B152" s="16" t="str">
        <x:v>2000153754-U117</x:v>
      </x:c>
      <x:c r="C152" s="16" t="str">
        <x:v>НАБИВКА НГ-100 8*8 ГОСТ5152-84</x:v>
      </x:c>
      <x:c r="D152" s="16" t="str">
        <x:v>Асбо-технические изделия</x:v>
      </x:c>
      <x:c r="E152" s="16" t="str">
        <x:v>КГ</x:v>
      </x:c>
      <x:c r="F152" s="26" t="n">
        <x:v>0.419</x:v>
      </x:c>
      <x:c r="G152" s="17" t="n">
        <x:v>1230.7115999999999</x:v>
      </x:c>
      <x:c r="H152" s="17" t="n">
        <x:f>G152*F152</x:f>
        <x:v>515.6681603999999</x:v>
      </x:c>
      <x:c r="I152" s="22" t="str">
        <x:f>HYPERLINK("https://etp-aktiv.ru/catalog/materialy/asbo-tekhnicheskie-izdeliya/2000153754-U117/","Открыть позицию")</x:f>
        <x:v>Открыть позицию</x:v>
      </x:c>
    </x:row>
    <x:row r="153" ht="28" customHeight="1">
      <x:c r="A153" s="16" t="str">
        <x:v>Приморская ГРЭС</x:v>
      </x:c>
      <x:c r="B153" s="16" t="str">
        <x:v>2000184552-U117</x:v>
      </x:c>
      <x:c r="C153" s="16" t="str">
        <x:v>НАБИВКА НГ-200 8*8</x:v>
      </x:c>
      <x:c r="D153" s="16" t="str">
        <x:v>Асбо-технические изделия</x:v>
      </x:c>
      <x:c r="E153" s="16" t="str">
        <x:v>КГ</x:v>
      </x:c>
      <x:c r="F153" s="26" t="n">
        <x:v>0.2</x:v>
      </x:c>
      <x:c r="G153" s="17" t="n">
        <x:v>1262.7</x:v>
      </x:c>
      <x:c r="H153" s="17" t="n">
        <x:f>G153*F153</x:f>
        <x:v>252.54000000000002</x:v>
      </x:c>
      <x:c r="I153" s="22" t="str">
        <x:f>HYPERLINK("https://etp-aktiv.ru/catalog/materialy/asbo-tekhnicheskie-izdeliya/2000184552-U117/","Открыть позицию")</x:f>
        <x:v>Открыть позицию</x:v>
      </x:c>
    </x:row>
    <x:row r="154" ht="28" customHeight="1">
      <x:c r="A154" s="16" t="str">
        <x:v>Приморская ГРЭС</x:v>
      </x:c>
      <x:c r="B154" s="16" t="str">
        <x:v>2000904659-U117</x:v>
      </x:c>
      <x:c r="C154" s="16" t="str">
        <x:v>НАБИВКА НГ-300 12*12 ТУ2573-002-93978201</x:v>
      </x:c>
      <x:c r="D154" s="16" t="str">
        <x:v>Асбо-технические изделия</x:v>
      </x:c>
      <x:c r="E154" s="16" t="str">
        <x:v>КГ</x:v>
      </x:c>
      <x:c r="F154" s="30" t="n">
        <x:v>65.5</x:v>
      </x:c>
      <x:c r="G154" s="17" t="n">
        <x:v>1375.3426</x:v>
      </x:c>
      <x:c r="H154" s="17" t="n">
        <x:f>G154*F154</x:f>
        <x:v>90084.9403</x:v>
      </x:c>
      <x:c r="I154" s="22" t="str">
        <x:f>HYPERLINK("https://etp-aktiv.ru/catalog/materialy/asbo-tekhnicheskie-izdeliya/2000904659-U117/","Открыть позицию")</x:f>
        <x:v>Открыть позицию</x:v>
      </x:c>
    </x:row>
    <x:row r="155" ht="28" customHeight="1">
      <x:c r="A155" s="16" t="str">
        <x:v>Приморская ГРЭС</x:v>
      </x:c>
      <x:c r="B155" s="16" t="str">
        <x:v>2000539245-U117</x:v>
      </x:c>
      <x:c r="C155" s="16" t="str">
        <x:v>НАБИВКА НГ-300 14*14</x:v>
      </x:c>
      <x:c r="D155" s="16" t="str">
        <x:v>Асбо-технические изделия</x:v>
      </x:c>
      <x:c r="E155" s="16" t="str">
        <x:v>КГ</x:v>
      </x:c>
      <x:c r="F155" s="21" t="n">
        <x:v>9</x:v>
      </x:c>
      <x:c r="G155" s="17" t="n">
        <x:v>1378.9294</x:v>
      </x:c>
      <x:c r="H155" s="17" t="n">
        <x:f>G155*F155</x:f>
        <x:v>12410.3646</x:v>
      </x:c>
      <x:c r="I155" s="22" t="str">
        <x:f>HYPERLINK("https://etp-aktiv.ru/catalog/materialy/asbo-tekhnicheskie-izdeliya/2000539245-U117/","Открыть позицию")</x:f>
        <x:v>Открыть позицию</x:v>
      </x:c>
    </x:row>
    <x:row r="156" ht="28" customHeight="1">
      <x:c r="A156" s="16" t="str">
        <x:v>Приморская ГРЭС</x:v>
      </x:c>
      <x:c r="B156" s="16" t="str">
        <x:v>2000539246-U117</x:v>
      </x:c>
      <x:c r="C156" s="16" t="str">
        <x:v>НАБИВКА НГ-300 16*16</x:v>
      </x:c>
      <x:c r="D156" s="16" t="str">
        <x:v>Асбо-технические изделия</x:v>
      </x:c>
      <x:c r="E156" s="16" t="str">
        <x:v>КГ</x:v>
      </x:c>
      <x:c r="F156" s="21" t="n">
        <x:v>75</x:v>
      </x:c>
      <x:c r="G156" s="17" t="n">
        <x:v>1361.947</x:v>
      </x:c>
      <x:c r="H156" s="17" t="n">
        <x:f>G156*F156</x:f>
        <x:v>102146.025</x:v>
      </x:c>
      <x:c r="I156" s="22" t="str">
        <x:f>HYPERLINK("https://etp-aktiv.ru/catalog/materialy/asbo-tekhnicheskie-izdeliya/2000539246-U117/","Открыть позицию")</x:f>
        <x:v>Открыть позицию</x:v>
      </x:c>
    </x:row>
    <x:row r="157" ht="28" customHeight="1">
      <x:c r="A157" s="16" t="str">
        <x:v>Приморская ГРЭС</x:v>
      </x:c>
      <x:c r="B157" s="16" t="str">
        <x:v>2000711654-U117</x:v>
      </x:c>
      <x:c r="C157" s="16" t="str">
        <x:v>НАБИВКА НГ-300 4*4</x:v>
      </x:c>
      <x:c r="D157" s="16" t="str">
        <x:v>Асбо-технические изделия</x:v>
      </x:c>
      <x:c r="E157" s="16" t="str">
        <x:v>КГ</x:v>
      </x:c>
      <x:c r="F157" s="21" t="n">
        <x:v>8</x:v>
      </x:c>
      <x:c r="G157" s="17" t="n">
        <x:v>1609.058</x:v>
      </x:c>
      <x:c r="H157" s="17" t="n">
        <x:f>G157*F157</x:f>
        <x:v>12872.464</x:v>
      </x:c>
      <x:c r="I157" s="22" t="str">
        <x:f>HYPERLINK("https://etp-aktiv.ru/catalog/materialy/asbo-tekhnicheskie-izdeliya/2000711654-U117/","Открыть позицию")</x:f>
        <x:v>Открыть позицию</x:v>
      </x:c>
    </x:row>
    <x:row r="158" ht="28" customHeight="1">
      <x:c r="A158" s="16" t="str">
        <x:v>Приморская ГРЭС</x:v>
      </x:c>
      <x:c r="B158" s="16" t="str">
        <x:v>2000711681-U117</x:v>
      </x:c>
      <x:c r="C158" s="16" t="str">
        <x:v>НАБИВКА НГ-300 4*4</x:v>
      </x:c>
      <x:c r="D158" s="16" t="str">
        <x:v>Асбо-технические изделия</x:v>
      </x:c>
      <x:c r="E158" s="16" t="str">
        <x:v>КГ</x:v>
      </x:c>
      <x:c r="F158" s="21" t="n">
        <x:v>4</x:v>
      </x:c>
      <x:c r="G158" s="17" t="n">
        <x:v>2086.7612</x:v>
      </x:c>
      <x:c r="H158" s="17" t="n">
        <x:f>G158*F158</x:f>
        <x:v>8347.0448</x:v>
      </x:c>
      <x:c r="I158" s="22" t="str">
        <x:f>HYPERLINK("https://etp-aktiv.ru/catalog/materialy/asbo-tekhnicheskie-izdeliya/2000711681-U117/","Открыть позицию")</x:f>
        <x:v>Открыть позицию</x:v>
      </x:c>
    </x:row>
    <x:row r="159" ht="28" customHeight="1">
      <x:c r="A159" s="16" t="str">
        <x:v>Приморская ГРЭС</x:v>
      </x:c>
      <x:c r="B159" s="16" t="str">
        <x:v>2000711682-U117</x:v>
      </x:c>
      <x:c r="C159" s="16" t="str">
        <x:v>НАБИВКА НГ-300 5*5</x:v>
      </x:c>
      <x:c r="D159" s="16" t="str">
        <x:v>Асбо-технические изделия</x:v>
      </x:c>
      <x:c r="E159" s="16" t="str">
        <x:v>КГ</x:v>
      </x:c>
      <x:c r="F159" s="21" t="n">
        <x:v>4</x:v>
      </x:c>
      <x:c r="G159" s="17" t="n">
        <x:v>2086.7612</x:v>
      </x:c>
      <x:c r="H159" s="17" t="n">
        <x:f>G159*F159</x:f>
        <x:v>8347.0448</x:v>
      </x:c>
      <x:c r="I159" s="22" t="str">
        <x:f>HYPERLINK("https://etp-aktiv.ru/catalog/materialy/asbo-tekhnicheskie-izdeliya/2000711682-U117/","Открыть позицию")</x:f>
        <x:v>Открыть позицию</x:v>
      </x:c>
    </x:row>
    <x:row r="160" ht="28" customHeight="1">
      <x:c r="A160" s="16" t="str">
        <x:v>Приморская ГРЭС</x:v>
      </x:c>
      <x:c r="B160" s="16" t="str">
        <x:v>2000894289-U117</x:v>
      </x:c>
      <x:c r="C160" s="16" t="str">
        <x:v>НАБИВКА НГ-300 6ММ ТУ2573-002-93978201</x:v>
      </x:c>
      <x:c r="D160" s="16" t="str">
        <x:v>Асбо-технические изделия</x:v>
      </x:c>
      <x:c r="E160" s="16" t="str">
        <x:v>КГ</x:v>
      </x:c>
      <x:c r="F160" s="21" t="n">
        <x:v>4</x:v>
      </x:c>
      <x:c r="G160" s="17" t="n">
        <x:v>2086.7612</x:v>
      </x:c>
      <x:c r="H160" s="17" t="n">
        <x:f>G160*F160</x:f>
        <x:v>8347.0448</x:v>
      </x:c>
      <x:c r="I160" s="22" t="str">
        <x:f>HYPERLINK("https://etp-aktiv.ru/catalog/materialy/asbo-tekhnicheskie-izdeliya/2000894289-U117/","Открыть позицию")</x:f>
        <x:v>Открыть позицию</x:v>
      </x:c>
    </x:row>
    <x:row r="161" ht="28" customHeight="1">
      <x:c r="A161" s="16" t="str">
        <x:v>Приморская ГРЭС</x:v>
      </x:c>
      <x:c r="B161" s="16" t="str">
        <x:v>2000220938-U117</x:v>
      </x:c>
      <x:c r="C161" s="16" t="str">
        <x:v>НАБИВКА НГ-301 12*12ММ</x:v>
      </x:c>
      <x:c r="D161" s="16" t="str">
        <x:v>Асбо-технические изделия</x:v>
      </x:c>
      <x:c r="E161" s="16" t="str">
        <x:v>КГ</x:v>
      </x:c>
      <x:c r="F161" s="30" t="n">
        <x:v>5.44</x:v>
      </x:c>
      <x:c r="G161" s="17" t="n">
        <x:v>1536.9925999999998</x:v>
      </x:c>
      <x:c r="H161" s="17" t="n">
        <x:f>G161*F161</x:f>
        <x:v>8361.239744</x:v>
      </x:c>
      <x:c r="I161" s="22" t="str">
        <x:f>HYPERLINK("https://etp-aktiv.ru/catalog/materialy/asbo-tekhnicheskie-izdeliya/2000220938-U117/","Открыть позицию")</x:f>
        <x:v>Открыть позицию</x:v>
      </x:c>
    </x:row>
    <x:row r="162" ht="28" customHeight="1">
      <x:c r="A162" s="16" t="str">
        <x:v>Приморская ГРЭС</x:v>
      </x:c>
      <x:c r="B162" s="16" t="str">
        <x:v>2000220942-U117</x:v>
      </x:c>
      <x:c r="C162" s="16" t="str">
        <x:v>НАБИВКА НГ-301 14*14 ММ</x:v>
      </x:c>
      <x:c r="D162" s="16" t="str">
        <x:v>Асбо-технические изделия</x:v>
      </x:c>
      <x:c r="E162" s="16" t="str">
        <x:v>КГ</x:v>
      </x:c>
      <x:c r="F162" s="21" t="n">
        <x:v>2</x:v>
      </x:c>
      <x:c r="G162" s="17" t="n">
        <x:v>1516.8138</x:v>
      </x:c>
      <x:c r="H162" s="17" t="n">
        <x:f>G162*F162</x:f>
        <x:v>3033.6276</x:v>
      </x:c>
      <x:c r="I162" s="22" t="str">
        <x:f>HYPERLINK("https://etp-aktiv.ru/catalog/materialy/asbo-tekhnicheskie-izdeliya/2000220942-U117/","Открыть позицию")</x:f>
        <x:v>Открыть позицию</x:v>
      </x:c>
    </x:row>
    <x:row r="163" ht="28" customHeight="1">
      <x:c r="A163" s="16" t="str">
        <x:v>Приморская ГРЭС</x:v>
      </x:c>
      <x:c r="B163" s="16" t="str">
        <x:v>2000171493-U117</x:v>
      </x:c>
      <x:c r="C163" s="16" t="str">
        <x:v>НАБИВКА НГ-301 16*16ММ</x:v>
      </x:c>
      <x:c r="D163" s="16" t="str">
        <x:v>Асбо-технические изделия</x:v>
      </x:c>
      <x:c r="E163" s="16" t="str">
        <x:v>КГ</x:v>
      </x:c>
      <x:c r="F163" s="21" t="n">
        <x:v>10</x:v>
      </x:c>
      <x:c r="G163" s="17" t="n">
        <x:v>1515.7402</x:v>
      </x:c>
      <x:c r="H163" s="17" t="n">
        <x:f>G163*F163</x:f>
        <x:v>15157.402</x:v>
      </x:c>
      <x:c r="I163" s="22" t="str">
        <x:f>HYPERLINK("https://etp-aktiv.ru/catalog/materialy/asbo-tekhnicheskie-izdeliya/2000171493-U117/","Открыть позицию")</x:f>
        <x:v>Открыть позицию</x:v>
      </x:c>
    </x:row>
    <x:row r="164" ht="28" customHeight="1">
      <x:c r="A164" s="16" t="str">
        <x:v>Приморская ГРЭС</x:v>
      </x:c>
      <x:c r="B164" s="16" t="str">
        <x:v>2000172332-U117</x:v>
      </x:c>
      <x:c r="C164" s="16" t="str">
        <x:v>НАБИВКА НГ-Н 16*16ММ</x:v>
      </x:c>
      <x:c r="D164" s="16" t="str">
        <x:v>Асбо-технические изделия</x:v>
      </x:c>
      <x:c r="E164" s="16" t="str">
        <x:v>КГ</x:v>
      </x:c>
      <x:c r="F164" s="21" t="n">
        <x:v>8</x:v>
      </x:c>
      <x:c r="G164" s="17" t="n">
        <x:v>1150.0086</x:v>
      </x:c>
      <x:c r="H164" s="17" t="n">
        <x:f>G164*F164</x:f>
        <x:v>9200.0688</x:v>
      </x:c>
      <x:c r="I164" s="22" t="str">
        <x:f>HYPERLINK("https://etp-aktiv.ru/catalog/materialy/asbo-tekhnicheskie-izdeliya/2000172332-U117/","Открыть позицию")</x:f>
        <x:v>Открыть позицию</x:v>
      </x:c>
    </x:row>
    <x:row r="165" ht="28" customHeight="1">
      <x:c r="A165" s="16" t="str">
        <x:v>Приморская ГРЭС</x:v>
      </x:c>
      <x:c r="B165" s="16" t="str">
        <x:v>2000140990-U117</x:v>
      </x:c>
      <x:c r="C165" s="16" t="str">
        <x:v>НАБИВКА НГ-Н-10*10</x:v>
      </x:c>
      <x:c r="D165" s="16" t="str">
        <x:v>Асбо-технические изделия</x:v>
      </x:c>
      <x:c r="E165" s="16" t="str">
        <x:v>КГ</x:v>
      </x:c>
      <x:c r="F165" s="30" t="n">
        <x:v>21.961</x:v>
      </x:c>
      <x:c r="G165" s="17" t="n">
        <x:v>884.5</x:v>
      </x:c>
      <x:c r="H165" s="17" t="n">
        <x:f>G165*F165</x:f>
        <x:v>19424.5045</x:v>
      </x:c>
      <x:c r="I165" s="22" t="str">
        <x:f>HYPERLINK("https://etp-aktiv.ru/catalog/materialy/asbo-tekhnicheskie-izdeliya/2000140990-U117/","Открыть позицию")</x:f>
        <x:v>Открыть позицию</x:v>
      </x:c>
    </x:row>
    <x:row r="166" ht="28" customHeight="1">
      <x:c r="A166" s="16" t="str">
        <x:v>Приморская ГРЭС</x:v>
      </x:c>
      <x:c r="B166" s="16" t="str">
        <x:v>2000140993-U117</x:v>
      </x:c>
      <x:c r="C166" s="16" t="str">
        <x:v>НАБИВКА НГ-Н-8*8</x:v>
      </x:c>
      <x:c r="D166" s="16" t="str">
        <x:v>Асбо-технические изделия</x:v>
      </x:c>
      <x:c r="E166" s="16" t="str">
        <x:v>КГ</x:v>
      </x:c>
      <x:c r="F166" s="30" t="n">
        <x:v>3.7</x:v>
      </x:c>
      <x:c r="G166" s="17" t="n">
        <x:v>1150.0086</x:v>
      </x:c>
      <x:c r="H166" s="17" t="n">
        <x:f>G166*F166</x:f>
        <x:v>4255.03182</x:v>
      </x:c>
      <x:c r="I166" s="22" t="str">
        <x:f>HYPERLINK("https://etp-aktiv.ru/catalog/materialy/asbo-tekhnicheskie-izdeliya/2000140993-U117/","Открыть позицию")</x:f>
        <x:v>Открыть позицию</x:v>
      </x:c>
    </x:row>
    <x:row r="167" ht="28" customHeight="1">
      <x:c r="A167" s="16" t="str">
        <x:v>Приморская ГРЭС</x:v>
      </x:c>
      <x:c r="B167" s="16" t="str">
        <x:v>2000140378-U117</x:v>
      </x:c>
      <x:c r="C167" s="16" t="str">
        <x:v>НАБИВКА НГФ-С 13*13</x:v>
      </x:c>
      <x:c r="D167" s="16" t="str">
        <x:v>Асбо-технические изделия</x:v>
      </x:c>
      <x:c r="E167" s="16" t="str">
        <x:v>КГ</x:v>
      </x:c>
      <x:c r="F167" s="21" t="n">
        <x:v>5</x:v>
      </x:c>
      <x:c r="G167" s="17" t="n">
        <x:v>1399.9987999999998</x:v>
      </x:c>
      <x:c r="H167" s="17" t="n">
        <x:f>G167*F167</x:f>
        <x:v>6999.993999999999</x:v>
      </x:c>
      <x:c r="I167" s="22" t="str">
        <x:f>HYPERLINK("https://etp-aktiv.ru/catalog/materialy/asbo-tekhnicheskie-izdeliya/2000140378-U117/","Открыть позицию")</x:f>
        <x:v>Открыть позицию</x:v>
      </x:c>
    </x:row>
    <x:row r="168" ht="28" customHeight="1">
      <x:c r="A168" s="16" t="str">
        <x:v>Приморская ГРЭС</x:v>
      </x:c>
      <x:c r="B168" s="16" t="str">
        <x:v>2000140374-U117</x:v>
      </x:c>
      <x:c r="C168" s="16" t="str">
        <x:v>НАБИВКА НГФ-С 6*6ММ</x:v>
      </x:c>
      <x:c r="D168" s="16" t="str">
        <x:v>Асбо-технические изделия</x:v>
      </x:c>
      <x:c r="E168" s="16" t="str">
        <x:v>КГ</x:v>
      </x:c>
      <x:c r="F168" s="21" t="n">
        <x:v>8</x:v>
      </x:c>
      <x:c r="G168" s="17" t="n">
        <x:v>1399.9987999999998</x:v>
      </x:c>
      <x:c r="H168" s="17" t="n">
        <x:f>G168*F168</x:f>
        <x:v>11199.990399999999</x:v>
      </x:c>
      <x:c r="I168" s="22" t="str">
        <x:f>HYPERLINK("https://etp-aktiv.ru/catalog/materialy/asbo-tekhnicheskie-izdeliya/2000140374-U117/","Открыть позицию")</x:f>
        <x:v>Открыть позицию</x:v>
      </x:c>
    </x:row>
    <x:row r="169" ht="28" customHeight="1">
      <x:c r="A169" s="16" t="str">
        <x:v>Приморская ГРЭС</x:v>
      </x:c>
      <x:c r="B169" s="16" t="str">
        <x:v>2000711656-U117</x:v>
      </x:c>
      <x:c r="C169" s="16" t="str">
        <x:v>НАБИВКА НФ-101 16*16</x:v>
      </x:c>
      <x:c r="D169" s="16" t="str">
        <x:v>Асбо-технические изделия</x:v>
      </x:c>
      <x:c r="E169" s="16" t="str">
        <x:v>КГ</x:v>
      </x:c>
      <x:c r="F169" s="21" t="n">
        <x:v>1</x:v>
      </x:c>
      <x:c r="G169" s="17" t="n">
        <x:v>3184.81</x:v>
      </x:c>
      <x:c r="H169" s="17" t="n">
        <x:f>G169*F169</x:f>
        <x:v>3184.81</x:v>
      </x:c>
      <x:c r="I169" s="22" t="str">
        <x:f>HYPERLINK("https://etp-aktiv.ru/catalog/materialy/asbo-tekhnicheskie-izdeliya/2000711656-U117/","Открыть позицию")</x:f>
        <x:v>Открыть позицию</x:v>
      </x:c>
    </x:row>
    <x:row r="170" ht="28" customHeight="1">
      <x:c r="A170" s="16" t="str">
        <x:v>Приморская ГРЭС</x:v>
      </x:c>
      <x:c r="B170" s="16" t="str">
        <x:v>2000711643-U117</x:v>
      </x:c>
      <x:c r="C170" s="16" t="str">
        <x:v>НАБИВКА НФ-105 12*12</x:v>
      </x:c>
      <x:c r="D170" s="16" t="str">
        <x:v>Асбо-технические изделия</x:v>
      </x:c>
      <x:c r="E170" s="16" t="str">
        <x:v>КГ</x:v>
      </x:c>
      <x:c r="F170" s="21" t="n">
        <x:v>7</x:v>
      </x:c>
      <x:c r="G170" s="17" t="n">
        <x:v>1180.35</x:v>
      </x:c>
      <x:c r="H170" s="17" t="n">
        <x:f>G170*F170</x:f>
        <x:v>8262.449999999999</x:v>
      </x:c>
      <x:c r="I170" s="22" t="str">
        <x:f>HYPERLINK("https://etp-aktiv.ru/catalog/materialy/asbo-tekhnicheskie-izdeliya/2000711643-U117/","Открыть позицию")</x:f>
        <x:v>Открыть позицию</x:v>
      </x:c>
    </x:row>
    <x:row r="171" ht="28" customHeight="1">
      <x:c r="A171" s="16" t="str">
        <x:v>Приморская ГРЭС</x:v>
      </x:c>
      <x:c r="B171" s="16" t="str">
        <x:v>2000652618-U117</x:v>
      </x:c>
      <x:c r="C171" s="16" t="str">
        <x:v>НАБИВКА САЛЬН НГ-300 10*10ММ ГОСТ5152-84</x:v>
      </x:c>
      <x:c r="D171" s="16" t="str">
        <x:v>Асбо-технические изделия</x:v>
      </x:c>
      <x:c r="E171" s="16" t="str">
        <x:v>КГ</x:v>
      </x:c>
      <x:c r="F171" s="30" t="n">
        <x:v>44.5</x:v>
      </x:c>
      <x:c r="G171" s="17" t="n">
        <x:v>1377.3678</x:v>
      </x:c>
      <x:c r="H171" s="17" t="n">
        <x:f>G171*F171</x:f>
        <x:v>61292.8671</x:v>
      </x:c>
      <x:c r="I171" s="22" t="str">
        <x:f>HYPERLINK("https://etp-aktiv.ru/catalog/materialy/asbo-tekhnicheskie-izdeliya/2000652618-U117/","Открыть позицию")</x:f>
        <x:v>Открыть позицию</x:v>
      </x:c>
    </x:row>
    <x:row r="172" ht="28" customHeight="1">
      <x:c r="A172" s="16" t="str">
        <x:v>Приморская ГРЭС</x:v>
      </x:c>
      <x:c r="B172" s="16" t="str">
        <x:v>2000539250-U117</x:v>
      </x:c>
      <x:c r="C172" s="16" t="str">
        <x:v>НАБИВКА САЛЬНИКОВАЯ АГИ 13*13</x:v>
      </x:c>
      <x:c r="D172" s="16" t="str">
        <x:v>Асбо-технические изделия</x:v>
      </x:c>
      <x:c r="E172" s="16" t="str">
        <x:v>КГ</x:v>
      </x:c>
      <x:c r="F172" s="30" t="n">
        <x:v>2.85</x:v>
      </x:c>
      <x:c r="G172" s="17" t="n">
        <x:v>1035.3408</x:v>
      </x:c>
      <x:c r="H172" s="17" t="n">
        <x:f>G172*F172</x:f>
        <x:v>2950.7212799999998</x:v>
      </x:c>
      <x:c r="I172" s="22" t="str">
        <x:f>HYPERLINK("https://etp-aktiv.ru/catalog/materialy/asbo-tekhnicheskie-izdeliya/2000539250-U117/","Открыть позицию")</x:f>
        <x:v>Открыть позицию</x:v>
      </x:c>
    </x:row>
    <x:row r="173" ht="28" customHeight="1">
      <x:c r="A173" s="16" t="str">
        <x:v>Приморская ГРЭС</x:v>
      </x:c>
      <x:c r="B173" s="16" t="str">
        <x:v>2000487224-U117</x:v>
      </x:c>
      <x:c r="C173" s="16" t="str">
        <x:v>НАБИВКА САЛЬНИКОВАЯ АСП 10*10ММ</x:v>
      </x:c>
      <x:c r="D173" s="16" t="str">
        <x:v>Асбо-технические изделия</x:v>
      </x:c>
      <x:c r="E173" s="16" t="str">
        <x:v>КГ</x:v>
      </x:c>
      <x:c r="F173" s="30" t="n">
        <x:v>78.57</x:v>
      </x:c>
      <x:c r="G173" s="17" t="n">
        <x:v>525.0025999999999</x:v>
      </x:c>
      <x:c r="H173" s="17" t="n">
        <x:f>G173*F173</x:f>
        <x:v>41249.45428199999</x:v>
      </x:c>
      <x:c r="I173" s="22" t="str">
        <x:f>HYPERLINK("https://etp-aktiv.ru/catalog/materialy/asbo-tekhnicheskie-izdeliya/2000487224-U117/","Открыть позицию")</x:f>
        <x:v>Открыть позицию</x:v>
      </x:c>
    </x:row>
    <x:row r="174" ht="28" customHeight="1">
      <x:c r="A174" s="16" t="str">
        <x:v>Приморская ГРЭС</x:v>
      </x:c>
      <x:c r="B174" s="16" t="str">
        <x:v>2000487225-U117</x:v>
      </x:c>
      <x:c r="C174" s="16" t="str">
        <x:v>НАБИВКА САЛЬНИКОВАЯ АСП 16*16ММ</x:v>
      </x:c>
      <x:c r="D174" s="16" t="str">
        <x:v>Асбо-технические изделия</x:v>
      </x:c>
      <x:c r="E174" s="16" t="str">
        <x:v>КГ</x:v>
      </x:c>
      <x:c r="F174" s="30" t="n">
        <x:v>6.1</x:v>
      </x:c>
      <x:c r="G174" s="17" t="n">
        <x:v>852.78</x:v>
      </x:c>
      <x:c r="H174" s="17" t="n">
        <x:f>G174*F174</x:f>
        <x:v>5201.958</x:v>
      </x:c>
      <x:c r="I174" s="22" t="str">
        <x:f>HYPERLINK("https://etp-aktiv.ru/catalog/materialy/asbo-tekhnicheskie-izdeliya/2000487225-U117/","Открыть позицию")</x:f>
        <x:v>Открыть позицию</x:v>
      </x:c>
    </x:row>
    <x:row r="175" ht="28" customHeight="1">
      <x:c r="A175" s="16" t="str">
        <x:v>Приморская ГРЭС</x:v>
      </x:c>
      <x:c r="B175" s="16" t="str">
        <x:v>2000392154-U117</x:v>
      </x:c>
      <x:c r="C175" s="16" t="str">
        <x:v>НАБИВКА САЛЬНИКОВАЯ АСП-31 14*14</x:v>
      </x:c>
      <x:c r="D175" s="16" t="str">
        <x:v>Асбо-технические изделия</x:v>
      </x:c>
      <x:c r="E175" s="16" t="str">
        <x:v>КГ</x:v>
      </x:c>
      <x:c r="F175" s="30" t="n">
        <x:v>11.1</x:v>
      </x:c>
      <x:c r="G175" s="17" t="n">
        <x:v>907.68</x:v>
      </x:c>
      <x:c r="H175" s="17" t="n">
        <x:f>G175*F175</x:f>
        <x:v>10075.248</x:v>
      </x:c>
      <x:c r="I175" s="22" t="str">
        <x:f>HYPERLINK("https://etp-aktiv.ru/catalog/materialy/asbo-tekhnicheskie-izdeliya/2000392154-U117/","Открыть позицию")</x:f>
        <x:v>Открыть позицию</x:v>
      </x:c>
    </x:row>
    <x:row r="176" ht="28" customHeight="1">
      <x:c r="A176" s="16" t="str">
        <x:v>Приморская ГРЭС</x:v>
      </x:c>
      <x:c r="B176" s="16" t="str">
        <x:v>2000570284-U117</x:v>
      </x:c>
      <x:c r="C176" s="16" t="str">
        <x:v>НАБИВКА САЛЬНИКОВАЯ ГЕРМОРУМ С-131 27*27</x:v>
      </x:c>
      <x:c r="D176" s="16" t="str">
        <x:v>Асбо-технические изделия</x:v>
      </x:c>
      <x:c r="E176" s="16" t="str">
        <x:v>КГ</x:v>
      </x:c>
      <x:c r="F176" s="30" t="n">
        <x:v>9.8</x:v>
      </x:c>
      <x:c r="G176" s="17" t="n">
        <x:v>1098</x:v>
      </x:c>
      <x:c r="H176" s="17" t="n">
        <x:f>G176*F176</x:f>
        <x:v>10760.400000000001</x:v>
      </x:c>
      <x:c r="I176" s="22" t="str">
        <x:f>HYPERLINK("https://etp-aktiv.ru/catalog/materialy/asbo-tekhnicheskie-izdeliya/2000570284-U117/","Открыть позицию")</x:f>
        <x:v>Открыть позицию</x:v>
      </x:c>
    </x:row>
    <x:row r="177" ht="28" customHeight="1">
      <x:c r="A177" s="16" t="str">
        <x:v>Приморская ГРЭС</x:v>
      </x:c>
      <x:c r="B177" s="16" t="str">
        <x:v>2000570285-U117</x:v>
      </x:c>
      <x:c r="C177" s="16" t="str">
        <x:v>НАБИВКА САЛЬНИКОВАЯ ГЕРМОРУМ С-131 8*8</x:v>
      </x:c>
      <x:c r="D177" s="16" t="str">
        <x:v>Асбо-технические изделия</x:v>
      </x:c>
      <x:c r="E177" s="16" t="str">
        <x:v>КГ</x:v>
      </x:c>
      <x:c r="F177" s="21" t="n">
        <x:v>1</x:v>
      </x:c>
      <x:c r="G177" s="17" t="n">
        <x:v>1262.7</x:v>
      </x:c>
      <x:c r="H177" s="17" t="n">
        <x:f>G177*F177</x:f>
        <x:v>1262.7</x:v>
      </x:c>
      <x:c r="I177" s="22" t="str">
        <x:f>HYPERLINK("https://etp-aktiv.ru/catalog/materialy/asbo-tekhnicheskie-izdeliya/2000570285-U117/","Открыть позицию")</x:f>
        <x:v>Открыть позицию</x:v>
      </x:c>
    </x:row>
    <x:row r="178" ht="28" customHeight="1">
      <x:c r="A178" s="16" t="str">
        <x:v>Приморская ГРЭС</x:v>
      </x:c>
      <x:c r="B178" s="16" t="str">
        <x:v>2000539258-U117</x:v>
      </x:c>
      <x:c r="C178" s="16" t="str">
        <x:v>НАБИВКА САЛЬНИКОВАЯ ГЕРМОРУМ С-500 10*10</x:v>
      </x:c>
      <x:c r="D178" s="16" t="str">
        <x:v>Асбо-технические изделия</x:v>
      </x:c>
      <x:c r="E178" s="16" t="str">
        <x:v>КГ</x:v>
      </x:c>
      <x:c r="F178" s="30" t="n">
        <x:v>3.2</x:v>
      </x:c>
      <x:c r="G178" s="17" t="n">
        <x:v>1870.6991999999998</x:v>
      </x:c>
      <x:c r="H178" s="17" t="n">
        <x:f>G178*F178</x:f>
        <x:v>5986.23744</x:v>
      </x:c>
      <x:c r="I178" s="22" t="str">
        <x:f>HYPERLINK("https://etp-aktiv.ru/catalog/materialy/asbo-tekhnicheskie-izdeliya/2000539258-U117/","Открыть позицию")</x:f>
        <x:v>Открыть позицию</x:v>
      </x:c>
    </x:row>
    <x:row r="179" ht="28" customHeight="1">
      <x:c r="A179" s="16" t="str">
        <x:v>Приморская ГРЭС</x:v>
      </x:c>
      <x:c r="B179" s="16" t="str">
        <x:v>2000913232-U117</x:v>
      </x:c>
      <x:c r="C179" s="16" t="str">
        <x:v>НАБИВКА САЛЬНИКОВАЯ ГЕРМОРУМ С-750 28*28</x:v>
      </x:c>
      <x:c r="D179" s="16" t="str">
        <x:v>Асбо-технические изделия</x:v>
      </x:c>
      <x:c r="E179" s="16" t="str">
        <x:v>КГ</x:v>
      </x:c>
      <x:c r="F179" s="21" t="n">
        <x:v>8</x:v>
      </x:c>
      <x:c r="G179" s="17" t="n">
        <x:v>3101.85</x:v>
      </x:c>
      <x:c r="H179" s="17" t="n">
        <x:f>G179*F179</x:f>
        <x:v>24814.8</x:v>
      </x:c>
      <x:c r="I179" s="22" t="str">
        <x:f>HYPERLINK("https://etp-aktiv.ru/catalog/materialy/asbo-tekhnicheskie-izdeliya/2000913232-U117/","Открыть позицию")</x:f>
        <x:v>Открыть позицию</x:v>
      </x:c>
    </x:row>
    <x:row r="180" ht="28" customHeight="1">
      <x:c r="A180" s="16" t="str">
        <x:v>Приморская ГРЭС</x:v>
      </x:c>
      <x:c r="B180" s="16" t="str">
        <x:v>2000588458-U117</x:v>
      </x:c>
      <x:c r="C180" s="16" t="str">
        <x:v>НАБИВКА САЛЬНИКОВАЯ Н1200 16*16ММ</x:v>
      </x:c>
      <x:c r="D180" s="16" t="str">
        <x:v>Асбо-технические изделия</x:v>
      </x:c>
      <x:c r="E180" s="16" t="str">
        <x:v>КГ</x:v>
      </x:c>
      <x:c r="F180" s="21" t="n">
        <x:v>12</x:v>
      </x:c>
      <x:c r="G180" s="17" t="n">
        <x:v>933.0315999999999</x:v>
      </x:c>
      <x:c r="H180" s="17" t="n">
        <x:f>G180*F180</x:f>
        <x:v>11196.3792</x:v>
      </x:c>
      <x:c r="I180" s="22" t="str">
        <x:f>HYPERLINK("https://etp-aktiv.ru/catalog/materialy/asbo-tekhnicheskie-izdeliya/2000588458-U117/","Открыть позицию")</x:f>
        <x:v>Открыть позицию</x:v>
      </x:c>
    </x:row>
    <x:row r="181" ht="28" customHeight="1">
      <x:c r="A181" s="16" t="str">
        <x:v>Приморская ГРЭС</x:v>
      </x:c>
      <x:c r="B181" s="16" t="str">
        <x:v>2000690815-U117</x:v>
      </x:c>
      <x:c r="C181" s="16" t="str">
        <x:v>НАБИВКА САЛЬНИКОВАЯ НГ-200 12*12ММ</x:v>
      </x:c>
      <x:c r="D181" s="16" t="str">
        <x:v>Асбо-технические изделия</x:v>
      </x:c>
      <x:c r="E181" s="16" t="str">
        <x:v>КГ</x:v>
      </x:c>
      <x:c r="F181" s="30" t="n">
        <x:v>60.852</x:v>
      </x:c>
      <x:c r="G181" s="17" t="n">
        <x:v>659.2148</x:v>
      </x:c>
      <x:c r="H181" s="17" t="n">
        <x:f>G181*F181</x:f>
        <x:v>40114.5390096</x:v>
      </x:c>
      <x:c r="I181" s="22" t="str">
        <x:f>HYPERLINK("https://etp-aktiv.ru/catalog/materialy/asbo-tekhnicheskie-izdeliya/2000690815-U117/","Открыть позицию")</x:f>
        <x:v>Открыть позицию</x:v>
      </x:c>
    </x:row>
    <x:row r="182" ht="28" customHeight="1">
      <x:c r="A182" s="16" t="str">
        <x:v>Приморская ГРЭС</x:v>
      </x:c>
      <x:c r="B182" s="16" t="str">
        <x:v>2000586351-U117</x:v>
      </x:c>
      <x:c r="C182" s="16" t="str">
        <x:v>НАБИВКА САЛЬНИКОВАЯ НГ-300 8*8ММ</x:v>
      </x:c>
      <x:c r="D182" s="16" t="str">
        <x:v>Асбо-технические изделия</x:v>
      </x:c>
      <x:c r="E182" s="16" t="str">
        <x:v>КГ</x:v>
      </x:c>
      <x:c r="F182" s="30" t="n">
        <x:v>31.1</x:v>
      </x:c>
      <x:c r="G182" s="17" t="n">
        <x:v>647.6370000000001</x:v>
      </x:c>
      <x:c r="H182" s="17" t="n">
        <x:f>G182*F182</x:f>
        <x:v>20141.510700000003</x:v>
      </x:c>
      <x:c r="I182" s="22" t="str">
        <x:f>HYPERLINK("https://etp-aktiv.ru/catalog/materialy/asbo-tekhnicheskie-izdeliya/2000586351-U117/","Открыть позицию")</x:f>
        <x:v>Открыть позицию</x:v>
      </x:c>
    </x:row>
    <x:row r="183" ht="28" customHeight="1">
      <x:c r="A183" s="16" t="str">
        <x:v>Приморская ГРЭС</x:v>
      </x:c>
      <x:c r="B183" s="16" t="str">
        <x:v>2000633350-U117</x:v>
      </x:c>
      <x:c r="C183" s="16" t="str">
        <x:v>НАБИВКА САЛЬНИКОВАЯ НФ-200 10*10</x:v>
      </x:c>
      <x:c r="D183" s="16" t="str">
        <x:v>Асбо-технические изделия</x:v>
      </x:c>
      <x:c r="E183" s="16" t="str">
        <x:v>КГ</x:v>
      </x:c>
      <x:c r="F183" s="30" t="n">
        <x:v>2.14</x:v>
      </x:c>
      <x:c r="G183" s="17" t="n">
        <x:v>3587.4222</x:v>
      </x:c>
      <x:c r="H183" s="17" t="n">
        <x:f>G183*F183</x:f>
        <x:v>7677.083508000001</x:v>
      </x:c>
      <x:c r="I183" s="22" t="str">
        <x:f>HYPERLINK("https://etp-aktiv.ru/catalog/materialy/asbo-tekhnicheskie-izdeliya/2000633350-U117/","Открыть позицию")</x:f>
        <x:v>Открыть позицию</x:v>
      </x:c>
    </x:row>
    <x:row r="184" ht="28" customHeight="1">
      <x:c r="A184" s="16" t="str">
        <x:v>Приморская ГРЭС</x:v>
      </x:c>
      <x:c r="B184" s="16" t="str">
        <x:v>2000652630-U117</x:v>
      </x:c>
      <x:c r="C184" s="16" t="str">
        <x:v>НАБИВКА САЛЬНИКОВАЯ ТРГ СВ 204G 8*8ММ</x:v>
      </x:c>
      <x:c r="D184" s="16" t="str">
        <x:v>Асбо-технические изделия</x:v>
      </x:c>
      <x:c r="E184" s="16" t="str">
        <x:v>КГ</x:v>
      </x:c>
      <x:c r="F184" s="30" t="n">
        <x:v>2.2</x:v>
      </x:c>
      <x:c r="G184" s="17" t="n">
        <x:v>1157.292</x:v>
      </x:c>
      <x:c r="H184" s="17" t="n">
        <x:f>G184*F184</x:f>
        <x:v>2546.0424</x:v>
      </x:c>
      <x:c r="I184" s="22" t="str">
        <x:f>HYPERLINK("https://etp-aktiv.ru/catalog/materialy/asbo-tekhnicheskie-izdeliya/2000652630-U117/","Открыть позицию")</x:f>
        <x:v>Открыть позицию</x:v>
      </x:c>
    </x:row>
    <x:row r="185" ht="28" customHeight="1">
      <x:c r="A185" s="16" t="str">
        <x:v>Приморская ГРЭС</x:v>
      </x:c>
      <x:c r="B185" s="16" t="str">
        <x:v>2000539164-U117</x:v>
      </x:c>
      <x:c r="C185" s="16" t="str">
        <x:v>НАБИВКА СКВОЗНОЕ ПЛЕТЕНИЕ АГИ 5*5</x:v>
      </x:c>
      <x:c r="D185" s="16" t="str">
        <x:v>Асбо-технические изделия</x:v>
      </x:c>
      <x:c r="E185" s="16" t="str">
        <x:v>КГ</x:v>
      </x:c>
      <x:c r="F185" s="30" t="n">
        <x:v>7.1</x:v>
      </x:c>
      <x:c r="G185" s="17" t="n">
        <x:v>256.3952</x:v>
      </x:c>
      <x:c r="H185" s="17" t="n">
        <x:f>G185*F185</x:f>
        <x:v>1820.40592</x:v>
      </x:c>
      <x:c r="I185" s="22" t="str">
        <x:f>HYPERLINK("https://etp-aktiv.ru/catalog/materialy/asbo-tekhnicheskie-izdeliya/2000539164-U117/","Открыть позицию")</x:f>
        <x:v>Открыть позицию</x:v>
      </x:c>
    </x:row>
    <x:row r="186" ht="28" customHeight="1">
      <x:c r="A186" s="16" t="str">
        <x:v>Приморская ГРЭС</x:v>
      </x:c>
      <x:c r="B186" s="16" t="str">
        <x:v>2000539180-U117</x:v>
      </x:c>
      <x:c r="C186" s="16" t="str">
        <x:v>НАБИВКА СКВОЗНОЕ ПЛЕТЕНИЕ АП-31 12*12</x:v>
      </x:c>
      <x:c r="D186" s="16" t="str">
        <x:v>Асбо-технические изделия</x:v>
      </x:c>
      <x:c r="E186" s="16" t="str">
        <x:v>КГ</x:v>
      </x:c>
      <x:c r="F186" s="21" t="n">
        <x:v>4</x:v>
      </x:c>
      <x:c r="G186" s="17" t="n">
        <x:v>205.88719999999998</x:v>
      </x:c>
      <x:c r="H186" s="17" t="n">
        <x:f>G186*F186</x:f>
        <x:v>823.5487999999999</x:v>
      </x:c>
      <x:c r="I186" s="22" t="str">
        <x:f>HYPERLINK("https://etp-aktiv.ru/catalog/materialy/asbo-tekhnicheskie-izdeliya/2000539180-U117/","Открыть позицию")</x:f>
        <x:v>Открыть позицию</x:v>
      </x:c>
    </x:row>
    <x:row r="187" ht="28" customHeight="1">
      <x:c r="A187" s="16" t="str">
        <x:v>Приморская ГРЭС</x:v>
      </x:c>
      <x:c r="B187" s="16" t="str">
        <x:v>2000539181-U117</x:v>
      </x:c>
      <x:c r="C187" s="16" t="str">
        <x:v>НАБИВКА СКВОЗНОЕ ПЛЕТЕНИЕ АП-31 19*19</x:v>
      </x:c>
      <x:c r="D187" s="16" t="str">
        <x:v>Асбо-технические изделия</x:v>
      </x:c>
      <x:c r="E187" s="16" t="str">
        <x:v>КГ</x:v>
      </x:c>
      <x:c r="F187" s="30" t="n">
        <x:v>11.5</x:v>
      </x:c>
      <x:c r="G187" s="17" t="n">
        <x:v>326.655</x:v>
      </x:c>
      <x:c r="H187" s="17" t="n">
        <x:f>G187*F187</x:f>
        <x:v>3756.5325</x:v>
      </x:c>
      <x:c r="I187" s="22" t="str">
        <x:f>HYPERLINK("https://etp-aktiv.ru/catalog/materialy/asbo-tekhnicheskie-izdeliya/2000539181-U117/","Открыть позицию")</x:f>
        <x:v>Открыть позицию</x:v>
      </x:c>
    </x:row>
    <x:row r="188" ht="28" customHeight="1">
      <x:c r="A188" s="16" t="str">
        <x:v>Приморская ГРЭС</x:v>
      </x:c>
      <x:c r="B188" s="16" t="str">
        <x:v>2000539183-U117</x:v>
      </x:c>
      <x:c r="C188" s="16" t="str">
        <x:v>НАБИВКА СКВОЗНОЕ ПЛЕТЕНИЕ АП-31 5*5</x:v>
      </x:c>
      <x:c r="D188" s="16" t="str">
        <x:v>Асбо-технические изделия</x:v>
      </x:c>
      <x:c r="E188" s="16" t="str">
        <x:v>КГ</x:v>
      </x:c>
      <x:c r="F188" s="21" t="n">
        <x:v>4</x:v>
      </x:c>
      <x:c r="G188" s="17" t="n">
        <x:v>449.997</x:v>
      </x:c>
      <x:c r="H188" s="17" t="n">
        <x:f>G188*F188</x:f>
        <x:v>1799.988</x:v>
      </x:c>
      <x:c r="I188" s="22" t="str">
        <x:f>HYPERLINK("https://etp-aktiv.ru/catalog/materialy/asbo-tekhnicheskie-izdeliya/2000539183-U117/","Открыть позицию")</x:f>
        <x:v>Открыть позицию</x:v>
      </x:c>
    </x:row>
    <x:row r="189" ht="28" customHeight="1">
      <x:c r="A189" s="16" t="str">
        <x:v>Приморская ГРЭС</x:v>
      </x:c>
      <x:c r="B189" s="16" t="str">
        <x:v>2000539204-U117</x:v>
      </x:c>
      <x:c r="C189" s="16" t="str">
        <x:v>НАБИВКА СКВОЗНОЕ ПЛЕТЕНИЕ АС 10*10</x:v>
      </x:c>
      <x:c r="D189" s="16" t="str">
        <x:v>Асбо-технические изделия</x:v>
      </x:c>
      <x:c r="E189" s="16" t="str">
        <x:v>КГ</x:v>
      </x:c>
      <x:c r="F189" s="30" t="n">
        <x:v>37.1</x:v>
      </x:c>
      <x:c r="G189" s="17" t="n">
        <x:v>195.0048</x:v>
      </x:c>
      <x:c r="H189" s="17" t="n">
        <x:f>G189*F189</x:f>
        <x:v>7234.67808</x:v>
      </x:c>
      <x:c r="I189" s="22" t="str">
        <x:f>HYPERLINK("https://etp-aktiv.ru/catalog/materialy/asbo-tekhnicheskie-izdeliya/2000539204-U117/","Открыть позицию")</x:f>
        <x:v>Открыть позицию</x:v>
      </x:c>
    </x:row>
    <x:row r="190" ht="28" customHeight="1">
      <x:c r="A190" s="16" t="str">
        <x:v>Приморская ГРЭС</x:v>
      </x:c>
      <x:c r="B190" s="16" t="str">
        <x:v>2000519321-U117</x:v>
      </x:c>
      <x:c r="C190" s="16" t="str">
        <x:v>НАБИВКА ТРГ СВ 204G 12*12ММ</x:v>
      </x:c>
      <x:c r="D190" s="16" t="str">
        <x:v>Асбо-технические изделия</x:v>
      </x:c>
      <x:c r="E190" s="16" t="str">
        <x:v>КГ</x:v>
      </x:c>
      <x:c r="F190" s="30" t="n">
        <x:v>20.36</x:v>
      </x:c>
      <x:c r="G190" s="17" t="n">
        <x:v>1189.5</x:v>
      </x:c>
      <x:c r="H190" s="17" t="n">
        <x:f>G190*F190</x:f>
        <x:v>24218.219999999998</x:v>
      </x:c>
      <x:c r="I190" s="22" t="str">
        <x:f>HYPERLINK("https://etp-aktiv.ru/catalog/materialy/asbo-tekhnicheskie-izdeliya/2000519321-U117/","Открыть позицию")</x:f>
        <x:v>Открыть позицию</x:v>
      </x:c>
    </x:row>
    <x:row r="191" ht="28" customHeight="1">
      <x:c r="A191" s="16" t="str">
        <x:v>Приморская ГРЭС</x:v>
      </x:c>
      <x:c r="B191" s="16" t="str">
        <x:v>2000325521-U117</x:v>
      </x:c>
      <x:c r="C191" s="16" t="str">
        <x:v>НАБИВКА ТРГ-100Л 16*16ММ</x:v>
      </x:c>
      <x:c r="D191" s="16" t="str">
        <x:v>Асбо-технические изделия</x:v>
      </x:c>
      <x:c r="E191" s="16" t="str">
        <x:v>КГ</x:v>
      </x:c>
      <x:c r="F191" s="30" t="n">
        <x:v>19.08</x:v>
      </x:c>
      <x:c r="G191" s="17" t="n">
        <x:v>1189.5</x:v>
      </x:c>
      <x:c r="H191" s="17" t="n">
        <x:f>G191*F191</x:f>
        <x:v>22695.659999999996</x:v>
      </x:c>
      <x:c r="I191" s="22" t="str">
        <x:f>HYPERLINK("https://etp-aktiv.ru/catalog/materialy/asbo-tekhnicheskie-izdeliya/2000325521-U117/","Открыть позицию")</x:f>
        <x:v>Открыть позицию</x:v>
      </x:c>
    </x:row>
    <x:row r="192" ht="28" customHeight="1">
      <x:c r="A192" s="16" t="str">
        <x:v>Приморская ГРЭС</x:v>
      </x:c>
      <x:c r="B192" s="16" t="str">
        <x:v>2000031533-U117</x:v>
      </x:c>
      <x:c r="C192" s="16" t="str">
        <x:v>НАБИВКА ХБП 14*14ММ</x:v>
      </x:c>
      <x:c r="D192" s="16" t="str">
        <x:v>Асбо-технические изделия</x:v>
      </x:c>
      <x:c r="E192" s="16" t="str">
        <x:v>КГ</x:v>
      </x:c>
      <x:c r="F192" s="30" t="n">
        <x:v>19.3</x:v>
      </x:c>
      <x:c r="G192" s="17" t="n">
        <x:v>159.637</x:v>
      </x:c>
      <x:c r="H192" s="17" t="n">
        <x:f>G192*F192</x:f>
        <x:v>3080.9941000000003</x:v>
      </x:c>
      <x:c r="I192" s="22" t="str">
        <x:f>HYPERLINK("https://etp-aktiv.ru/catalog/materialy/asbo-tekhnicheskie-izdeliya/2000031533-U117/","Открыть позицию")</x:f>
        <x:v>Открыть позицию</x:v>
      </x:c>
    </x:row>
    <x:row r="193" ht="28" customHeight="1">
      <x:c r="A193" s="16" t="str">
        <x:v>Приморская ГРЭС</x:v>
      </x:c>
      <x:c r="B193" s="16" t="str">
        <x:v>2000165556-U117</x:v>
      </x:c>
      <x:c r="C193" s="16" t="str">
        <x:v>НАБИВКА ХБП-31 10*10ММ</x:v>
      </x:c>
      <x:c r="D193" s="16" t="str">
        <x:v>Асбо-технические изделия</x:v>
      </x:c>
      <x:c r="E193" s="16" t="str">
        <x:v>КГ</x:v>
      </x:c>
      <x:c r="F193" s="30" t="n">
        <x:v>4.5</x:v>
      </x:c>
      <x:c r="G193" s="17" t="n">
        <x:v>159.8688</x:v>
      </x:c>
      <x:c r="H193" s="17" t="n">
        <x:f>G193*F193</x:f>
        <x:v>719.4096</x:v>
      </x:c>
      <x:c r="I193" s="22" t="str">
        <x:f>HYPERLINK("https://etp-aktiv.ru/catalog/materialy/asbo-tekhnicheskie-izdeliya/2000165556-U117/","Открыть позицию")</x:f>
        <x:v>Открыть позицию</x:v>
      </x:c>
    </x:row>
    <x:row r="194" ht="28" customHeight="1">
      <x:c r="A194" s="16" t="str">
        <x:v>Приморская ГРЭС</x:v>
      </x:c>
      <x:c r="B194" s="16" t="str">
        <x:v>2000031486-U117</x:v>
      </x:c>
      <x:c r="C194" s="16" t="str">
        <x:v>НАБИВКА ХБП-31 12ММ</x:v>
      </x:c>
      <x:c r="D194" s="16" t="str">
        <x:v>Асбо-технические изделия</x:v>
      </x:c>
      <x:c r="E194" s="16" t="str">
        <x:v>КГ</x:v>
      </x:c>
      <x:c r="F194" s="30" t="n">
        <x:v>44.7</x:v>
      </x:c>
      <x:c r="G194" s="17" t="n">
        <x:v>418.094</x:v>
      </x:c>
      <x:c r="H194" s="17" t="n">
        <x:f>G194*F194</x:f>
        <x:v>18688.8018</x:v>
      </x:c>
      <x:c r="I194" s="22" t="str">
        <x:f>HYPERLINK("https://etp-aktiv.ru/catalog/materialy/asbo-tekhnicheskie-izdeliya/2000031486-U117/","Открыть позицию")</x:f>
        <x:v>Открыть позицию</x:v>
      </x:c>
    </x:row>
    <x:row r="195" ht="28" customHeight="1">
      <x:c r="A195" s="16" t="str">
        <x:v>Приморская ГРЭС</x:v>
      </x:c>
      <x:c r="B195" s="16" t="str">
        <x:v>2000165595-U117</x:v>
      </x:c>
      <x:c r="C195" s="16" t="str">
        <x:v>НАБИВКА ХБП-31 16*16ММ</x:v>
      </x:c>
      <x:c r="D195" s="16" t="str">
        <x:v>Асбо-технические изделия</x:v>
      </x:c>
      <x:c r="E195" s="16" t="str">
        <x:v>КГ</x:v>
      </x:c>
      <x:c r="F195" s="21" t="n">
        <x:v>9</x:v>
      </x:c>
      <x:c r="G195" s="17" t="n">
        <x:v>171.67839999999998</x:v>
      </x:c>
      <x:c r="H195" s="17" t="n">
        <x:f>G195*F195</x:f>
        <x:v>1545.1055999999999</x:v>
      </x:c>
      <x:c r="I195" s="22" t="str">
        <x:f>HYPERLINK("https://etp-aktiv.ru/catalog/materialy/asbo-tekhnicheskie-izdeliya/2000165595-U117/","Открыть позицию")</x:f>
        <x:v>Открыть позицию</x:v>
      </x:c>
    </x:row>
    <x:row r="196" ht="28" customHeight="1">
      <x:c r="A196" s="16" t="str">
        <x:v>Приморская ГРЭС</x:v>
      </x:c>
      <x:c r="B196" s="16" t="str">
        <x:v>2000031484-U117</x:v>
      </x:c>
      <x:c r="C196" s="16" t="str">
        <x:v>НАБИВКА ХБП-31 8ММ</x:v>
      </x:c>
      <x:c r="D196" s="16" t="str">
        <x:v>Асбо-технические изделия</x:v>
      </x:c>
      <x:c r="E196" s="16" t="str">
        <x:v>КГ</x:v>
      </x:c>
      <x:c r="F196" s="30" t="n">
        <x:v>2.5</x:v>
      </x:c>
      <x:c r="G196" s="17" t="n">
        <x:v>475.312</x:v>
      </x:c>
      <x:c r="H196" s="17" t="n">
        <x:f>G196*F196</x:f>
        <x:v>1188.28</x:v>
      </x:c>
      <x:c r="I196" s="22" t="str">
        <x:f>HYPERLINK("https://etp-aktiv.ru/catalog/materialy/asbo-tekhnicheskie-izdeliya/2000031484-U117/","Открыть позицию")</x:f>
        <x:v>Открыть позицию</x:v>
      </x:c>
    </x:row>
    <x:row r="197" ht="28" customHeight="1">
      <x:c r="A197" s="16" t="str">
        <x:v>Приморская ГРЭС</x:v>
      </x:c>
      <x:c r="B197" s="16" t="str">
        <x:v>2000127809-U117</x:v>
      </x:c>
      <x:c r="C197" s="16" t="str">
        <x:v>ПАРОНИТ ПМБ 0,8ММ 1,0*1,5</x:v>
      </x:c>
      <x:c r="D197" s="16" t="str">
        <x:v>Асбо-технические изделия</x:v>
      </x:c>
      <x:c r="E197" s="16" t="str">
        <x:v>ШТ</x:v>
      </x:c>
      <x:c r="F197" s="21" t="n">
        <x:v>2</x:v>
      </x:c>
      <x:c r="G197" s="17" t="n">
        <x:v>246.0862</x:v>
      </x:c>
      <x:c r="H197" s="17" t="n">
        <x:f>G197*F197</x:f>
        <x:v>492.1724</x:v>
      </x:c>
      <x:c r="I197" s="22" t="str">
        <x:f>HYPERLINK("https://etp-aktiv.ru/catalog/materialy/asbo-tekhnicheskie-izdeliya/2000127809-U117/","Открыть позицию")</x:f>
        <x:v>Открыть позицию</x:v>
      </x:c>
    </x:row>
    <x:row r="198" ht="28" customHeight="1">
      <x:c r="A198" s="16" t="str">
        <x:v>Приморская ГРЭС</x:v>
      </x:c>
      <x:c r="B198" s="16" t="str">
        <x:v>2000258647-U117</x:v>
      </x:c>
      <x:c r="C198" s="16" t="str">
        <x:v>ПАРОНИТ ПМБ 1*1000*1500</x:v>
      </x:c>
      <x:c r="D198" s="16" t="str">
        <x:v>Асбо-технические изделия</x:v>
      </x:c>
      <x:c r="E198" s="16" t="str">
        <x:v>ШТ</x:v>
      </x:c>
      <x:c r="F198" s="30" t="n">
        <x:v>26.2</x:v>
      </x:c>
      <x:c r="G198" s="17" t="n">
        <x:v>209.6326</x:v>
      </x:c>
      <x:c r="H198" s="17" t="n">
        <x:f>G198*F198</x:f>
        <x:v>5492.3741199999995</x:v>
      </x:c>
      <x:c r="I198" s="22" t="str">
        <x:f>HYPERLINK("https://etp-aktiv.ru/catalog/materialy/asbo-tekhnicheskie-izdeliya/2000258647-U117/","Открыть позицию")</x:f>
        <x:v>Открыть позицию</x:v>
      </x:c>
    </x:row>
    <x:row r="199" ht="28" customHeight="1">
      <x:c r="A199" s="16" t="str">
        <x:v>Приморская ГРЭС</x:v>
      </x:c>
      <x:c r="B199" s="16" t="str">
        <x:v>2000146478-U117</x:v>
      </x:c>
      <x:c r="C199" s="16" t="str">
        <x:v>ПАРОНИТ ПМБ 1,0ММ 1,0*1,7</x:v>
      </x:c>
      <x:c r="D199" s="16" t="str">
        <x:v>Асбо-технические изделия</x:v>
      </x:c>
      <x:c r="E199" s="16" t="str">
        <x:v>КГ</x:v>
      </x:c>
      <x:c r="F199" s="30" t="n">
        <x:v>8.4</x:v>
      </x:c>
      <x:c r="G199" s="17" t="n">
        <x:v>155.001</x:v>
      </x:c>
      <x:c r="H199" s="17" t="n">
        <x:f>G199*F199</x:f>
        <x:v>1302.0084000000002</x:v>
      </x:c>
      <x:c r="I199" s="22" t="str">
        <x:f>HYPERLINK("https://etp-aktiv.ru/catalog/materialy/asbo-tekhnicheskie-izdeliya/2000146478-U117/","Открыть позицию")</x:f>
        <x:v>Открыть позицию</x:v>
      </x:c>
    </x:row>
    <x:row r="200" ht="28" customHeight="1">
      <x:c r="A200" s="16" t="str">
        <x:v>Приморская ГРЭС</x:v>
      </x:c>
      <x:c r="B200" s="16" t="str">
        <x:v>2000595360-U117</x:v>
      </x:c>
      <x:c r="C200" s="16" t="str">
        <x:v>ПАРОНИТ ПМБ 1,0ММ 1500*1700 ГОСТ481-80</x:v>
      </x:c>
      <x:c r="D200" s="16" t="str">
        <x:v>Асбо-технические изделия</x:v>
      </x:c>
      <x:c r="E200" s="16" t="str">
        <x:v>КГ</x:v>
      </x:c>
      <x:c r="F200" s="21" t="n">
        <x:v>14</x:v>
      </x:c>
      <x:c r="G200" s="17" t="n">
        <x:v>363.56</x:v>
      </x:c>
      <x:c r="H200" s="17" t="n">
        <x:f>G200*F200</x:f>
        <x:v>5089.84</x:v>
      </x:c>
      <x:c r="I200" s="22" t="str">
        <x:f>HYPERLINK("https://etp-aktiv.ru/catalog/materialy/asbo-tekhnicheskie-izdeliya/2000595360-U117/","Открыть позицию")</x:f>
        <x:v>Открыть позицию</x:v>
      </x:c>
    </x:row>
    <x:row r="201" ht="28" customHeight="1">
      <x:c r="A201" s="16" t="str">
        <x:v>Приморская ГРЭС</x:v>
      </x:c>
      <x:c r="B201" s="16" t="str">
        <x:v>2000033093-U117</x:v>
      </x:c>
      <x:c r="C201" s="16" t="str">
        <x:v>ПАРОНИТ ПМБ 1,5ММ</x:v>
      </x:c>
      <x:c r="D201" s="16" t="str">
        <x:v>Асбо-технические изделия</x:v>
      </x:c>
      <x:c r="E201" s="16" t="str">
        <x:v>КГ</x:v>
      </x:c>
      <x:c r="F201" s="30" t="n">
        <x:v>71.2</x:v>
      </x:c>
      <x:c r="G201" s="17" t="n">
        <x:v>97.234</x:v>
      </x:c>
      <x:c r="H201" s="17" t="n">
        <x:f>G201*F201</x:f>
        <x:v>6923.0608</x:v>
      </x:c>
      <x:c r="I201" s="22" t="str">
        <x:f>HYPERLINK("https://etp-aktiv.ru/catalog/materialy/asbo-tekhnicheskie-izdeliya/2000033093-U117/","Открыть позицию")</x:f>
        <x:v>Открыть позицию</x:v>
      </x:c>
    </x:row>
    <x:row r="202" ht="28" customHeight="1">
      <x:c r="A202" s="16" t="str">
        <x:v>Приморская ГРЭС</x:v>
      </x:c>
      <x:c r="B202" s="16" t="str">
        <x:v>2000578041-U117</x:v>
      </x:c>
      <x:c r="C202" s="16" t="str">
        <x:v>ПАРОНИТ ПМБ 1,5ММ 1500*1700ММ</x:v>
      </x:c>
      <x:c r="D202" s="16" t="str">
        <x:v>Асбо-технические изделия</x:v>
      </x:c>
      <x:c r="E202" s="16" t="str">
        <x:v>КГ</x:v>
      </x:c>
      <x:c r="F202" s="30" t="n">
        <x:v>27.24</x:v>
      </x:c>
      <x:c r="G202" s="17" t="n">
        <x:v>74.054</x:v>
      </x:c>
      <x:c r="H202" s="17" t="n">
        <x:f>G202*F202</x:f>
        <x:v>2017.2309599999999</x:v>
      </x:c>
      <x:c r="I202" s="22" t="str">
        <x:f>HYPERLINK("https://etp-aktiv.ru/catalog/materialy/asbo-tekhnicheskie-izdeliya/2000578041-U117/","Открыть позицию")</x:f>
        <x:v>Открыть позицию</x:v>
      </x:c>
    </x:row>
    <x:row r="203" ht="28" customHeight="1">
      <x:c r="A203" s="16" t="str">
        <x:v>Приморская ГРЭС</x:v>
      </x:c>
      <x:c r="B203" s="16" t="str">
        <x:v>2000595359-U117</x:v>
      </x:c>
      <x:c r="C203" s="16" t="str">
        <x:v>ПАРОНИТ ПМБ 2,0ММ 1500*1700 ГОСТ481-80</x:v>
      </x:c>
      <x:c r="D203" s="16" t="str">
        <x:v>Асбо-технические изделия</x:v>
      </x:c>
      <x:c r="E203" s="16" t="str">
        <x:v>КГ</x:v>
      </x:c>
      <x:c r="F203" s="30" t="n">
        <x:v>15.2</x:v>
      </x:c>
      <x:c r="G203" s="17" t="n">
        <x:v>98.2222</x:v>
      </x:c>
      <x:c r="H203" s="17" t="n">
        <x:f>G203*F203</x:f>
        <x:v>1492.97744</x:v>
      </x:c>
      <x:c r="I203" s="22" t="str">
        <x:f>HYPERLINK("https://etp-aktiv.ru/catalog/materialy/asbo-tekhnicheskie-izdeliya/2000595359-U117/","Открыть позицию")</x:f>
        <x:v>Открыть позицию</x:v>
      </x:c>
    </x:row>
    <x:row r="204" ht="28" customHeight="1">
      <x:c r="A204" s="16" t="str">
        <x:v>Приморская ГРЭС</x:v>
      </x:c>
      <x:c r="B204" s="16" t="str">
        <x:v>2000132212-U117</x:v>
      </x:c>
      <x:c r="C204" s="16" t="str">
        <x:v>ПАРОНИТ ПМБ 2ММ 1,0*1,5</x:v>
      </x:c>
      <x:c r="D204" s="16" t="str">
        <x:v>Асбо-технические изделия</x:v>
      </x:c>
      <x:c r="E204" s="16" t="str">
        <x:v>КГ</x:v>
      </x:c>
      <x:c r="F204" s="30" t="n">
        <x:v>24.04</x:v>
      </x:c>
      <x:c r="G204" s="17" t="n">
        <x:v>71.9312</x:v>
      </x:c>
      <x:c r="H204" s="17" t="n">
        <x:f>G204*F204</x:f>
        <x:v>1729.226048</x:v>
      </x:c>
      <x:c r="I204" s="22" t="str">
        <x:f>HYPERLINK("https://etp-aktiv.ru/catalog/materialy/asbo-tekhnicheskie-izdeliya/2000132212-U117/","Открыть позицию")</x:f>
        <x:v>Открыть позицию</x:v>
      </x:c>
    </x:row>
    <x:row r="205" ht="28" customHeight="1">
      <x:c r="A205" s="16" t="str">
        <x:v>Приморская ГРЭС</x:v>
      </x:c>
      <x:c r="B205" s="16" t="str">
        <x:v>2000539281-U117</x:v>
      </x:c>
      <x:c r="C205" s="16" t="str">
        <x:v>ПАРОНИТ ПМБ 3*1500*1500</x:v>
      </x:c>
      <x:c r="D205" s="16" t="str">
        <x:v>Асбо-технические изделия</x:v>
      </x:c>
      <x:c r="E205" s="16" t="str">
        <x:v>КГ</x:v>
      </x:c>
      <x:c r="F205" s="30" t="n">
        <x:v>16.3</x:v>
      </x:c>
      <x:c r="G205" s="17" t="n">
        <x:v>92.34179999999999</x:v>
      </x:c>
      <x:c r="H205" s="17" t="n">
        <x:f>G205*F205</x:f>
        <x:v>1505.1713399999999</x:v>
      </x:c>
      <x:c r="I205" s="22" t="str">
        <x:f>HYPERLINK("https://etp-aktiv.ru/catalog/materialy/asbo-tekhnicheskie-izdeliya/2000539281-U117/","Открыть позицию")</x:f>
        <x:v>Открыть позицию</x:v>
      </x:c>
    </x:row>
    <x:row r="206" ht="28" customHeight="1">
      <x:c r="A206" s="16" t="str">
        <x:v>Приморская ГРЭС</x:v>
      </x:c>
      <x:c r="B206" s="16" t="str">
        <x:v>2000596750-U117</x:v>
      </x:c>
      <x:c r="C206" s="16" t="str">
        <x:v>ПАРОНИТ ПОН 1,5ММ</x:v>
      </x:c>
      <x:c r="D206" s="16" t="str">
        <x:v>Асбо-технические изделия</x:v>
      </x:c>
      <x:c r="E206" s="16" t="str">
        <x:v>КГ</x:v>
      </x:c>
      <x:c r="F206" s="30" t="n">
        <x:v>37.1</x:v>
      </x:c>
      <x:c r="G206" s="17" t="n">
        <x:v>145.1068</x:v>
      </x:c>
      <x:c r="H206" s="17" t="n">
        <x:f>G206*F206</x:f>
        <x:v>5383.46228</x:v>
      </x:c>
      <x:c r="I206" s="22" t="str">
        <x:f>HYPERLINK("https://etp-aktiv.ru/catalog/materialy/asbo-tekhnicheskie-izdeliya/2000596750-U117/","Открыть позицию")</x:f>
        <x:v>Открыть позицию</x:v>
      </x:c>
    </x:row>
    <x:row r="207" ht="28" customHeight="1">
      <x:c r="A207" s="16" t="str">
        <x:v>Приморская ГРЭС</x:v>
      </x:c>
      <x:c r="B207" s="16" t="str">
        <x:v>2000033100-U117</x:v>
      </x:c>
      <x:c r="C207" s="16" t="str">
        <x:v>ПАРОНИТ ПОН-Б 0,4ММ</x:v>
      </x:c>
      <x:c r="D207" s="16" t="str">
        <x:v>Асбо-технические изделия</x:v>
      </x:c>
      <x:c r="E207" s="16" t="str">
        <x:v>КГ</x:v>
      </x:c>
      <x:c r="F207" s="21" t="n">
        <x:v>40</x:v>
      </x:c>
      <x:c r="G207" s="17" t="n">
        <x:v>87.3154</x:v>
      </x:c>
      <x:c r="H207" s="17" t="n">
        <x:f>G207*F207</x:f>
        <x:v>3492.616</x:v>
      </x:c>
      <x:c r="I207" s="22" t="str">
        <x:f>HYPERLINK("https://etp-aktiv.ru/catalog/materialy/asbo-tekhnicheskie-izdeliya/2000033100-U117/","Открыть позицию")</x:f>
        <x:v>Открыть позицию</x:v>
      </x:c>
    </x:row>
    <x:row r="208" ht="28" customHeight="1">
      <x:c r="A208" s="16" t="str">
        <x:v>Приморская ГРЭС</x:v>
      </x:c>
      <x:c r="B208" s="16" t="str">
        <x:v>2000539284-U117</x:v>
      </x:c>
      <x:c r="C208" s="16" t="str">
        <x:v>ПАРОНИТ ПОН-Б 1,0*1500*1500</x:v>
      </x:c>
      <x:c r="D208" s="16" t="str">
        <x:v>Асбо-технические изделия</x:v>
      </x:c>
      <x:c r="E208" s="16" t="str">
        <x:v>КГ</x:v>
      </x:c>
      <x:c r="F208" s="30" t="n">
        <x:v>19.95</x:v>
      </x:c>
      <x:c r="G208" s="17" t="n">
        <x:v>71.8702</x:v>
      </x:c>
      <x:c r="H208" s="17" t="n">
        <x:f>G208*F208</x:f>
        <x:v>1433.8104899999998</x:v>
      </x:c>
      <x:c r="I208" s="22" t="str">
        <x:f>HYPERLINK("https://etp-aktiv.ru/catalog/materialy/asbo-tekhnicheskie-izdeliya/2000539284-U117/","Открыть позицию")</x:f>
        <x:v>Открыть позицию</x:v>
      </x:c>
    </x:row>
    <x:row r="209" ht="28" customHeight="1">
      <x:c r="A209" s="16" t="str">
        <x:v>Приморская ГРЭС</x:v>
      </x:c>
      <x:c r="B209" s="16" t="str">
        <x:v>2000711693-U117</x:v>
      </x:c>
      <x:c r="C209" s="16" t="str">
        <x:v>ПАРОНИТ ПОН-Б 1,5*1000*1500</x:v>
      </x:c>
      <x:c r="D209" s="16" t="str">
        <x:v>Асбо-технические изделия</x:v>
      </x:c>
      <x:c r="E209" s="16" t="str">
        <x:v>КГ</x:v>
      </x:c>
      <x:c r="F209" s="30" t="n">
        <x:v>245.9</x:v>
      </x:c>
      <x:c r="G209" s="17" t="n">
        <x:v>69.2716</x:v>
      </x:c>
      <x:c r="H209" s="17" t="n">
        <x:f>G209*F209</x:f>
        <x:v>17033.886440000002</x:v>
      </x:c>
      <x:c r="I209" s="22" t="str">
        <x:f>HYPERLINK("https://etp-aktiv.ru/catalog/materialy/asbo-tekhnicheskie-izdeliya/2000711693-U117/","Открыть позицию")</x:f>
        <x:v>Открыть позицию</x:v>
      </x:c>
    </x:row>
    <x:row r="210" ht="28" customHeight="1">
      <x:c r="A210" s="16" t="str">
        <x:v>Приморская ГРЭС</x:v>
      </x:c>
      <x:c r="B210" s="16" t="str">
        <x:v>2000771898-U117</x:v>
      </x:c>
      <x:c r="C210" s="16" t="str">
        <x:v>ПАРОНИТ ПОН-Б 1,5*1500*1500ММ</x:v>
      </x:c>
      <x:c r="D210" s="16" t="str">
        <x:v>Асбо-технические изделия</x:v>
      </x:c>
      <x:c r="E210" s="16" t="str">
        <x:v>КГ</x:v>
      </x:c>
      <x:c r="F210" s="30" t="n">
        <x:v>13.4</x:v>
      </x:c>
      <x:c r="G210" s="17" t="n">
        <x:v>141.9592</x:v>
      </x:c>
      <x:c r="H210" s="17" t="n">
        <x:f>G210*F210</x:f>
        <x:v>1902.2532800000001</x:v>
      </x:c>
      <x:c r="I210" s="22" t="str">
        <x:f>HYPERLINK("https://etp-aktiv.ru/catalog/materialy/asbo-tekhnicheskie-izdeliya/2000771898-U117/","Открыть позицию")</x:f>
        <x:v>Открыть позицию</x:v>
      </x:c>
    </x:row>
    <x:row r="211" ht="28" customHeight="1">
      <x:c r="A211" s="16" t="str">
        <x:v>Приморская ГРЭС</x:v>
      </x:c>
      <x:c r="B211" s="16" t="str">
        <x:v>2000378947-U117</x:v>
      </x:c>
      <x:c r="C211" s="16" t="str">
        <x:v>ПАРОНИТ ПОН-Б 2*300*300ММ</x:v>
      </x:c>
      <x:c r="D211" s="16" t="str">
        <x:v>Асбо-технические изделия</x:v>
      </x:c>
      <x:c r="E211" s="16" t="str">
        <x:v>ШТ</x:v>
      </x:c>
      <x:c r="F211" s="21" t="n">
        <x:v>24</x:v>
      </x:c>
      <x:c r="G211" s="17" t="n">
        <x:v>349.1152</x:v>
      </x:c>
      <x:c r="H211" s="17" t="n">
        <x:f>G211*F211</x:f>
        <x:v>8378.7648</x:v>
      </x:c>
      <x:c r="I211" s="22" t="str">
        <x:f>HYPERLINK("https://etp-aktiv.ru/catalog/materialy/asbo-tekhnicheskie-izdeliya/2000378947-U117/","Открыть позицию")</x:f>
        <x:v>Открыть позицию</x:v>
      </x:c>
    </x:row>
    <x:row r="212" ht="28" customHeight="1">
      <x:c r="A212" s="16" t="str">
        <x:v>Приморская ГРЭС</x:v>
      </x:c>
      <x:c r="B212" s="16" t="str">
        <x:v>2000033113-U117</x:v>
      </x:c>
      <x:c r="C212" s="16" t="str">
        <x:v>ПАРОНИТ ПОН-Б 5ММ</x:v>
      </x:c>
      <x:c r="D212" s="16" t="str">
        <x:v>Асбо-технические изделия</x:v>
      </x:c>
      <x:c r="E212" s="16" t="str">
        <x:v>КГ</x:v>
      </x:c>
      <x:c r="F212" s="30" t="n">
        <x:v>241.747</x:v>
      </x:c>
      <x:c r="G212" s="17" t="n">
        <x:v>104.859</x:v>
      </x:c>
      <x:c r="H212" s="17" t="n">
        <x:f>G212*F212</x:f>
        <x:v>25349.348673</x:v>
      </x:c>
      <x:c r="I212" s="22" t="str">
        <x:f>HYPERLINK("https://etp-aktiv.ru/catalog/materialy/asbo-tekhnicheskie-izdeliya/2000033113-U117/","Открыть позицию")</x:f>
        <x:v>Открыть позицию</x:v>
      </x:c>
    </x:row>
    <x:row r="213" ht="28" customHeight="1">
      <x:c r="A213" s="16" t="str">
        <x:v>Приморская ГРЭС</x:v>
      </x:c>
      <x:c r="B213" s="16" t="str">
        <x:v>2000553818-U117</x:v>
      </x:c>
      <x:c r="C213" s="16" t="str">
        <x:v>ПОРОШОК КИСЛОТОУПОРНЫЙ МУКА ДИАБАЗОВАЯ</x:v>
      </x:c>
      <x:c r="D213" s="16" t="str">
        <x:v>Кислотоупорные материалы</x:v>
      </x:c>
      <x:c r="E213" s="16" t="str">
        <x:v>Т</x:v>
      </x:c>
      <x:c r="F213" s="30" t="n">
        <x:v>8.158</x:v>
      </x:c>
      <x:c r="G213" s="17" t="n">
        <x:v>29376.6118</x:v>
      </x:c>
      <x:c r="H213" s="17" t="n">
        <x:f>G213*F213</x:f>
        <x:v>239654.39906439997</x:v>
      </x:c>
      <x:c r="I213" s="22" t="str">
        <x:f>HYPERLINK("https://etp-aktiv.ru/catalog/materialy/stroitelnye-materialy/2000553818-U117/","Открыть позицию")</x:f>
        <x:v>Открыть позицию</x:v>
      </x:c>
    </x:row>
    <x:row r="214" ht="28" customHeight="1">
      <x:c r="A214" s="16" t="str">
        <x:v>Приморская ГРЭС</x:v>
      </x:c>
      <x:c r="B214" s="16" t="str">
        <x:v>2000553808-U117</x:v>
      </x:c>
      <x:c r="C214" s="16" t="str">
        <x:v>ПОРОШОК МОЛОТ ПГБ ТУ1522-009-00190495</x:v>
      </x:c>
      <x:c r="D214" s="16" t="str">
        <x:v>Огнеупорные материалы</x:v>
      </x:c>
      <x:c r="E214" s="16" t="str">
        <x:v>Т</x:v>
      </x:c>
      <x:c r="F214" s="26" t="n">
        <x:v>0.05</x:v>
      </x:c>
      <x:c r="G214" s="17" t="n">
        <x:v>17950.006400000002</x:v>
      </x:c>
      <x:c r="H214" s="17" t="n">
        <x:f>G214*F214</x:f>
        <x:v>897.5003200000001</x:v>
      </x:c>
      <x:c r="I214" s="22" t="str">
        <x:f>HYPERLINK("https://etp-aktiv.ru/catalog/materialy/ogneupornye-materialy/2000553808-U117/","Открыть позицию")</x:f>
        <x:v>Открыть позицию</x:v>
      </x:c>
    </x:row>
    <x:row r="215" ht="28" customHeight="1">
      <x:c r="A215" s="16" t="str">
        <x:v>Приморская ГРЭС</x:v>
      </x:c>
      <x:c r="B215" s="16" t="str">
        <x:v>2000140893-U117</x:v>
      </x:c>
      <x:c r="C215" s="16" t="str">
        <x:v>РЕЗИНА ЛИСТОВАЯ 2ММ МБС ГОСТ7338-90</x:v>
      </x:c>
      <x:c r="D215" s="16" t="str">
        <x:v>Резино-технические изделия прочие</x:v>
      </x:c>
      <x:c r="E215" s="16" t="str">
        <x:v>КГ</x:v>
      </x:c>
      <x:c r="F215" s="30" t="n">
        <x:v>30.29</x:v>
      </x:c>
      <x:c r="G215" s="17" t="n">
        <x:v>161.4548</x:v>
      </x:c>
      <x:c r="H215" s="17" t="n">
        <x:f>G215*F215</x:f>
        <x:v>4890.465892</x:v>
      </x:c>
      <x:c r="I215" s="22" t="str">
        <x:f>HYPERLINK("https://etp-aktiv.ru/catalog/materialy/rezino-tekhnicheskie-izdeliya/2000140893-U117/","Открыть позицию")</x:f>
        <x:v>Открыть позицию</x:v>
      </x:c>
    </x:row>
    <x:row r="216" ht="28" customHeight="1">
      <x:c r="A216" s="16" t="str">
        <x:v>Приморская ГРЭС</x:v>
      </x:c>
      <x:c r="B216" s="16" t="str">
        <x:v>2000546670-U117</x:v>
      </x:c>
      <x:c r="C216" s="16" t="str">
        <x:v>РЕМЕНЬ C(В) 3000</x:v>
      </x:c>
      <x:c r="D216" s="16" t="str">
        <x:v>Резино-технические изделия прочие</x:v>
      </x:c>
      <x:c r="E216" s="16" t="str">
        <x:v>ШТ</x:v>
      </x:c>
      <x:c r="F216" s="21" t="n">
        <x:v>29</x:v>
      </x:c>
      <x:c r="G216" s="17" t="n">
        <x:v>279.0994</x:v>
      </x:c>
      <x:c r="H216" s="17" t="n">
        <x:f>G216*F216</x:f>
        <x:v>8093.8826</x:v>
      </x:c>
      <x:c r="I216" s="22" t="str">
        <x:f>HYPERLINK("https://etp-aktiv.ru/catalog/materialy/rezino-tekhnicheskie-izdeliya/2000546670-U117/","Открыть позицию")</x:f>
        <x:v>Открыть позицию</x:v>
      </x:c>
    </x:row>
    <x:row r="217" ht="28" customHeight="1">
      <x:c r="A217" s="16" t="str">
        <x:v>Приморская ГРЭС</x:v>
      </x:c>
      <x:c r="B217" s="16" t="str">
        <x:v>2000546623-U117</x:v>
      </x:c>
      <x:c r="C217" s="16" t="str">
        <x:v>РЕМЕНЬ А 1250</x:v>
      </x:c>
      <x:c r="D217" s="16" t="str">
        <x:v>Резино-технические изделия прочие</x:v>
      </x:c>
      <x:c r="E217" s="16" t="str">
        <x:v>ШТ</x:v>
      </x:c>
      <x:c r="F217" s="21" t="n">
        <x:v>12</x:v>
      </x:c>
      <x:c r="G217" s="17" t="n">
        <x:v>52.582</x:v>
      </x:c>
      <x:c r="H217" s="17" t="n">
        <x:f>G217*F217</x:f>
        <x:v>630.984</x:v>
      </x:c>
      <x:c r="I217" s="22" t="str">
        <x:f>HYPERLINK("https://etp-aktiv.ru/catalog/materialy/rezino-tekhnicheskie-izdeliya/2000546623-U117/","Открыть позицию")</x:f>
        <x:v>Открыть позицию</x:v>
      </x:c>
    </x:row>
    <x:row r="218" ht="28" customHeight="1">
      <x:c r="A218" s="16" t="str">
        <x:v>Приморская ГРЭС</x:v>
      </x:c>
      <x:c r="B218" s="16" t="str">
        <x:v>2000038229-U117</x:v>
      </x:c>
      <x:c r="C218" s="16" t="str">
        <x:v>РЕМЕНЬ КЛИНОВОЙ 11*10-1230</x:v>
      </x:c>
      <x:c r="D218" s="16" t="str">
        <x:v>Резино-технические изделия прочие</x:v>
      </x:c>
      <x:c r="E218" s="16" t="str">
        <x:v>ШТ</x:v>
      </x:c>
      <x:c r="F218" s="21" t="n">
        <x:v>60</x:v>
      </x:c>
      <x:c r="G218" s="17" t="n">
        <x:v>57.6694</x:v>
      </x:c>
      <x:c r="H218" s="17" t="n">
        <x:f>G218*F218</x:f>
        <x:v>3460.164</x:v>
      </x:c>
      <x:c r="I218" s="22" t="str">
        <x:f>HYPERLINK("https://etp-aktiv.ru/catalog/materialy/rezino-tekhnicheskie-izdeliya/2000038229-U117/","Открыть позицию")</x:f>
        <x:v>Открыть позицию</x:v>
      </x:c>
    </x:row>
    <x:row r="219" ht="28" customHeight="1">
      <x:c r="A219" s="16" t="str">
        <x:v>Приморская ГРЭС</x:v>
      </x:c>
      <x:c r="B219" s="16" t="str">
        <x:v>2000002000-U117</x:v>
      </x:c>
      <x:c r="C219" s="16" t="str">
        <x:v>РЕМЕНЬ КЛИНОВОЙ А-1000</x:v>
      </x:c>
      <x:c r="D219" s="16" t="str">
        <x:v>Резино-технические изделия прочие</x:v>
      </x:c>
      <x:c r="E219" s="16" t="str">
        <x:v>ШТ</x:v>
      </x:c>
      <x:c r="F219" s="21" t="n">
        <x:v>12</x:v>
      </x:c>
      <x:c r="G219" s="17" t="n">
        <x:v>51.740199999999994</x:v>
      </x:c>
      <x:c r="H219" s="17" t="n">
        <x:f>G219*F219</x:f>
        <x:v>620.8824</x:v>
      </x:c>
      <x:c r="I219" s="22" t="str">
        <x:f>HYPERLINK("https://etp-aktiv.ru/catalog/materialy/rezino-tekhnicheskie-izdeliya/2000002000-U117/","Открыть позицию")</x:f>
        <x:v>Открыть позицию</x:v>
      </x:c>
    </x:row>
    <x:row r="220" ht="28" customHeight="1">
      <x:c r="A220" s="16" t="str">
        <x:v>Приморская ГРЭС</x:v>
      </x:c>
      <x:c r="B220" s="16" t="str">
        <x:v>2000002064-U117</x:v>
      </x:c>
      <x:c r="C220" s="16" t="str">
        <x:v>РЕМЕНЬ КЛИНОВОЙ А-1180</x:v>
      </x:c>
      <x:c r="D220" s="16" t="str">
        <x:v>Резино-технические изделия прочие</x:v>
      </x:c>
      <x:c r="E220" s="16" t="str">
        <x:v>ШТ</x:v>
      </x:c>
      <x:c r="F220" s="21" t="n">
        <x:v>5</x:v>
      </x:c>
      <x:c r="G220" s="17" t="n">
        <x:v>66.9658</x:v>
      </x:c>
      <x:c r="H220" s="17" t="n">
        <x:f>G220*F220</x:f>
        <x:v>334.829</x:v>
      </x:c>
      <x:c r="I220" s="22" t="str">
        <x:f>HYPERLINK("https://etp-aktiv.ru/catalog/materialy/rezino-tekhnicheskie-izdeliya/2000002064-U117/","Открыть позицию")</x:f>
        <x:v>Открыть позицию</x:v>
      </x:c>
    </x:row>
    <x:row r="221" ht="28" customHeight="1">
      <x:c r="A221" s="16" t="str">
        <x:v>Приморская ГРЭС</x:v>
      </x:c>
      <x:c r="B221" s="16" t="str">
        <x:v>2000002457-U117</x:v>
      </x:c>
      <x:c r="C221" s="16" t="str">
        <x:v>РЕМЕНЬ КЛИНОВОЙ А-1250</x:v>
      </x:c>
      <x:c r="D221" s="16" t="str">
        <x:v>Резино-технические изделия прочие</x:v>
      </x:c>
      <x:c r="E221" s="16" t="str">
        <x:v>ШТ</x:v>
      </x:c>
      <x:c r="F221" s="21" t="n">
        <x:v>39</x:v>
      </x:c>
      <x:c r="G221" s="17" t="n">
        <x:v>51.5694</x:v>
      </x:c>
      <x:c r="H221" s="17" t="n">
        <x:f>G221*F221</x:f>
        <x:v>2011.2066</x:v>
      </x:c>
      <x:c r="I221" s="22" t="str">
        <x:f>HYPERLINK("https://etp-aktiv.ru/catalog/materialy/rezino-tekhnicheskie-izdeliya/2000002457-U117/","Открыть позицию")</x:f>
        <x:v>Открыть позицию</x:v>
      </x:c>
    </x:row>
    <x:row r="222" ht="28" customHeight="1">
      <x:c r="A222" s="16" t="str">
        <x:v>Приморская ГРЭС</x:v>
      </x:c>
      <x:c r="B222" s="16" t="str">
        <x:v>2000002479-U117</x:v>
      </x:c>
      <x:c r="C222" s="16" t="str">
        <x:v>РЕМЕНЬ КЛИНОВОЙ А-2120</x:v>
      </x:c>
      <x:c r="D222" s="16" t="str">
        <x:v>Резино-технические изделия прочие</x:v>
      </x:c>
      <x:c r="E222" s="16" t="str">
        <x:v>ШТ</x:v>
      </x:c>
      <x:c r="F222" s="21" t="n">
        <x:v>20</x:v>
      </x:c>
      <x:c r="G222" s="17" t="n">
        <x:v>80.6908</x:v>
      </x:c>
      <x:c r="H222" s="17" t="n">
        <x:f>G222*F222</x:f>
        <x:v>1613.8159999999998</x:v>
      </x:c>
      <x:c r="I222" s="22" t="str">
        <x:f>HYPERLINK("https://etp-aktiv.ru/catalog/materialy/rezino-tekhnicheskie-izdeliya/2000002479-U117/","Открыть позицию")</x:f>
        <x:v>Открыть позицию</x:v>
      </x:c>
    </x:row>
    <x:row r="223" ht="28" customHeight="1">
      <x:c r="A223" s="16" t="str">
        <x:v>Приморская ГРЭС</x:v>
      </x:c>
      <x:c r="B223" s="16" t="str">
        <x:v>2000127679-U117</x:v>
      </x:c>
      <x:c r="C223" s="16" t="str">
        <x:v>РЕМЕНЬ КЛИНОВОЙ А-750</x:v>
      </x:c>
      <x:c r="D223" s="16" t="str">
        <x:v>Резино-технические изделия прочие</x:v>
      </x:c>
      <x:c r="E223" s="16" t="str">
        <x:v>ШТ</x:v>
      </x:c>
      <x:c r="F223" s="21" t="n">
        <x:v>1</x:v>
      </x:c>
      <x:c r="G223" s="17" t="n">
        <x:v>30.6952</x:v>
      </x:c>
      <x:c r="H223" s="17" t="n">
        <x:f>G223*F223</x:f>
        <x:v>30.6952</x:v>
      </x:c>
      <x:c r="I223" s="22" t="str">
        <x:f>HYPERLINK("https://etp-aktiv.ru/catalog/materialy/rezino-tekhnicheskie-izdeliya/2000127679-U117/","Открыть позицию")</x:f>
        <x:v>Открыть позицию</x:v>
      </x:c>
    </x:row>
    <x:row r="224" ht="28" customHeight="1">
      <x:c r="A224" s="16" t="str">
        <x:v>Приморская ГРЭС</x:v>
      </x:c>
      <x:c r="B224" s="16" t="str">
        <x:v>2000001659-U117</x:v>
      </x:c>
      <x:c r="C224" s="16" t="str">
        <x:v>РЕМЕНЬ КЛИНОВОЙ А-850</x:v>
      </x:c>
      <x:c r="D224" s="16" t="str">
        <x:v>Резино-технические изделия прочие</x:v>
      </x:c>
      <x:c r="E224" s="16" t="str">
        <x:v>ШТ</x:v>
      </x:c>
      <x:c r="F224" s="21" t="n">
        <x:v>10</x:v>
      </x:c>
      <x:c r="G224" s="17" t="n">
        <x:v>38.5642</x:v>
      </x:c>
      <x:c r="H224" s="17" t="n">
        <x:f>G224*F224</x:f>
        <x:v>385.642</x:v>
      </x:c>
      <x:c r="I224" s="22" t="str">
        <x:f>HYPERLINK("https://etp-aktiv.ru/catalog/materialy/rezino-tekhnicheskie-izdeliya/2000001659-U117/","Открыть позицию")</x:f>
        <x:v>Открыть позицию</x:v>
      </x:c>
    </x:row>
    <x:row r="225" ht="28" customHeight="1">
      <x:c r="A225" s="16" t="str">
        <x:v>Приморская ГРЭС</x:v>
      </x:c>
      <x:c r="B225" s="16" t="str">
        <x:v>2000001516-U117</x:v>
      </x:c>
      <x:c r="C225" s="16" t="str">
        <x:v>РЕМЕНЬ КЛИНОВОЙ А-950</x:v>
      </x:c>
      <x:c r="D225" s="16" t="str">
        <x:v>Резино-технические изделия прочие</x:v>
      </x:c>
      <x:c r="E225" s="16" t="str">
        <x:v>ШТ</x:v>
      </x:c>
      <x:c r="F225" s="21" t="n">
        <x:v>5</x:v>
      </x:c>
      <x:c r="G225" s="17" t="n">
        <x:v>47.336</x:v>
      </x:c>
      <x:c r="H225" s="17" t="n">
        <x:f>G225*F225</x:f>
        <x:v>236.68</x:v>
      </x:c>
      <x:c r="I225" s="22" t="str">
        <x:f>HYPERLINK("https://etp-aktiv.ru/catalog/materialy/rezino-tekhnicheskie-izdeliya/2000001516-U117/","Открыть позицию")</x:f>
        <x:v>Открыть позицию</x:v>
      </x:c>
    </x:row>
    <x:row r="226" ht="28" customHeight="1">
      <x:c r="A226" s="16" t="str">
        <x:v>Приморская ГРЭС</x:v>
      </x:c>
      <x:c r="B226" s="16" t="str">
        <x:v>2000003057-U117</x:v>
      </x:c>
      <x:c r="C226" s="16" t="str">
        <x:v>РЕМЕНЬ КЛИНОВОЙ В(Б)-1200</x:v>
      </x:c>
      <x:c r="D226" s="16" t="str">
        <x:v>Резино-технические изделия прочие</x:v>
      </x:c>
      <x:c r="E226" s="16" t="str">
        <x:v>ШТ</x:v>
      </x:c>
      <x:c r="F226" s="21" t="n">
        <x:v>1</x:v>
      </x:c>
      <x:c r="G226" s="17" t="n">
        <x:v>68.991</x:v>
      </x:c>
      <x:c r="H226" s="17" t="n">
        <x:f>G226*F226</x:f>
        <x:v>68.991</x:v>
      </x:c>
      <x:c r="I226" s="22" t="str">
        <x:f>HYPERLINK("https://etp-aktiv.ru/catalog/materialy/rezino-tekhnicheskie-izdeliya/2000003057-U117/","Открыть позицию")</x:f>
        <x:v>Открыть позицию</x:v>
      </x:c>
    </x:row>
    <x:row r="227" ht="28" customHeight="1">
      <x:c r="A227" s="16" t="str">
        <x:v>Приморская ГРЭС</x:v>
      </x:c>
      <x:c r="B227" s="16" t="str">
        <x:v>2000003059-U117</x:v>
      </x:c>
      <x:c r="C227" s="16" t="str">
        <x:v>РЕМЕНЬ КЛИНОВОЙ В(Б)-1250</x:v>
      </x:c>
      <x:c r="D227" s="16" t="str">
        <x:v>Резино-технические изделия прочие</x:v>
      </x:c>
      <x:c r="E227" s="16" t="str">
        <x:v>ШТ</x:v>
      </x:c>
      <x:c r="F227" s="21" t="n">
        <x:v>3</x:v>
      </x:c>
      <x:c r="G227" s="17" t="n">
        <x:v>52.155</x:v>
      </x:c>
      <x:c r="H227" s="17" t="n">
        <x:f>G227*F227</x:f>
        <x:v>156.465</x:v>
      </x:c>
      <x:c r="I227" s="22" t="str">
        <x:f>HYPERLINK("https://etp-aktiv.ru/catalog/materialy/rezino-tekhnicheskie-izdeliya/2000003059-U117/","Открыть позицию")</x:f>
        <x:v>Открыть позицию</x:v>
      </x:c>
    </x:row>
    <x:row r="228" ht="28" customHeight="1">
      <x:c r="A228" s="16" t="str">
        <x:v>Приморская ГРЭС</x:v>
      </x:c>
      <x:c r="B228" s="16" t="str">
        <x:v>2000002969-U117</x:v>
      </x:c>
      <x:c r="C228" s="16" t="str">
        <x:v>РЕМЕНЬ КЛИНОВОЙ В(Б)-1400</x:v>
      </x:c>
      <x:c r="D228" s="16" t="str">
        <x:v>Резино-технические изделия прочие</x:v>
      </x:c>
      <x:c r="E228" s="16" t="str">
        <x:v>ШТ</x:v>
      </x:c>
      <x:c r="F228" s="21" t="n">
        <x:v>24</x:v>
      </x:c>
      <x:c r="G228" s="17" t="n">
        <x:v>86.7542</x:v>
      </x:c>
      <x:c r="H228" s="17" t="n">
        <x:f>G228*F228</x:f>
        <x:v>2082.1008</x:v>
      </x:c>
      <x:c r="I228" s="22" t="str">
        <x:f>HYPERLINK("https://etp-aktiv.ru/catalog/materialy/rezino-tekhnicheskie-izdeliya/2000002969-U117/","Открыть позицию")</x:f>
        <x:v>Открыть позицию</x:v>
      </x:c>
    </x:row>
    <x:row r="229" ht="28" customHeight="1">
      <x:c r="A229" s="16" t="str">
        <x:v>Приморская ГРЭС</x:v>
      </x:c>
      <x:c r="B229" s="16" t="str">
        <x:v>2000004215-U117</x:v>
      </x:c>
      <x:c r="C229" s="16" t="str">
        <x:v>РЕМЕНЬ КЛИНОВОЙ В(Б)-3150</x:v>
      </x:c>
      <x:c r="D229" s="16" t="str">
        <x:v>Резино-технические изделия прочие</x:v>
      </x:c>
      <x:c r="E229" s="16" t="str">
        <x:v>ШТ</x:v>
      </x:c>
      <x:c r="F229" s="21" t="n">
        <x:v>57</x:v>
      </x:c>
      <x:c r="G229" s="17" t="n">
        <x:v>230.0066</x:v>
      </x:c>
      <x:c r="H229" s="17" t="n">
        <x:f>G229*F229</x:f>
        <x:v>13110.376199999999</x:v>
      </x:c>
      <x:c r="I229" s="22" t="str">
        <x:f>HYPERLINK("https://etp-aktiv.ru/catalog/materialy/rezino-tekhnicheskie-izdeliya/2000004215-U117/","Открыть позицию")</x:f>
        <x:v>Открыть позицию</x:v>
      </x:c>
    </x:row>
    <x:row r="230" ht="28" customHeight="1">
      <x:c r="A230" s="16" t="str">
        <x:v>Приморская ГРЭС</x:v>
      </x:c>
      <x:c r="B230" s="16" t="str">
        <x:v>2000004569-U117</x:v>
      </x:c>
      <x:c r="C230" s="16" t="str">
        <x:v>РЕМЕНЬ КЛИНОВОЙ С(В)-3150</x:v>
      </x:c>
      <x:c r="D230" s="16" t="str">
        <x:v>Резино-технические изделия прочие</x:v>
      </x:c>
      <x:c r="E230" s="16" t="str">
        <x:v>ШТ</x:v>
      </x:c>
      <x:c r="F230" s="21" t="n">
        <x:v>25</x:v>
      </x:c>
      <x:c r="G230" s="17" t="n">
        <x:v>394.9018</x:v>
      </x:c>
      <x:c r="H230" s="17" t="n">
        <x:f>G230*F230</x:f>
        <x:v>9872.545</x:v>
      </x:c>
      <x:c r="I230" s="22" t="str">
        <x:f>HYPERLINK("https://etp-aktiv.ru/catalog/materialy/rezino-tekhnicheskie-izdeliya/2000004569-U117/","Открыть позицию")</x:f>
        <x:v>Открыть позицию</x:v>
      </x:c>
    </x:row>
    <x:row r="231" ht="28" customHeight="1">
      <x:c r="A231" s="16" t="str">
        <x:v>Приморская ГРЭС</x:v>
      </x:c>
      <x:c r="B231" s="16" t="str">
        <x:v>2000549012-U117</x:v>
      </x:c>
      <x:c r="C231" s="16" t="str">
        <x:v>РУБЕРОИД РКП-350 1*15М</x:v>
      </x:c>
      <x:c r="D231" s="16" t="str">
        <x:v>Теплоизоляция</x:v>
      </x:c>
      <x:c r="E231" s="16" t="str">
        <x:v>ШТ</x:v>
      </x:c>
      <x:c r="F231" s="21" t="n">
        <x:v>3</x:v>
      </x:c>
      <x:c r="G231" s="17" t="n">
        <x:v>695.4</x:v>
      </x:c>
      <x:c r="H231" s="17" t="n">
        <x:f>G231*F231</x:f>
        <x:v>2086.2</x:v>
      </x:c>
      <x:c r="I231" s="22" t="str">
        <x:f>HYPERLINK("https://etp-aktiv.ru/catalog/materialy/teploizolyaciya/2000549012-U117/","Открыть позицию")</x:f>
        <x:v>Открыть позицию</x:v>
      </x:c>
    </x:row>
    <x:row r="232" ht="28" customHeight="1">
      <x:c r="A232" s="16" t="str">
        <x:v>Приморская ГРЭС</x:v>
      </x:c>
      <x:c r="B232" s="16" t="str">
        <x:v>2000547175-U117</x:v>
      </x:c>
      <x:c r="C232" s="16" t="str">
        <x:v>РУКАВ В(II)-10-32-45 ГОСТ18698-79</x:v>
      </x:c>
      <x:c r="D232" s="16" t="str">
        <x:v>Резино-технические изделия прочие</x:v>
      </x:c>
      <x:c r="E232" s="16" t="str">
        <x:v>ПМ</x:v>
      </x:c>
      <x:c r="F232" s="21" t="n">
        <x:v>40</x:v>
      </x:c>
      <x:c r="G232" s="17" t="n">
        <x:v>262.3</x:v>
      </x:c>
      <x:c r="H232" s="17" t="n">
        <x:f>G232*F232</x:f>
        <x:v>10492</x:v>
      </x:c>
      <x:c r="I232" s="22" t="str">
        <x:f>HYPERLINK("https://etp-aktiv.ru/catalog/materialy/rezino-tekhnicheskie-izdeliya/2000547175-U117/","Открыть позицию")</x:f>
        <x:v>Открыть позицию</x:v>
      </x:c>
    </x:row>
    <x:row r="233" ht="28" customHeight="1">
      <x:c r="A233" s="16" t="str">
        <x:v>Приморская ГРЭС</x:v>
      </x:c>
      <x:c r="B233" s="16" t="str">
        <x:v>2000561812-U117</x:v>
      </x:c>
      <x:c r="C233" s="16" t="str">
        <x:v>РУКАВ В-2-150 4М-3 ГОСТ5398-76</x:v>
      </x:c>
      <x:c r="D233" s="16" t="str">
        <x:v>Резино-технические изделия проч специализирован и под заказ</x:v>
      </x:c>
      <x:c r="E233" s="16" t="str">
        <x:v>ШТ</x:v>
      </x:c>
      <x:c r="F233" s="21" t="n">
        <x:v>4</x:v>
      </x:c>
      <x:c r="G233" s="17" t="n">
        <x:v>8758.197</x:v>
      </x:c>
      <x:c r="H233" s="17" t="n">
        <x:f>G233*F233</x:f>
        <x:v>35032.788</x:v>
      </x:c>
      <x:c r="I233" s="22" t="str">
        <x:f>HYPERLINK("https://etp-aktiv.ru/catalog/materialy/rezino-tekhnicheskie-izdeliya/2000561812-U117/","Открыть позицию")</x:f>
        <x:v>Открыть позицию</x:v>
      </x:c>
    </x:row>
    <x:row r="234" ht="28" customHeight="1">
      <x:c r="A234" s="16" t="str">
        <x:v>Приморская ГРЭС</x:v>
      </x:c>
      <x:c r="B234" s="16" t="str">
        <x:v>2000547229-U117</x:v>
      </x:c>
      <x:c r="C234" s="16" t="str">
        <x:v>РУКАВ ВГ-32-6,3 ТУ38-105998-91</x:v>
      </x:c>
      <x:c r="D234" s="16" t="str">
        <x:v>Резино-технические изделия прочие</x:v>
      </x:c>
      <x:c r="E234" s="16" t="str">
        <x:v>М</x:v>
      </x:c>
      <x:c r="F234" s="21" t="n">
        <x:v>37</x:v>
      </x:c>
      <x:c r="G234" s="17" t="n">
        <x:v>244.32940000000002</x:v>
      </x:c>
      <x:c r="H234" s="17" t="n">
        <x:f>G234*F234</x:f>
        <x:v>9040.187800000002</x:v>
      </x:c>
      <x:c r="I234" s="22" t="str">
        <x:f>HYPERLINK("https://etp-aktiv.ru/catalog/materialy/rezino-tekhnicheskie-izdeliya/2000547229-U117/","Открыть позицию")</x:f>
        <x:v>Открыть позицию</x:v>
      </x:c>
    </x:row>
    <x:row r="235" ht="28" customHeight="1">
      <x:c r="A235" s="16" t="str">
        <x:v>Приморская ГРЭС</x:v>
      </x:c>
      <x:c r="B235" s="16" t="str">
        <x:v>2000473134-U117</x:v>
      </x:c>
      <x:c r="C235" s="16" t="str">
        <x:v>РУКАВ ДЮРИТОВЫЙ 40У D100 P0,3 ТУ0056016</x:v>
      </x:c>
      <x:c r="D235" s="16" t="str">
        <x:v>Резино-технические изделия прочие</x:v>
      </x:c>
      <x:c r="E235" s="16" t="str">
        <x:v>ПМ</x:v>
      </x:c>
      <x:c r="F235" s="21" t="n">
        <x:v>25</x:v>
      </x:c>
      <x:c r="G235" s="17" t="n">
        <x:v>3513.5512</x:v>
      </x:c>
      <x:c r="H235" s="17" t="n">
        <x:f>G235*F235</x:f>
        <x:v>87838.78</x:v>
      </x:c>
      <x:c r="I235" s="22" t="str">
        <x:f>HYPERLINK("https://etp-aktiv.ru/catalog/materialy/rezino-tekhnicheskie-izdeliya/2000473134-U117/","Открыть позицию")</x:f>
        <x:v>Открыть позицию</x:v>
      </x:c>
    </x:row>
    <x:row r="236" ht="28" customHeight="1">
      <x:c r="A236" s="16" t="str">
        <x:v>Приморская ГРЭС</x:v>
      </x:c>
      <x:c r="B236" s="16" t="str">
        <x:v>2000469559-U117</x:v>
      </x:c>
      <x:c r="C236" s="16" t="str">
        <x:v>РУКАВ ДЮРИТОВЫЙ 40У D125 P3 ТУ0056016-87</x:v>
      </x:c>
      <x:c r="D236" s="16" t="str">
        <x:v>Резино-технические изделия прочие</x:v>
      </x:c>
      <x:c r="E236" s="16" t="str">
        <x:v>ПМ</x:v>
      </x:c>
      <x:c r="F236" s="21" t="n">
        <x:v>9</x:v>
      </x:c>
      <x:c r="G236" s="17" t="n">
        <x:v>1364.7774000000002</x:v>
      </x:c>
      <x:c r="H236" s="17" t="n">
        <x:f>G236*F236</x:f>
        <x:v>12282.996600000002</x:v>
      </x:c>
      <x:c r="I236" s="22" t="str">
        <x:f>HYPERLINK("https://etp-aktiv.ru/catalog/materialy/rezino-tekhnicheskie-izdeliya/2000469559-U117/","Открыть позицию")</x:f>
        <x:v>Открыть позицию</x:v>
      </x:c>
    </x:row>
    <x:row r="237" ht="28" customHeight="1">
      <x:c r="A237" s="16" t="str">
        <x:v>Приморская ГРЭС</x:v>
      </x:c>
      <x:c r="B237" s="16" t="str">
        <x:v>2000006448-U117</x:v>
      </x:c>
      <x:c r="C237" s="16" t="str">
        <x:v>РУКАВ ДЮРИТОВЫЙ D42 P13 ТУ0056016-87</x:v>
      </x:c>
      <x:c r="D237" s="16" t="str">
        <x:v>Резино-технические изделия проч специализирован и под заказ</x:v>
      </x:c>
      <x:c r="E237" s="16" t="str">
        <x:v>ПМ</x:v>
      </x:c>
      <x:c r="F237" s="21" t="n">
        <x:v>15</x:v>
      </x:c>
      <x:c r="G237" s="17" t="n">
        <x:v>327.3382</x:v>
      </x:c>
      <x:c r="H237" s="17" t="n">
        <x:f>G237*F237</x:f>
        <x:v>4910.072999999999</x:v>
      </x:c>
      <x:c r="I237" s="22" t="str">
        <x:f>HYPERLINK("https://etp-aktiv.ru/catalog/materialy/rezino-tekhnicheskie-izdeliya/2000006448-U117/","Открыть позицию")</x:f>
        <x:v>Открыть позицию</x:v>
      </x:c>
    </x:row>
    <x:row r="238" ht="28" customHeight="1">
      <x:c r="A238" s="16" t="str">
        <x:v>Приморская ГРЭС</x:v>
      </x:c>
      <x:c r="B238" s="16" t="str">
        <x:v>2000006594-U117</x:v>
      </x:c>
      <x:c r="C238" s="16" t="str">
        <x:v>РУКАВ ДЮРИТОВЫЙ D58 P7 ТУ0056016-87</x:v>
      </x:c>
      <x:c r="D238" s="16" t="str">
        <x:v>Резино-технические изделия прочие</x:v>
      </x:c>
      <x:c r="E238" s="16" t="str">
        <x:v>ПМ</x:v>
      </x:c>
      <x:c r="F238" s="21" t="n">
        <x:v>4</x:v>
      </x:c>
      <x:c r="G238" s="17" t="n">
        <x:v>593.4934000000001</x:v>
      </x:c>
      <x:c r="H238" s="17" t="n">
        <x:f>G238*F238</x:f>
        <x:v>2373.9736000000003</x:v>
      </x:c>
      <x:c r="I238" s="22" t="str">
        <x:f>HYPERLINK("https://etp-aktiv.ru/catalog/materialy/rezino-tekhnicheskie-izdeliya/2000006594-U117/","Открыть позицию")</x:f>
        <x:v>Открыть позицию</x:v>
      </x:c>
    </x:row>
    <x:row r="239" ht="28" customHeight="1">
      <x:c r="A239" s="16" t="str">
        <x:v>Приморская ГРЭС</x:v>
      </x:c>
      <x:c r="B239" s="16" t="str">
        <x:v>2000006696-U117</x:v>
      </x:c>
      <x:c r="C239" s="16" t="str">
        <x:v>РУКАВ ДЮРИТОВЫЙ D70 P3 ТУ0056016-87</x:v>
      </x:c>
      <x:c r="D239" s="16" t="str">
        <x:v>Резино-технические изделия прочие</x:v>
      </x:c>
      <x:c r="E239" s="16" t="str">
        <x:v>ПМ</x:v>
      </x:c>
      <x:c r="F239" s="21" t="n">
        <x:v>1</x:v>
      </x:c>
      <x:c r="G239" s="17" t="n">
        <x:v>545.4376</x:v>
      </x:c>
      <x:c r="H239" s="17" t="n">
        <x:f>G239*F239</x:f>
        <x:v>545.4376</x:v>
      </x:c>
      <x:c r="I239" s="22" t="str">
        <x:f>HYPERLINK("https://etp-aktiv.ru/catalog/materialy/rezino-tekhnicheskie-izdeliya/2000006696-U117/","Открыть позицию")</x:f>
        <x:v>Открыть позицию</x:v>
      </x:c>
    </x:row>
    <x:row r="240" ht="28" customHeight="1">
      <x:c r="A240" s="16" t="str">
        <x:v>Приморская ГРЭС</x:v>
      </x:c>
      <x:c r="B240" s="16" t="str">
        <x:v>2000002368-U117</x:v>
      </x:c>
      <x:c r="C240" s="16" t="str">
        <x:v>РУКАВ С НИТ УСИЛ D12 P16 ГОСТ10362-76</x:v>
      </x:c>
      <x:c r="D240" s="16" t="str">
        <x:v>Резино-технические изделия прочие</x:v>
      </x:c>
      <x:c r="E240" s="16" t="str">
        <x:v>ПМ</x:v>
      </x:c>
      <x:c r="F240" s="26" t="n">
        <x:v>0.3</x:v>
      </x:c>
      <x:c r="G240" s="17" t="n">
        <x:v>98.21</x:v>
      </x:c>
      <x:c r="H240" s="17" t="n">
        <x:f>G240*F240</x:f>
        <x:v>29.462999999999997</x:v>
      </x:c>
      <x:c r="I240" s="22" t="str">
        <x:f>HYPERLINK("https://etp-aktiv.ru/catalog/materialy/rezino-tekhnicheskie-izdeliya/2000002368-U117/","Открыть позицию")</x:f>
        <x:v>Открыть позицию</x:v>
      </x:c>
    </x:row>
    <x:row r="241" ht="28" customHeight="1">
      <x:c r="A241" s="16" t="str">
        <x:v>Приморская ГРЭС</x:v>
      </x:c>
      <x:c r="B241" s="16" t="str">
        <x:v>2000154872-U117</x:v>
      </x:c>
      <x:c r="C241" s="16" t="str">
        <x:v>САЛЬНИК 1,2-100*125 ГОСТ8752-79</x:v>
      </x:c>
      <x:c r="D241" s="16" t="str">
        <x:v>Резино-технические изделия прочие</x:v>
      </x:c>
      <x:c r="E241" s="16" t="str">
        <x:v>ШТ</x:v>
      </x:c>
      <x:c r="F241" s="21" t="n">
        <x:v>3</x:v>
      </x:c>
      <x:c r="G241" s="17" t="n">
        <x:v>281.0392</x:v>
      </x:c>
      <x:c r="H241" s="17" t="n">
        <x:f>G241*F241</x:f>
        <x:v>843.1176</x:v>
      </x:c>
      <x:c r="I241" s="22" t="str">
        <x:f>HYPERLINK("https://etp-aktiv.ru/catalog/materialy/rezino-tekhnicheskie-izdeliya/2000154872-U117/","Открыть позицию")</x:f>
        <x:v>Открыть позицию</x:v>
      </x:c>
    </x:row>
    <x:row r="242" ht="28" customHeight="1">
      <x:c r="A242" s="16" t="str">
        <x:v>Приморская ГРЭС</x:v>
      </x:c>
      <x:c r="B242" s="16" t="str">
        <x:v>2000842924-U117</x:v>
      </x:c>
      <x:c r="C242" s="16" t="str">
        <x:v>СМЕСЬ РЕЗИН 11273 ТР2219.40-006.48991997</x:v>
      </x:c>
      <x:c r="D242" s="16" t="str">
        <x:v>Резино-технические изделия прочие</x:v>
      </x:c>
      <x:c r="E242" s="16" t="str">
        <x:v>КГ</x:v>
      </x:c>
      <x:c r="F242" s="21" t="n">
        <x:v>130</x:v>
      </x:c>
      <x:c r="G242" s="17" t="n">
        <x:v>293.99559999999997</x:v>
      </x:c>
      <x:c r="H242" s="17" t="n">
        <x:f>G242*F242</x:f>
        <x:v>38219.42799999999</x:v>
      </x:c>
      <x:c r="I242" s="22" t="str">
        <x:f>HYPERLINK("https://etp-aktiv.ru/catalog/materialy/rezino-tekhnicheskie-izdeliya/2000842924-U117/","Открыть позицию")</x:f>
        <x:v>Открыть позицию</x:v>
      </x:c>
    </x:row>
    <x:row r="243" ht="28" customHeight="1">
      <x:c r="A243" s="16" t="str">
        <x:v>Приморская ГРЭС</x:v>
      </x:c>
      <x:c r="B243" s="16" t="str">
        <x:v>2000454348-U117</x:v>
      </x:c>
      <x:c r="C243" s="16" t="str">
        <x:v>СМЕСЬ РЕЗИНОВАЯ 1,5-2ММ ГХ-2566 ТУ381051</x:v>
      </x:c>
      <x:c r="D243" s="16" t="str">
        <x:v>Резино-технические изделия прочие</x:v>
      </x:c>
      <x:c r="E243" s="16" t="str">
        <x:v>КГ</x:v>
      </x:c>
      <x:c r="F243" s="21" t="n">
        <x:v>10</x:v>
      </x:c>
      <x:c r="G243" s="17" t="n">
        <x:v>230.0066</x:v>
      </x:c>
      <x:c r="H243" s="17" t="n">
        <x:f>G243*F243</x:f>
        <x:v>2300.066</x:v>
      </x:c>
      <x:c r="I243" s="22" t="str">
        <x:f>HYPERLINK("https://etp-aktiv.ru/catalog/materialy/rezino-tekhnicheskie-izdeliya/2000454348-U117/","Открыть позицию")</x:f>
        <x:v>Открыть позицию</x:v>
      </x:c>
    </x:row>
    <x:row r="244" ht="28" customHeight="1">
      <x:c r="A244" s="16" t="str">
        <x:v>Приморская ГРЭС</x:v>
      </x:c>
      <x:c r="B244" s="16" t="str">
        <x:v>2000302611-U117</x:v>
      </x:c>
      <x:c r="C244" s="16" t="str">
        <x:v>СМЕСЬ РЕЗИНОВАЯ В-14 МБС ГОСТ7338-90</x:v>
      </x:c>
      <x:c r="D244" s="16" t="str">
        <x:v>Резино-технические изделия прочие</x:v>
      </x:c>
      <x:c r="E244" s="16" t="str">
        <x:v>КГ</x:v>
      </x:c>
      <x:c r="F244" s="21" t="n">
        <x:v>5</x:v>
      </x:c>
      <x:c r="G244" s="17" t="n">
        <x:v>230.0066</x:v>
      </x:c>
      <x:c r="H244" s="17" t="n">
        <x:f>G244*F244</x:f>
        <x:v>1150.033</x:v>
      </x:c>
      <x:c r="I244" s="22" t="str">
        <x:f>HYPERLINK("https://etp-aktiv.ru/catalog/materialy/rezino-tekhnicheskie-izdeliya/2000302611-U117/","Открыть позицию")</x:f>
        <x:v>Открыть позицию</x:v>
      </x:c>
    </x:row>
    <x:row r="245" ht="28" customHeight="1">
      <x:c r="A245" s="16" t="str">
        <x:v>Приморская ГРЭС</x:v>
      </x:c>
      <x:c r="B245" s="16" t="str">
        <x:v>2000546946-U117</x:v>
      </x:c>
      <x:c r="C245" s="16" t="str">
        <x:v>ТЕХПЛАСТ 6*1000*1000 1Н-I-МБС-С ГОСТ7338</x:v>
      </x:c>
      <x:c r="D245" s="16" t="str">
        <x:v>Резино-технические изделия прочие</x:v>
      </x:c>
      <x:c r="E245" s="16" t="str">
        <x:v>КГ</x:v>
      </x:c>
      <x:c r="F245" s="30" t="n">
        <x:v>19.8</x:v>
      </x:c>
      <x:c r="G245" s="17" t="n">
        <x:v>155.001</x:v>
      </x:c>
      <x:c r="H245" s="17" t="n">
        <x:f>G245*F245</x:f>
        <x:v>3069.0198</x:v>
      </x:c>
      <x:c r="I245" s="22" t="str">
        <x:f>HYPERLINK("https://etp-aktiv.ru/catalog/materialy/rezino-tekhnicheskie-izdeliya/2000546946-U117/","Открыть позицию")</x:f>
        <x:v>Открыть позицию</x:v>
      </x:c>
    </x:row>
    <x:row r="246" ht="28" customHeight="1">
      <x:c r="A246" s="16" t="str">
        <x:v>Приморская ГРЭС</x:v>
      </x:c>
      <x:c r="B246" s="16" t="str">
        <x:v>2000546979-U117</x:v>
      </x:c>
      <x:c r="C246" s="16" t="str">
        <x:v>ТЕХПЛАСТИНА 1 2Н-1 МБС-С ГОСТ7338-90</x:v>
      </x:c>
      <x:c r="D246" s="16" t="str">
        <x:v>Резино-технические изделия прочие</x:v>
      </x:c>
      <x:c r="E246" s="16" t="str">
        <x:v>КГ</x:v>
      </x:c>
      <x:c r="F246" s="26" t="n">
        <x:v>0.9</x:v>
      </x:c>
      <x:c r="G246" s="17" t="n">
        <x:v>222.04</x:v>
      </x:c>
      <x:c r="H246" s="17" t="n">
        <x:f>G246*F246</x:f>
        <x:v>199.83599999999998</x:v>
      </x:c>
      <x:c r="I246" s="22" t="str">
        <x:f>HYPERLINK("https://etp-aktiv.ru/catalog/materialy/rezino-tekhnicheskie-izdeliya/2000546979-U117/","Открыть позицию")</x:f>
        <x:v>Открыть позицию</x:v>
      </x:c>
    </x:row>
    <x:row r="247" ht="28" customHeight="1">
      <x:c r="A247" s="16" t="str">
        <x:v>Приморская ГРЭС</x:v>
      </x:c>
      <x:c r="B247" s="16" t="str">
        <x:v>2000003220-U117</x:v>
      </x:c>
      <x:c r="C247" s="16" t="str">
        <x:v>ТЕХПЛАСТИНА 10*1000*1000 МБС-М ГОСТ7338</x:v>
      </x:c>
      <x:c r="D247" s="16" t="str">
        <x:v>Резино-технические изделия прочие</x:v>
      </x:c>
      <x:c r="E247" s="16" t="str">
        <x:v>КГ</x:v>
      </x:c>
      <x:c r="F247" s="30" t="n">
        <x:v>40.08</x:v>
      </x:c>
      <x:c r="G247" s="17" t="n">
        <x:v>192.4062</x:v>
      </x:c>
      <x:c r="H247" s="17" t="n">
        <x:f>G247*F247</x:f>
        <x:v>7711.640496</x:v>
      </x:c>
      <x:c r="I247" s="22" t="str">
        <x:f>HYPERLINK("https://etp-aktiv.ru/catalog/materialy/rezino-tekhnicheskie-izdeliya/2000003220-U117/","Открыть позицию")</x:f>
        <x:v>Открыть позицию</x:v>
      </x:c>
    </x:row>
    <x:row r="248" ht="28" customHeight="1">
      <x:c r="A248" s="16" t="str">
        <x:v>Приморская ГРЭС</x:v>
      </x:c>
      <x:c r="B248" s="16" t="str">
        <x:v>2000337440-U117</x:v>
      </x:c>
      <x:c r="C248" s="16" t="str">
        <x:v>ТЕХПЛАСТИНА 10*650*650 МБС ТУ38.105867</x:v>
      </x:c>
      <x:c r="D248" s="16" t="str">
        <x:v>Резино-технические изделия прочие</x:v>
      </x:c>
      <x:c r="E248" s="16" t="str">
        <x:v>КГ</x:v>
      </x:c>
      <x:c r="F248" s="30" t="n">
        <x:v>8.9</x:v>
      </x:c>
      <x:c r="G248" s="17" t="n">
        <x:v>190.0028</x:v>
      </x:c>
      <x:c r="H248" s="17" t="n">
        <x:f>G248*F248</x:f>
        <x:v>1691.02492</x:v>
      </x:c>
      <x:c r="I248" s="22" t="str">
        <x:f>HYPERLINK("https://etp-aktiv.ru/catalog/materialy/rezino-tekhnicheskie-izdeliya/2000337440-U117/","Открыть позицию")</x:f>
        <x:v>Открыть позицию</x:v>
      </x:c>
    </x:row>
    <x:row r="249" ht="28" customHeight="1">
      <x:c r="A249" s="16" t="str">
        <x:v>Приморская ГРЭС</x:v>
      </x:c>
      <x:c r="B249" s="16" t="str">
        <x:v>2000218945-U117</x:v>
      </x:c>
      <x:c r="C249" s="16" t="str">
        <x:v>ТЕХПЛАСТИНА 10*900*1100ММ МБС-С ГОСТ7338</x:v>
      </x:c>
      <x:c r="D249" s="16" t="str">
        <x:v>Резино-технические изделия прочие</x:v>
      </x:c>
      <x:c r="E249" s="16" t="str">
        <x:v>КГ</x:v>
      </x:c>
      <x:c r="F249" s="30" t="n">
        <x:v>8.35</x:v>
      </x:c>
      <x:c r="G249" s="17" t="n">
        <x:v>124.2448</x:v>
      </x:c>
      <x:c r="H249" s="17" t="n">
        <x:f>G249*F249</x:f>
        <x:v>1037.44408</x:v>
      </x:c>
      <x:c r="I249" s="22" t="str">
        <x:f>HYPERLINK("https://etp-aktiv.ru/catalog/materialy/rezino-tekhnicheskie-izdeliya/2000218945-U117/","Открыть позицию")</x:f>
        <x:v>Открыть позицию</x:v>
      </x:c>
    </x:row>
    <x:row r="250" ht="28" customHeight="1">
      <x:c r="A250" s="16" t="str">
        <x:v>Приморская ГРЭС</x:v>
      </x:c>
      <x:c r="B250" s="16" t="str">
        <x:v>2000141949-U117</x:v>
      </x:c>
      <x:c r="C250" s="16" t="str">
        <x:v>ТЕХПЛАСТИНА 10ММ ТКМЩ ГОСТ7338-90</x:v>
      </x:c>
      <x:c r="D250" s="16" t="str">
        <x:v>Резино-технические изделия прочие</x:v>
      </x:c>
      <x:c r="E250" s="16" t="str">
        <x:v>КГ</x:v>
      </x:c>
      <x:c r="F250" s="30" t="n">
        <x:v>8.5</x:v>
      </x:c>
      <x:c r="G250" s="17" t="n">
        <x:v>68.0882</x:v>
      </x:c>
      <x:c r="H250" s="17" t="n">
        <x:f>G250*F250</x:f>
        <x:v>578.7497</x:v>
      </x:c>
      <x:c r="I250" s="22" t="str">
        <x:f>HYPERLINK("https://etp-aktiv.ru/catalog/materialy/rezino-tekhnicheskie-izdeliya/2000141949-U117/","Открыть позицию")</x:f>
        <x:v>Открыть позицию</x:v>
      </x:c>
    </x:row>
    <x:row r="251" ht="28" customHeight="1">
      <x:c r="A251" s="16" t="str">
        <x:v>Приморская ГРЭС</x:v>
      </x:c>
      <x:c r="B251" s="16" t="str">
        <x:v>2000179567-U117</x:v>
      </x:c>
      <x:c r="C251" s="16" t="str">
        <x:v>ТЕХПЛАСТИНА 10ММ ТМКЩ ГОСТ7338-90</x:v>
      </x:c>
      <x:c r="D251" s="16" t="str">
        <x:v>Резино-технические изделия прочие</x:v>
      </x:c>
      <x:c r="E251" s="16" t="str">
        <x:v>КГ</x:v>
      </x:c>
      <x:c r="F251" s="21" t="n">
        <x:v>157</x:v>
      </x:c>
      <x:c r="G251" s="17" t="n">
        <x:v>64.6478</x:v>
      </x:c>
      <x:c r="H251" s="17" t="n">
        <x:f>G251*F251</x:f>
        <x:v>10149.704600000001</x:v>
      </x:c>
      <x:c r="I251" s="22" t="str">
        <x:f>HYPERLINK("https://etp-aktiv.ru/catalog/materialy/rezino-tekhnicheskie-izdeliya/2000179567-U117/","Открыть позицию")</x:f>
        <x:v>Открыть позицию</x:v>
      </x:c>
    </x:row>
    <x:row r="252" ht="28" customHeight="1">
      <x:c r="A252" s="16" t="str">
        <x:v>Приморская ГРЭС</x:v>
      </x:c>
      <x:c r="B252" s="16" t="str">
        <x:v>2000073729-U117</x:v>
      </x:c>
      <x:c r="C252" s="16" t="str">
        <x:v>ТЕХПЛАСТИНА 12*1000*1000 МБС-М ГОСТ7338</x:v>
      </x:c>
      <x:c r="D252" s="16" t="str">
        <x:v>Резино-технические изделия прочие</x:v>
      </x:c>
      <x:c r="E252" s="16" t="str">
        <x:v>КГ</x:v>
      </x:c>
      <x:c r="F252" s="30" t="n">
        <x:v>329.15</x:v>
      </x:c>
      <x:c r="G252" s="17" t="n">
        <x:v>152.5</x:v>
      </x:c>
      <x:c r="H252" s="17" t="n">
        <x:f>G252*F252</x:f>
        <x:v>50195.375</x:v>
      </x:c>
      <x:c r="I252" s="22" t="str">
        <x:f>HYPERLINK("https://etp-aktiv.ru/catalog/materialy/rezino-tekhnicheskie-izdeliya/2000073729-U117/","Открыть позицию")</x:f>
        <x:v>Открыть позицию</x:v>
      </x:c>
    </x:row>
    <x:row r="253" ht="28" customHeight="1">
      <x:c r="A253" s="16" t="str">
        <x:v>Приморская ГРЭС</x:v>
      </x:c>
      <x:c r="B253" s="16" t="str">
        <x:v>2000547050-U117</x:v>
      </x:c>
      <x:c r="C253" s="16" t="str">
        <x:v>ТЕХПЛАСТИНА 15 1Ф-I-ТМКЩ-С ГОСТ7338-90</x:v>
      </x:c>
      <x:c r="D253" s="16" t="str">
        <x:v>Резино-технические изделия прочие</x:v>
      </x:c>
      <x:c r="E253" s="16" t="str">
        <x:v>КГ</x:v>
      </x:c>
      <x:c r="F253" s="30" t="n">
        <x:v>399.95</x:v>
      </x:c>
      <x:c r="G253" s="17" t="n">
        <x:v>175.4848</x:v>
      </x:c>
      <x:c r="H253" s="17" t="n">
        <x:f>G253*F253</x:f>
        <x:v>70185.14576</x:v>
      </x:c>
      <x:c r="I253" s="22" t="str">
        <x:f>HYPERLINK("https://etp-aktiv.ru/catalog/materialy/rezino-tekhnicheskie-izdeliya/2000547050-U117/","Открыть позицию")</x:f>
        <x:v>Открыть позицию</x:v>
      </x:c>
    </x:row>
    <x:row r="254" ht="28" customHeight="1">
      <x:c r="A254" s="16" t="str">
        <x:v>Приморская ГРЭС</x:v>
      </x:c>
      <x:c r="B254" s="16" t="str">
        <x:v>2000146430-U117</x:v>
      </x:c>
      <x:c r="C254" s="16" t="str">
        <x:v>ТЕХПЛАСТИНА 2ММ ТМКЩ ГОСТ7338-90</x:v>
      </x:c>
      <x:c r="D254" s="16" t="str">
        <x:v>Резино-технические изделия прочие</x:v>
      </x:c>
      <x:c r="E254" s="16" t="str">
        <x:v>КГ</x:v>
      </x:c>
      <x:c r="F254" s="30" t="n">
        <x:v>75.25</x:v>
      </x:c>
      <x:c r="G254" s="17" t="n">
        <x:v>94.1108</x:v>
      </x:c>
      <x:c r="H254" s="17" t="n">
        <x:f>G254*F254</x:f>
        <x:v>7081.8377</x:v>
      </x:c>
      <x:c r="I254" s="22" t="str">
        <x:f>HYPERLINK("https://etp-aktiv.ru/catalog/materialy/rezino-tekhnicheskie-izdeliya/2000146430-U117/","Открыть позицию")</x:f>
        <x:v>Открыть позицию</x:v>
      </x:c>
    </x:row>
    <x:row r="255" ht="28" customHeight="1">
      <x:c r="A255" s="16" t="str">
        <x:v>Приморская ГРЭС</x:v>
      </x:c>
      <x:c r="B255" s="16" t="str">
        <x:v>2000185728-U117</x:v>
      </x:c>
      <x:c r="C255" s="16" t="str">
        <x:v>ТЕХПЛАСТИНА 4ММ ТМКЩ ГОСТ7338-90</x:v>
      </x:c>
      <x:c r="D255" s="16" t="str">
        <x:v>Резино-технические изделия прочие</x:v>
      </x:c>
      <x:c r="E255" s="16" t="str">
        <x:v>КГ</x:v>
      </x:c>
      <x:c r="F255" s="30" t="n">
        <x:v>199.18</x:v>
      </x:c>
      <x:c r="G255" s="17" t="n">
        <x:v>121.49980000000001</x:v>
      </x:c>
      <x:c r="H255" s="17" t="n">
        <x:f>G255*F255</x:f>
        <x:v>24200.330164000003</x:v>
      </x:c>
      <x:c r="I255" s="22" t="str">
        <x:f>HYPERLINK("https://etp-aktiv.ru/catalog/materialy/rezino-tekhnicheskie-izdeliya/2000185728-U117/","Открыть позицию")</x:f>
        <x:v>Открыть позицию</x:v>
      </x:c>
    </x:row>
    <x:row r="256" ht="28" customHeight="1">
      <x:c r="A256" s="16" t="str">
        <x:v>Приморская ГРЭС</x:v>
      </x:c>
      <x:c r="B256" s="16" t="str">
        <x:v>2000546986-U117</x:v>
      </x:c>
      <x:c r="C256" s="16" t="str">
        <x:v>ТЕХПЛАСТИНА 5 2Н-I-МБС-С ГОСТ7338-90</x:v>
      </x:c>
      <x:c r="D256" s="16" t="str">
        <x:v>Резино-технические изделия прочие</x:v>
      </x:c>
      <x:c r="E256" s="16" t="str">
        <x:v>КГ</x:v>
      </x:c>
      <x:c r="F256" s="26" t="n">
        <x:v>0.85</x:v>
      </x:c>
      <x:c r="G256" s="17" t="n">
        <x:v>175.72879999999998</x:v>
      </x:c>
      <x:c r="H256" s="17" t="n">
        <x:f>G256*F256</x:f>
        <x:v>149.36947999999998</x:v>
      </x:c>
      <x:c r="I256" s="22" t="str">
        <x:f>HYPERLINK("https://etp-aktiv.ru/catalog/materialy/rezino-tekhnicheskie-izdeliya/2000546986-U117/","Открыть позицию")</x:f>
        <x:v>Открыть позицию</x:v>
      </x:c>
    </x:row>
    <x:row r="257" ht="28" customHeight="1">
      <x:c r="A257" s="16" t="str">
        <x:v>Приморская ГРЭС</x:v>
      </x:c>
      <x:c r="B257" s="16" t="str">
        <x:v>2000442694-U117</x:v>
      </x:c>
      <x:c r="C257" s="16" t="str">
        <x:v>ТЕХПЛАСТИНА 5*1200 ТМКЩ-С ГОСТ7338-90</x:v>
      </x:c>
      <x:c r="D257" s="16" t="str">
        <x:v>Резино-технические изделия прочие</x:v>
      </x:c>
      <x:c r="E257" s="16" t="str">
        <x:v>КГ</x:v>
      </x:c>
      <x:c r="F257" s="26" t="n">
        <x:v>0.5</x:v>
      </x:c>
      <x:c r="G257" s="17" t="n">
        <x:v>110.776</x:v>
      </x:c>
      <x:c r="H257" s="17" t="n">
        <x:f>G257*F257</x:f>
        <x:v>55.388</x:v>
      </x:c>
      <x:c r="I257" s="22" t="str">
        <x:f>HYPERLINK("https://etp-aktiv.ru/catalog/materialy/rezino-tekhnicheskie-izdeliya/2000442694-U117/","Открыть позицию")</x:f>
        <x:v>Открыть позицию</x:v>
      </x:c>
    </x:row>
    <x:row r="258" ht="28" customHeight="1">
      <x:c r="A258" s="16" t="str">
        <x:v>Приморская ГРЭС</x:v>
      </x:c>
      <x:c r="B258" s="16" t="str">
        <x:v>2000546987-U117</x:v>
      </x:c>
      <x:c r="C258" s="16" t="str">
        <x:v>ТЕХПЛАСТИНА 6 2Н-I-МБС-С ГОСТ7338-90</x:v>
      </x:c>
      <x:c r="D258" s="16" t="str">
        <x:v>Резино-технические изделия прочие</x:v>
      </x:c>
      <x:c r="E258" s="16" t="str">
        <x:v>КГ</x:v>
      </x:c>
      <x:c r="F258" s="30" t="n">
        <x:v>54.1</x:v>
      </x:c>
      <x:c r="G258" s="17" t="n">
        <x:v>169.0066</x:v>
      </x:c>
      <x:c r="H258" s="17" t="n">
        <x:f>G258*F258</x:f>
        <x:v>9143.25706</x:v>
      </x:c>
      <x:c r="I258" s="22" t="str">
        <x:f>HYPERLINK("https://etp-aktiv.ru/catalog/materialy/rezino-tekhnicheskie-izdeliya/2000546987-U117/","Открыть позицию")</x:f>
        <x:v>Открыть позицию</x:v>
      </x:c>
    </x:row>
    <x:row r="259" ht="28" customHeight="1">
      <x:c r="A259" s="16" t="str">
        <x:v>Приморская ГРЭС</x:v>
      </x:c>
      <x:c r="B259" s="16" t="str">
        <x:v>2000004039-U117</x:v>
      </x:c>
      <x:c r="C259" s="16" t="str">
        <x:v>ТЕХПЛАСТИНА 8*1000*1000 МБС-С ГОСТ7338</x:v>
      </x:c>
      <x:c r="D259" s="16" t="str">
        <x:v>Резино-технические изделия прочие</x:v>
      </x:c>
      <x:c r="E259" s="16" t="str">
        <x:v>КГ</x:v>
      </x:c>
      <x:c r="F259" s="30" t="n">
        <x:v>9.4</x:v>
      </x:c>
      <x:c r="G259" s="17" t="n">
        <x:v>155.001</x:v>
      </x:c>
      <x:c r="H259" s="17" t="n">
        <x:f>G259*F259</x:f>
        <x:v>1457.0094000000001</x:v>
      </x:c>
      <x:c r="I259" s="22" t="str">
        <x:f>HYPERLINK("https://etp-aktiv.ru/catalog/materialy/rezino-tekhnicheskie-izdeliya/2000004039-U117/","Открыть позицию")</x:f>
        <x:v>Открыть позицию</x:v>
      </x:c>
    </x:row>
    <x:row r="260" ht="28" customHeight="1">
      <x:c r="A260" s="16" t="str">
        <x:v>Приморская ГРЭС</x:v>
      </x:c>
      <x:c r="B260" s="16" t="str">
        <x:v>2000547014-U117</x:v>
      </x:c>
      <x:c r="C260" s="16" t="str">
        <x:v>ТЕХПЛАСТИНА 8*720*720 УМ ГОСТ12855-77</x:v>
      </x:c>
      <x:c r="D260" s="16" t="str">
        <x:v>Резино-технические изделия прочие</x:v>
      </x:c>
      <x:c r="E260" s="16" t="str">
        <x:v>КГ</x:v>
      </x:c>
      <x:c r="F260" s="30" t="n">
        <x:v>4.6</x:v>
      </x:c>
      <x:c r="G260" s="17" t="n">
        <x:v>309.51399999999995</x:v>
      </x:c>
      <x:c r="H260" s="17" t="n">
        <x:f>G260*F260</x:f>
        <x:v>1423.7643999999996</x:v>
      </x:c>
      <x:c r="I260" s="22" t="str">
        <x:f>HYPERLINK("https://etp-aktiv.ru/catalog/materialy/rezino-tekhnicheskie-izdeliya/2000547014-U117/","Открыть позицию")</x:f>
        <x:v>Открыть позицию</x:v>
      </x:c>
    </x:row>
    <x:row r="261" ht="28" customHeight="1">
      <x:c r="A261" s="16" t="str">
        <x:v>Приморская ГРЭС</x:v>
      </x:c>
      <x:c r="B261" s="16" t="str">
        <x:v>2000042349-U117</x:v>
      </x:c>
      <x:c r="C261" s="16" t="str">
        <x:v>ТЕХПЛАСТИНА ТМКЩ-С 10*1000*1000 ГОСТ7338</x:v>
      </x:c>
      <x:c r="D261" s="16" t="str">
        <x:v>Резино-технические изделия прочие</x:v>
      </x:c>
      <x:c r="E261" s="16" t="str">
        <x:v>КГ</x:v>
      </x:c>
      <x:c r="F261" s="30" t="n">
        <x:v>34.02</x:v>
      </x:c>
      <x:c r="G261" s="17" t="n">
        <x:v>78.3972</x:v>
      </x:c>
      <x:c r="H261" s="17" t="n">
        <x:f>G261*F261</x:f>
        <x:v>2667.072744</x:v>
      </x:c>
      <x:c r="I261" s="22" t="str">
        <x:f>HYPERLINK("https://etp-aktiv.ru/catalog/materialy/rezino-tekhnicheskie-izdeliya/2000042349-U117/","Открыть позицию")</x:f>
        <x:v>Открыть позицию</x:v>
      </x:c>
    </x:row>
    <x:row r="262" ht="28" customHeight="1">
      <x:c r="A262" s="16" t="str">
        <x:v>Приморская ГРЭС</x:v>
      </x:c>
      <x:c r="B262" s="16" t="str">
        <x:v>2000073725-U117</x:v>
      </x:c>
      <x:c r="C262" s="16" t="str">
        <x:v>ТЕХПЛАСТИНА ТМКЩ-С 12*1000*1000 ГОСТ7338</x:v>
      </x:c>
      <x:c r="D262" s="16" t="str">
        <x:v>Резино-технические изделия прочие</x:v>
      </x:c>
      <x:c r="E262" s="16" t="str">
        <x:v>КГ</x:v>
      </x:c>
      <x:c r="F262" s="30" t="n">
        <x:v>48.15</x:v>
      </x:c>
      <x:c r="G262" s="17" t="n">
        <x:v>70.1744</x:v>
      </x:c>
      <x:c r="H262" s="17" t="n">
        <x:f>G262*F262</x:f>
        <x:v>3378.8973600000004</x:v>
      </x:c>
      <x:c r="I262" s="22" t="str">
        <x:f>HYPERLINK("https://etp-aktiv.ru/catalog/materialy/rezino-tekhnicheskie-izdeliya/2000073725-U117/","Открыть позицию")</x:f>
        <x:v>Открыть позицию</x:v>
      </x:c>
    </x:row>
    <x:row r="263" ht="28" customHeight="1">
      <x:c r="A263" s="16" t="str">
        <x:v>Приморская ГРЭС</x:v>
      </x:c>
      <x:c r="B263" s="16" t="str">
        <x:v>2000327707-U117</x:v>
      </x:c>
      <x:c r="C263" s="16" t="str">
        <x:v>ШЛАНГ РЕЗИНОВЫЙ 13*22*15 АВ-09</x:v>
      </x:c>
      <x:c r="D263" s="16" t="str">
        <x:v>Запасные части к автотранспортному оборудованию</x:v>
      </x:c>
      <x:c r="E263" s="16" t="str">
        <x:v>ШТ</x:v>
      </x:c>
      <x:c r="F263" s="21" t="n">
        <x:v>5</x:v>
      </x:c>
      <x:c r="G263" s="17" t="n">
        <x:v>9973.5</x:v>
      </x:c>
      <x:c r="H263" s="17" t="n">
        <x:f>G263*F263</x:f>
        <x:v>49867.5</x:v>
      </x:c>
      <x:c r="I263" s="22" t="str">
        <x:f>HYPERLINK("https://etp-aktiv.ru/catalog/materialy/zapasnye-chasti-k-avtotransportnomu-oborudovaniyu/2000327707-U117/","Открыть позицию")</x:f>
        <x:v>Открыть позицию</x:v>
      </x:c>
    </x:row>
    <x:row r="264" ht="28" customHeight="1">
      <x:c r="A264" s="16" t="str">
        <x:v>Приморская ГРЭС</x:v>
      </x:c>
      <x:c r="B264" s="16" t="str">
        <x:v>2000172709-U117</x:v>
      </x:c>
      <x:c r="C264" s="16" t="str">
        <x:v>ШНУР 1,2С D12ММ ГОСТ6467-79</x:v>
      </x:c>
      <x:c r="D264" s="16" t="str">
        <x:v>Резино-технические изделия прочие</x:v>
      </x:c>
      <x:c r="E264" s="16" t="str">
        <x:v>КГ</x:v>
      </x:c>
      <x:c r="F264" s="30" t="n">
        <x:v>3.05</x:v>
      </x:c>
      <x:c r="G264" s="17" t="n">
        <x:v>737.4656</x:v>
      </x:c>
      <x:c r="H264" s="17" t="n">
        <x:f>G264*F264</x:f>
        <x:v>2249.27008</x:v>
      </x:c>
      <x:c r="I264" s="22" t="str">
        <x:f>HYPERLINK("https://etp-aktiv.ru/catalog/materialy/rezino-tekhnicheskie-izdeliya/2000172709-U117/","Открыть позицию")</x:f>
        <x:v>Открыть позицию</x:v>
      </x:c>
    </x:row>
    <x:row r="265" ht="28" customHeight="1">
      <x:c r="A265" s="16" t="str">
        <x:v>Приморская ГРЭС</x:v>
      </x:c>
      <x:c r="B265" s="16" t="str">
        <x:v>2000239406-U117</x:v>
      </x:c>
      <x:c r="C265" s="16" t="str">
        <x:v>ШНУР 1,2С D6,3ММ ГОСТ6467-79</x:v>
      </x:c>
      <x:c r="D265" s="16" t="str">
        <x:v>Резино-технические изделия прочие</x:v>
      </x:c>
      <x:c r="E265" s="16" t="str">
        <x:v>КГ</x:v>
      </x:c>
      <x:c r="F265" s="21" t="n">
        <x:v>11</x:v>
      </x:c>
      <x:c r="G265" s="17" t="n">
        <x:v>258.4936</x:v>
      </x:c>
      <x:c r="H265" s="17" t="n">
        <x:f>G265*F265</x:f>
        <x:v>2843.4296000000004</x:v>
      </x:c>
      <x:c r="I265" s="22" t="str">
        <x:f>HYPERLINK("https://etp-aktiv.ru/catalog/materialy/rezino-tekhnicheskie-izdeliya/2000239406-U117/","Открыть позицию")</x:f>
        <x:v>Открыть позицию</x:v>
      </x:c>
    </x:row>
    <x:row r="266" ht="28" customHeight="1">
      <x:c r="A266" s="16" t="str">
        <x:v>Приморская ГРЭС</x:v>
      </x:c>
      <x:c r="B266" s="16" t="str">
        <x:v>2000149393-U117</x:v>
      </x:c>
      <x:c r="C266" s="16" t="str">
        <x:v>ШНУР 1,2С D7ММ ГОСТ6467-79</x:v>
      </x:c>
      <x:c r="D266" s="16" t="str">
        <x:v>Резино-технические изделия прочие</x:v>
      </x:c>
      <x:c r="E266" s="16" t="str">
        <x:v>КГ</x:v>
      </x:c>
      <x:c r="F266" s="30" t="n">
        <x:v>7.9</x:v>
      </x:c>
      <x:c r="G266" s="17" t="n">
        <x:v>218.868</x:v>
      </x:c>
      <x:c r="H266" s="17" t="n">
        <x:f>G266*F266</x:f>
        <x:v>1729.0572</x:v>
      </x:c>
      <x:c r="I266" s="22" t="str">
        <x:f>HYPERLINK("https://etp-aktiv.ru/catalog/materialy/rezino-tekhnicheskie-izdeliya/2000149393-U117/","Открыть позицию")</x:f>
        <x:v>Открыть позицию</x:v>
      </x:c>
    </x:row>
    <x:row r="267" ht="28" customHeight="1">
      <x:c r="A267" s="16" t="str">
        <x:v>Приморская ГРЭС</x:v>
      </x:c>
      <x:c r="B267" s="16" t="str">
        <x:v>2000219507-U117</x:v>
      </x:c>
      <x:c r="C267" s="16" t="str">
        <x:v>ШНУР 1,4С D5ММ ГОСТ6467-79</x:v>
      </x:c>
      <x:c r="D267" s="16" t="str">
        <x:v>Резино-технические изделия прочие</x:v>
      </x:c>
      <x:c r="E267" s="16" t="str">
        <x:v>КГ</x:v>
      </x:c>
      <x:c r="F267" s="30" t="n">
        <x:v>9.5</x:v>
      </x:c>
      <x:c r="G267" s="17" t="n">
        <x:v>236.4726</x:v>
      </x:c>
      <x:c r="H267" s="17" t="n">
        <x:f>G267*F267</x:f>
        <x:v>2246.4897</x:v>
      </x:c>
      <x:c r="I267" s="22" t="str">
        <x:f>HYPERLINK("https://etp-aktiv.ru/catalog/materialy/rezino-tekhnicheskie-izdeliya/2000219507-U117/","Открыть позицию")</x:f>
        <x:v>Открыть позицию</x:v>
      </x:c>
    </x:row>
    <x:row r="268" ht="28" customHeight="1">
      <x:c r="A268" s="16" t="str">
        <x:v>Приморская ГРЭС</x:v>
      </x:c>
      <x:c r="B268" s="16" t="str">
        <x:v>2000648332-U117</x:v>
      </x:c>
      <x:c r="C268" s="16" t="str">
        <x:v>ШНУР 1-2С 3,2 ГОСТ6467-79</x:v>
      </x:c>
      <x:c r="D268" s="16" t="str">
        <x:v>Резино-технические изделия прочие</x:v>
      </x:c>
      <x:c r="E268" s="16" t="str">
        <x:v>КГ</x:v>
      </x:c>
      <x:c r="F268" s="21" t="n">
        <x:v>18</x:v>
      </x:c>
      <x:c r="G268" s="17" t="n">
        <x:v>155.001</x:v>
      </x:c>
      <x:c r="H268" s="17" t="n">
        <x:f>G268*F268</x:f>
        <x:v>2790.018</x:v>
      </x:c>
      <x:c r="I268" s="22" t="str">
        <x:f>HYPERLINK("https://etp-aktiv.ru/catalog/materialy/rezino-tekhnicheskie-izdeliya/2000648332-U117/","Открыть позицию")</x:f>
        <x:v>Открыть позицию</x:v>
      </x:c>
    </x:row>
    <x:row r="269" ht="28" customHeight="1">
      <x:c r="A269" s="16" t="str">
        <x:v>Приморская ГРЭС</x:v>
      </x:c>
      <x:c r="B269" s="16" t="str">
        <x:v>2000628528-U117</x:v>
      </x:c>
      <x:c r="C269" s="16" t="str">
        <x:v>ШНУР 1-2С 5 ГОСТ6467-79</x:v>
      </x:c>
      <x:c r="D269" s="16" t="str">
        <x:v>Резино-технические изделия прочие</x:v>
      </x:c>
      <x:c r="E269" s="16" t="str">
        <x:v>КГ</x:v>
      </x:c>
      <x:c r="F269" s="30" t="n">
        <x:v>16.6</x:v>
      </x:c>
      <x:c r="G269" s="17" t="n">
        <x:v>267.19219999999996</x:v>
      </x:c>
      <x:c r="H269" s="17" t="n">
        <x:f>G269*F269</x:f>
        <x:v>4435.39052</x:v>
      </x:c>
      <x:c r="I269" s="22" t="str">
        <x:f>HYPERLINK("https://etp-aktiv.ru/catalog/materialy/rezino-tekhnicheskie-izdeliya/2000628528-U117/","Открыть позицию")</x:f>
        <x:v>Открыть позицию</x:v>
      </x:c>
    </x:row>
    <x:row r="270" ht="28" customHeight="1">
      <x:c r="A270" s="16" t="str">
        <x:v>Приморская ГРЭС</x:v>
      </x:c>
      <x:c r="B270" s="16" t="str">
        <x:v>2000590457-U117</x:v>
      </x:c>
      <x:c r="C270" s="16" t="str">
        <x:v>ШНУР 12*12ММ 5Р-129 ТУ38.105.1165</x:v>
      </x:c>
      <x:c r="D270" s="16" t="str">
        <x:v>Резино-технические изделия прочие</x:v>
      </x:c>
      <x:c r="E270" s="16" t="str">
        <x:v>КГ</x:v>
      </x:c>
      <x:c r="F270" s="30" t="n">
        <x:v>27.6</x:v>
      </x:c>
      <x:c r="G270" s="17" t="n">
        <x:v>1043.8442</x:v>
      </x:c>
      <x:c r="H270" s="17" t="n">
        <x:f>G270*F270</x:f>
        <x:v>28810.09992</x:v>
      </x:c>
      <x:c r="I270" s="22" t="str">
        <x:f>HYPERLINK("https://etp-aktiv.ru/catalog/materialy/rezino-tekhnicheskie-izdeliya/2000590457-U117/","Открыть позицию")</x:f>
        <x:v>Открыть позицию</x:v>
      </x:c>
    </x:row>
    <x:row r="271" ht="28" customHeight="1">
      <x:c r="A271" s="16" t="str">
        <x:v>Приморская ГРЭС</x:v>
      </x:c>
      <x:c r="B271" s="16" t="str">
        <x:v>2000546916-U117</x:v>
      </x:c>
      <x:c r="C271" s="16" t="str">
        <x:v>ШНУР 14ММ 51-2062 ТУ.38105108-76</x:v>
      </x:c>
      <x:c r="D271" s="16" t="str">
        <x:v>Резино-технические изделия прочие</x:v>
      </x:c>
      <x:c r="E271" s="16" t="str">
        <x:v>КГ</x:v>
      </x:c>
      <x:c r="F271" s="30" t="n">
        <x:v>31.08</x:v>
      </x:c>
      <x:c r="G271" s="17" t="n">
        <x:v>319.4692</x:v>
      </x:c>
      <x:c r="H271" s="17" t="n">
        <x:f>G271*F271</x:f>
        <x:v>9929.102735999999</x:v>
      </x:c>
      <x:c r="I271" s="22" t="str">
        <x:f>HYPERLINK("https://etp-aktiv.ru/catalog/materialy/rezino-tekhnicheskie-izdeliya/2000546916-U117/","Открыть позицию")</x:f>
        <x:v>Открыть позицию</x:v>
      </x:c>
    </x:row>
    <x:row r="272" ht="28" customHeight="1">
      <x:c r="A272" s="16" t="str">
        <x:v>Приморская ГРЭС</x:v>
      </x:c>
      <x:c r="B272" s="16" t="str">
        <x:v>2000546901-U117</x:v>
      </x:c>
      <x:c r="C272" s="16" t="str">
        <x:v>ШНУР 16 1,2С ГОСТ6467-79</x:v>
      </x:c>
      <x:c r="D272" s="16" t="str">
        <x:v>Резино-технические изделия прочие</x:v>
      </x:c>
      <x:c r="E272" s="16" t="str">
        <x:v>КГ</x:v>
      </x:c>
      <x:c r="F272" s="30" t="n">
        <x:v>83.06</x:v>
      </x:c>
      <x:c r="G272" s="17" t="n">
        <x:v>131.4794</x:v>
      </x:c>
      <x:c r="H272" s="17" t="n">
        <x:f>G272*F272</x:f>
        <x:v>10920.678964</x:v>
      </x:c>
      <x:c r="I272" s="22" t="str">
        <x:f>HYPERLINK("https://etp-aktiv.ru/catalog/materialy/rezino-tekhnicheskie-izdeliya/2000546901-U117/","Открыть позицию")</x:f>
        <x:v>Открыть позицию</x:v>
      </x:c>
    </x:row>
    <x:row r="273" ht="28" customHeight="1">
      <x:c r="A273" s="16" t="str">
        <x:v>Приморская ГРЭС</x:v>
      </x:c>
      <x:c r="B273" s="16" t="str">
        <x:v>2000648345-U117</x:v>
      </x:c>
      <x:c r="C273" s="16" t="str">
        <x:v>ШНУР 2-4С 5 ГОСТ6467-79</x:v>
      </x:c>
      <x:c r="D273" s="16" t="str">
        <x:v>Резино-технические изделия прочие</x:v>
      </x:c>
      <x:c r="E273" s="16" t="str">
        <x:v>КГ</x:v>
      </x:c>
      <x:c r="F273" s="30" t="n">
        <x:v>8.6</x:v>
      </x:c>
      <x:c r="G273" s="17" t="n">
        <x:v>399.0986</x:v>
      </x:c>
      <x:c r="H273" s="17" t="n">
        <x:f>G273*F273</x:f>
        <x:v>3432.2479599999997</x:v>
      </x:c>
      <x:c r="I273" s="22" t="str">
        <x:f>HYPERLINK("https://etp-aktiv.ru/catalog/materialy/rezino-tekhnicheskie-izdeliya/2000648345-U117/","Открыть позицию")</x:f>
        <x:v>Открыть позицию</x:v>
      </x:c>
    </x:row>
    <x:row r="274" ht="28" customHeight="1">
      <x:c r="A274" s="16" t="str">
        <x:v>Приморская ГРЭС</x:v>
      </x:c>
      <x:c r="B274" s="16" t="str">
        <x:v>2000771211-U117</x:v>
      </x:c>
      <x:c r="C274" s="16" t="str">
        <x:v>ШНУР 2С 10*20 ГОСТ6467-79</x:v>
      </x:c>
      <x:c r="D274" s="16" t="str">
        <x:v>Резино-технические изделия прочие</x:v>
      </x:c>
      <x:c r="E274" s="16" t="str">
        <x:v>КГ</x:v>
      </x:c>
      <x:c r="F274" s="30" t="n">
        <x:v>56.6</x:v>
      </x:c>
      <x:c r="G274" s="17" t="n">
        <x:v>93.6106</x:v>
      </x:c>
      <x:c r="H274" s="17" t="n">
        <x:f>G274*F274</x:f>
        <x:v>5298.359960000001</x:v>
      </x:c>
      <x:c r="I274" s="22" t="str">
        <x:f>HYPERLINK("https://etp-aktiv.ru/catalog/materialy/rezino-tekhnicheskie-izdeliya/2000771211-U117/","Открыть позицию")</x:f>
        <x:v>Открыть позицию</x:v>
      </x:c>
    </x:row>
    <x:row r="275" ht="28" customHeight="1">
      <x:c r="A275" s="16" t="str">
        <x:v>Приморская ГРЭС</x:v>
      </x:c>
      <x:c r="B275" s="16" t="str">
        <x:v>2000150754-U117</x:v>
      </x:c>
      <x:c r="C275" s="16" t="str">
        <x:v>ШНУР 2С D25 ГОСТ6467-79</x:v>
      </x:c>
      <x:c r="D275" s="16" t="str">
        <x:v>Резино-технические изделия прочие</x:v>
      </x:c>
      <x:c r="E275" s="16" t="str">
        <x:v>КГ</x:v>
      </x:c>
      <x:c r="F275" s="30" t="n">
        <x:v>13.2</x:v>
      </x:c>
      <x:c r="G275" s="17" t="n">
        <x:v>192.8942</x:v>
      </x:c>
      <x:c r="H275" s="17" t="n">
        <x:f>G275*F275</x:f>
        <x:v>2546.2034400000002</x:v>
      </x:c>
      <x:c r="I275" s="22" t="str">
        <x:f>HYPERLINK("https://etp-aktiv.ru/catalog/materialy/rezino-tekhnicheskie-izdeliya/2000150754-U117/","Открыть позицию")</x:f>
        <x:v>Открыть позицию</x:v>
      </x:c>
    </x:row>
    <x:row r="276" ht="28" customHeight="1">
      <x:c r="A276" s="16" t="str">
        <x:v>Приморская ГРЭС</x:v>
      </x:c>
      <x:c r="B276" s="16" t="str">
        <x:v>2000752072-U117</x:v>
      </x:c>
      <x:c r="C276" s="16" t="str">
        <x:v>ШНУР 2С D2ММ ГОСТ6467-79</x:v>
      </x:c>
      <x:c r="D276" s="16" t="str">
        <x:v>Резино-технические изделия прочие</x:v>
      </x:c>
      <x:c r="E276" s="16" t="str">
        <x:v>КГ</x:v>
      </x:c>
      <x:c r="F276" s="30" t="n">
        <x:v>2.5</x:v>
      </x:c>
      <x:c r="G276" s="17" t="n">
        <x:v>175.375</x:v>
      </x:c>
      <x:c r="H276" s="17" t="n">
        <x:f>G276*F276</x:f>
        <x:v>438.4375</x:v>
      </x:c>
      <x:c r="I276" s="22" t="str">
        <x:f>HYPERLINK("https://etp-aktiv.ru/catalog/materialy/rezino-tekhnicheskie-izdeliya/2000752072-U117/","Открыть позицию")</x:f>
        <x:v>Открыть позицию</x:v>
      </x:c>
    </x:row>
    <x:row r="277" ht="28" customHeight="1">
      <x:c r="A277" s="16" t="str">
        <x:v>Приморская ГРЭС</x:v>
      </x:c>
      <x:c r="B277" s="16" t="str">
        <x:v>2000236238-U117</x:v>
      </x:c>
      <x:c r="C277" s="16" t="str">
        <x:v>ШНУР 4C D4ММ ГОСТ6467-79</x:v>
      </x:c>
      <x:c r="D277" s="16" t="str">
        <x:v>Резино-технические изделия прочие</x:v>
      </x:c>
      <x:c r="E277" s="16" t="str">
        <x:v>КГ</x:v>
      </x:c>
      <x:c r="F277" s="30" t="n">
        <x:v>30.9</x:v>
      </x:c>
      <x:c r="G277" s="17" t="n">
        <x:v>155.001</x:v>
      </x:c>
      <x:c r="H277" s="17" t="n">
        <x:f>G277*F277</x:f>
        <x:v>4789.5309</x:v>
      </x:c>
      <x:c r="I277" s="22" t="str">
        <x:f>HYPERLINK("https://etp-aktiv.ru/catalog/materialy/rezino-tekhnicheskie-izdeliya/2000236238-U117/","Открыть позицию")</x:f>
        <x:v>Открыть позицию</x:v>
      </x:c>
    </x:row>
    <x:row r="278" ht="28" customHeight="1">
      <x:c r="A278" s="16" t="str">
        <x:v>Приморская ГРЭС</x:v>
      </x:c>
      <x:c r="B278" s="16" t="str">
        <x:v>2000046180-U117</x:v>
      </x:c>
      <x:c r="C278" s="16" t="str">
        <x:v>ШНУР АСБЕСТ ШАОН 10ММ</x:v>
      </x:c>
      <x:c r="D278" s="16" t="str">
        <x:v>Асбо-технические изделия</x:v>
      </x:c>
      <x:c r="E278" s="16" t="str">
        <x:v>КГ</x:v>
      </x:c>
      <x:c r="F278" s="21" t="n">
        <x:v>9</x:v>
      </x:c>
      <x:c r="G278" s="17" t="n">
        <x:v>213.20719999999997</x:v>
      </x:c>
      <x:c r="H278" s="17" t="n">
        <x:f>G278*F278</x:f>
        <x:v>1918.8647999999998</x:v>
      </x:c>
      <x:c r="I278" s="22" t="str">
        <x:f>HYPERLINK("https://etp-aktiv.ru/catalog/materialy/asbo-tekhnicheskie-izdeliya/2000046180-U117/","Открыть позицию")</x:f>
        <x:v>Открыть позицию</x:v>
      </x:c>
    </x:row>
    <x:row r="279" ht="28" customHeight="1">
      <x:c r="A279" s="16" t="str">
        <x:v>Приморская ГРЭС</x:v>
      </x:c>
      <x:c r="B279" s="16" t="str">
        <x:v>2000046181-U117</x:v>
      </x:c>
      <x:c r="C279" s="16" t="str">
        <x:v>ШНУР АСБЕСТ ШАОН 12ММ</x:v>
      </x:c>
      <x:c r="D279" s="16" t="str">
        <x:v>Асбо-технические изделия</x:v>
      </x:c>
      <x:c r="E279" s="16" t="str">
        <x:v>КГ</x:v>
      </x:c>
      <x:c r="F279" s="30" t="n">
        <x:v>20.02</x:v>
      </x:c>
      <x:c r="G279" s="17" t="n">
        <x:v>194.38260000000002</x:v>
      </x:c>
      <x:c r="H279" s="17" t="n">
        <x:f>G279*F279</x:f>
        <x:v>3891.5396520000004</x:v>
      </x:c>
      <x:c r="I279" s="22" t="str">
        <x:f>HYPERLINK("https://etp-aktiv.ru/catalog/materialy/asbo-tekhnicheskie-izdeliya/2000046181-U117/","Открыть позицию")</x:f>
        <x:v>Открыть позицию</x:v>
      </x:c>
    </x:row>
    <x:row r="280" ht="28" customHeight="1">
      <x:c r="A280" s="16" t="str">
        <x:v>Приморская ГРЭС</x:v>
      </x:c>
      <x:c r="B280" s="16" t="str">
        <x:v>2000234594-U117</x:v>
      </x:c>
      <x:c r="C280" s="16" t="str">
        <x:v>ШНУР АСБЕСТ ШАОН 14ММ</x:v>
      </x:c>
      <x:c r="D280" s="16" t="str">
        <x:v>Асбо-технические изделия</x:v>
      </x:c>
      <x:c r="E280" s="16" t="str">
        <x:v>КГ</x:v>
      </x:c>
      <x:c r="F280" s="21" t="n">
        <x:v>20</x:v>
      </x:c>
      <x:c r="G280" s="17" t="n">
        <x:v>126.0382</x:v>
      </x:c>
      <x:c r="H280" s="17" t="n">
        <x:f>G280*F280</x:f>
        <x:v>2520.764</x:v>
      </x:c>
      <x:c r="I280" s="22" t="str">
        <x:f>HYPERLINK("https://etp-aktiv.ru/catalog/materialy/asbo-tekhnicheskie-izdeliya/2000234594-U117/","Открыть позицию")</x:f>
        <x:v>Открыть позицию</x:v>
      </x:c>
    </x:row>
    <x:row r="281" ht="28" customHeight="1">
      <x:c r="A281" s="16" t="str">
        <x:v>Приморская ГРЭС</x:v>
      </x:c>
      <x:c r="B281" s="16" t="str">
        <x:v>2000046195-U117</x:v>
      </x:c>
      <x:c r="C281" s="16" t="str">
        <x:v>ШНУР АСБЕСТ ШАОН 8ММ</x:v>
      </x:c>
      <x:c r="D281" s="16" t="str">
        <x:v>Асбо-технические изделия</x:v>
      </x:c>
      <x:c r="E281" s="16" t="str">
        <x:v>КГ</x:v>
      </x:c>
      <x:c r="F281" s="21" t="n">
        <x:v>20</x:v>
      </x:c>
      <x:c r="G281" s="17" t="n">
        <x:v>190.0028</x:v>
      </x:c>
      <x:c r="H281" s="17" t="n">
        <x:f>G281*F281</x:f>
        <x:v>3800.056</x:v>
      </x:c>
      <x:c r="I281" s="22" t="str">
        <x:f>HYPERLINK("https://etp-aktiv.ru/catalog/materialy/asbo-tekhnicheskie-izdeliya/2000046195-U117/","Открыть позицию")</x:f>
        <x:v>Открыть позицию</x:v>
      </x:c>
    </x:row>
    <x:row r="282" ht="28" customHeight="1">
      <x:c r="A282" s="16" t="str">
        <x:v>Приморская ГРЭС</x:v>
      </x:c>
      <x:c r="B282" s="16" t="str">
        <x:v>2000243320-U117</x:v>
      </x:c>
      <x:c r="C282" s="16" t="str">
        <x:v>ШНУР ВАКУУМНЫЙ D10ММ ТУ38-10554-70</x:v>
      </x:c>
      <x:c r="D282" s="16" t="str">
        <x:v>Резино-технические изделия прочие</x:v>
      </x:c>
      <x:c r="E282" s="16" t="str">
        <x:v>КГ</x:v>
      </x:c>
      <x:c r="F282" s="30" t="n">
        <x:v>5.15</x:v>
      </x:c>
      <x:c r="G282" s="17" t="n">
        <x:v>677.2951999999999</x:v>
      </x:c>
      <x:c r="H282" s="17" t="n">
        <x:f>G282*F282</x:f>
        <x:v>3488.07028</x:v>
      </x:c>
      <x:c r="I282" s="22" t="str">
        <x:f>HYPERLINK("https://etp-aktiv.ru/catalog/materialy/rezino-tekhnicheskie-izdeliya/2000243320-U117/","Открыть позицию")</x:f>
        <x:v>Открыть позицию</x:v>
      </x:c>
    </x:row>
    <x:row r="283" ht="28" customHeight="1">
      <x:c r="A283" s="16" t="str">
        <x:v>Приморская ГРЭС</x:v>
      </x:c>
      <x:c r="B283" s="16" t="str">
        <x:v>2000726751-U117</x:v>
      </x:c>
      <x:c r="C283" s="16" t="str">
        <x:v>ШНУР МИНЕРАЛОВАТНЫЙ ШМР-200-50-24</x:v>
      </x:c>
      <x:c r="D283" s="16" t="str">
        <x:v>Теплоизоляция</x:v>
      </x:c>
      <x:c r="E283" s="16" t="str">
        <x:v>М3</x:v>
      </x:c>
      <x:c r="F283" s="30" t="n">
        <x:v>1.95</x:v>
      </x:c>
      <x:c r="G283" s="17" t="n">
        <x:v>20854.68</x:v>
      </x:c>
      <x:c r="H283" s="17" t="n">
        <x:f>G283*F283</x:f>
        <x:v>40666.626</x:v>
      </x:c>
      <x:c r="I283" s="22" t="str">
        <x:f>HYPERLINK("https://etp-aktiv.ru/catalog/materialy/teploizolyaciya/2000726751-U117/","Открыть позицию")</x:f>
        <x:v>Открыть позицию</x:v>
      </x:c>
    </x:row>
    <x:row r="284" ht="28" customHeight="1">
      <x:c r="A284" s="16" t="str">
        <x:v>Приморская ГРЭС</x:v>
      </x:c>
      <x:c r="B284" s="16" t="str">
        <x:v>2000546758-U117</x:v>
      </x:c>
      <x:c r="C284" s="16" t="str">
        <x:v>ШНУР РЕЗ 1,2C 12 ГОСТ6467-79</x:v>
      </x:c>
      <x:c r="D284" s="16" t="str">
        <x:v>Резино-технические изделия прочие</x:v>
      </x:c>
      <x:c r="E284" s="16" t="str">
        <x:v>КГ</x:v>
      </x:c>
      <x:c r="F284" s="30" t="n">
        <x:v>3.1</x:v>
      </x:c>
      <x:c r="G284" s="17" t="n">
        <x:v>175.375</x:v>
      </x:c>
      <x:c r="H284" s="17" t="n">
        <x:f>G284*F284</x:f>
        <x:v>543.6625</x:v>
      </x:c>
      <x:c r="I284" s="22" t="str">
        <x:f>HYPERLINK("https://etp-aktiv.ru/catalog/materialy/rezino-tekhnicheskie-izdeliya/2000546758-U117/","Открыть позицию")</x:f>
        <x:v>Открыть позицию</x:v>
      </x:c>
    </x:row>
    <x:row r="285" ht="28" customHeight="1">
      <x:c r="A285" s="16" t="str">
        <x:v>Приморская ГРЭС</x:v>
      </x:c>
      <x:c r="B285" s="16" t="str">
        <x:v>2000546763-U117</x:v>
      </x:c>
      <x:c r="C285" s="16" t="str">
        <x:v>ШНУР РЕЗ 1,2C 5 ГОСТ6467-79</x:v>
      </x:c>
      <x:c r="D285" s="16" t="str">
        <x:v>Резино-технические изделия прочие</x:v>
      </x:c>
      <x:c r="E285" s="16" t="str">
        <x:v>КГ</x:v>
      </x:c>
      <x:c r="F285" s="30" t="n">
        <x:v>88.61</x:v>
      </x:c>
      <x:c r="G285" s="17" t="n">
        <x:v>244</x:v>
      </x:c>
      <x:c r="H285" s="17" t="n">
        <x:f>G285*F285</x:f>
        <x:v>21620.84</x:v>
      </x:c>
      <x:c r="I285" s="22" t="str">
        <x:f>HYPERLINK("https://etp-aktiv.ru/catalog/materialy/rezino-tekhnicheskie-izdeliya/2000546763-U117/","Открыть позицию")</x:f>
        <x:v>Открыть позицию</x:v>
      </x:c>
    </x:row>
    <x:row r="286" ht="28" customHeight="1">
      <x:c r="A286" s="16" t="str">
        <x:v>Приморская ГРЭС</x:v>
      </x:c>
      <x:c r="B286" s="16" t="str">
        <x:v>2000546764-U117</x:v>
      </x:c>
      <x:c r="C286" s="16" t="str">
        <x:v>ШНУР РЕЗ 1,2C 6 ГОСТ6467-79</x:v>
      </x:c>
      <x:c r="D286" s="16" t="str">
        <x:v>Резино-технические изделия прочие</x:v>
      </x:c>
      <x:c r="E286" s="16" t="str">
        <x:v>КГ</x:v>
      </x:c>
      <x:c r="F286" s="30" t="n">
        <x:v>51.2</x:v>
      </x:c>
      <x:c r="G286" s="17" t="n">
        <x:v>209.047</x:v>
      </x:c>
      <x:c r="H286" s="17" t="n">
        <x:f>G286*F286</x:f>
        <x:v>10703.206400000001</x:v>
      </x:c>
      <x:c r="I286" s="22" t="str">
        <x:f>HYPERLINK("https://etp-aktiv.ru/catalog/materialy/rezino-tekhnicheskie-izdeliya/2000546764-U117/","Открыть позицию")</x:f>
        <x:v>Открыть позицию</x:v>
      </x:c>
    </x:row>
    <x:row r="287" ht="28" customHeight="1">
      <x:c r="A287" s="16" t="str">
        <x:v>Приморская ГРЭС</x:v>
      </x:c>
      <x:c r="B287" s="16" t="str">
        <x:v>2000546766-U117</x:v>
      </x:c>
      <x:c r="C287" s="16" t="str">
        <x:v>ШНУР РЕЗ 1,2C 8 ГОСТ6467-79</x:v>
      </x:c>
      <x:c r="D287" s="16" t="str">
        <x:v>Резино-технические изделия прочие</x:v>
      </x:c>
      <x:c r="E287" s="16" t="str">
        <x:v>КГ</x:v>
      </x:c>
      <x:c r="F287" s="30" t="n">
        <x:v>1.85</x:v>
      </x:c>
      <x:c r="G287" s="17" t="n">
        <x:v>816.5948000000001</x:v>
      </x:c>
      <x:c r="H287" s="17" t="n">
        <x:f>G287*F287</x:f>
        <x:v>1510.7003800000002</x:v>
      </x:c>
      <x:c r="I287" s="22" t="str">
        <x:f>HYPERLINK("https://etp-aktiv.ru/catalog/materialy/rezino-tekhnicheskie-izdeliya/2000546766-U117/","Открыть позицию")</x:f>
        <x:v>Открыть позицию</x:v>
      </x:c>
    </x:row>
    <x:row r="288" ht="28" customHeight="1">
      <x:c r="A288" s="16" t="str">
        <x:v>Приморская ГРЭС</x:v>
      </x:c>
      <x:c r="B288" s="16" t="str">
        <x:v>2000546773-U117</x:v>
      </x:c>
      <x:c r="C288" s="16" t="str">
        <x:v>ШНУР РЕЗ 1,4C 6 ГОСТ6467-79</x:v>
      </x:c>
      <x:c r="D288" s="16" t="str">
        <x:v>Резино-технические изделия прочие</x:v>
      </x:c>
      <x:c r="E288" s="16" t="str">
        <x:v>КГ</x:v>
      </x:c>
      <x:c r="F288" s="30" t="n">
        <x:v>68.4</x:v>
      </x:c>
      <x:c r="G288" s="17" t="n">
        <x:v>155.001</x:v>
      </x:c>
      <x:c r="H288" s="17" t="n">
        <x:f>G288*F288</x:f>
        <x:v>10602.068400000002</x:v>
      </x:c>
      <x:c r="I288" s="22" t="str">
        <x:f>HYPERLINK("https://etp-aktiv.ru/catalog/materialy/rezino-tekhnicheskie-izdeliya/2000546773-U117/","Открыть позицию")</x:f>
        <x:v>Открыть позицию</x:v>
      </x:c>
    </x:row>
    <x:row r="289" ht="28" customHeight="1">
      <x:c r="A289" s="16" t="str">
        <x:v>Приморская ГРЭС</x:v>
      </x:c>
      <x:c r="B289" s="16" t="str">
        <x:v>2000546775-U117</x:v>
      </x:c>
      <x:c r="C289" s="16" t="str">
        <x:v>ШНУР РЕЗ 1,4C 8 ГОСТ6467-79</x:v>
      </x:c>
      <x:c r="D289" s="16" t="str">
        <x:v>Резино-технические изделия прочие</x:v>
      </x:c>
      <x:c r="E289" s="16" t="str">
        <x:v>КГ</x:v>
      </x:c>
      <x:c r="F289" s="30" t="n">
        <x:v>61.06</x:v>
      </x:c>
      <x:c r="G289" s="17" t="n">
        <x:v>204.47199999999998</x:v>
      </x:c>
      <x:c r="H289" s="17" t="n">
        <x:f>G289*F289</x:f>
        <x:v>12485.060319999999</x:v>
      </x:c>
      <x:c r="I289" s="22" t="str">
        <x:f>HYPERLINK("https://etp-aktiv.ru/catalog/materialy/rezino-tekhnicheskie-izdeliya/2000546775-U117/","Открыть позицию")</x:f>
        <x:v>Открыть позицию</x:v>
      </x:c>
    </x:row>
    <x:row r="290" ht="28" customHeight="1">
      <x:c r="A290" s="16" t="str">
        <x:v>Приморская ГРЭС</x:v>
      </x:c>
      <x:c r="B290" s="16" t="str">
        <x:v>2000546778-U117</x:v>
      </x:c>
      <x:c r="C290" s="16" t="str">
        <x:v>ШНУР РЕЗ 1,5C 50 ГОСТ6467-79</x:v>
      </x:c>
      <x:c r="D290" s="16" t="str">
        <x:v>Резино-технические изделия прочие</x:v>
      </x:c>
      <x:c r="E290" s="16" t="str">
        <x:v>КГ</x:v>
      </x:c>
      <x:c r="F290" s="30" t="n">
        <x:v>60.7</x:v>
      </x:c>
      <x:c r="G290" s="17" t="n">
        <x:v>316.67539999999997</x:v>
      </x:c>
      <x:c r="H290" s="17" t="n">
        <x:f>G290*F290</x:f>
        <x:v>19222.19678</x:v>
      </x:c>
      <x:c r="I290" s="22" t="str">
        <x:f>HYPERLINK("https://etp-aktiv.ru/catalog/materialy/rezino-tekhnicheskie-izdeliya/2000546778-U117/","Открыть позицию")</x:f>
        <x:v>Открыть позицию</x:v>
      </x:c>
    </x:row>
    <x:row r="291" ht="28" customHeight="1">
      <x:c r="A291" s="16" t="str">
        <x:v>Приморская ГРЭС</x:v>
      </x:c>
      <x:c r="B291" s="16" t="str">
        <x:v>2000546875-U117</x:v>
      </x:c>
      <x:c r="C291" s="16" t="str">
        <x:v>ШНУР РЕЗ 12 ТУ38.105.1165-90</x:v>
      </x:c>
      <x:c r="D291" s="16" t="str">
        <x:v>Резино-технические изделия прочие</x:v>
      </x:c>
      <x:c r="E291" s="16" t="str">
        <x:v>КГ</x:v>
      </x:c>
      <x:c r="F291" s="30" t="n">
        <x:v>2.8</x:v>
      </x:c>
      <x:c r="G291" s="17" t="n">
        <x:v>2282.1686</x:v>
      </x:c>
      <x:c r="H291" s="17" t="n">
        <x:f>G291*F291</x:f>
        <x:v>6390.07208</x:v>
      </x:c>
      <x:c r="I291" s="22" t="str">
        <x:f>HYPERLINK("https://etp-aktiv.ru/catalog/materialy/rezino-tekhnicheskie-izdeliya/2000546875-U117/","Открыть позицию")</x:f>
        <x:v>Открыть позицию</x:v>
      </x:c>
    </x:row>
    <x:row r="292" ht="28" customHeight="1">
      <x:c r="A292" s="16" t="str">
        <x:v>Приморская ГРЭС</x:v>
      </x:c>
      <x:c r="B292" s="16" t="str">
        <x:v>2000784017-U117</x:v>
      </x:c>
      <x:c r="C292" s="16" t="str">
        <x:v>ШНУР РЕЗИНОВЫЙ 2-5С D12 ГОСТ6467-79</x:v>
      </x:c>
      <x:c r="D292" s="16" t="str">
        <x:v>Резино-технические изделия прочие</x:v>
      </x:c>
      <x:c r="E292" s="16" t="str">
        <x:v>КГ</x:v>
      </x:c>
      <x:c r="F292" s="30" t="n">
        <x:v>3.4</x:v>
      </x:c>
      <x:c r="G292" s="17" t="n">
        <x:v>221.1006</x:v>
      </x:c>
      <x:c r="H292" s="17" t="n">
        <x:f>G292*F292</x:f>
        <x:v>751.74204</x:v>
      </x:c>
      <x:c r="I292" s="22" t="str">
        <x:f>HYPERLINK("https://etp-aktiv.ru/catalog/materialy/rezino-tekhnicheskie-izdeliya/2000784017-U117/","Открыть позицию")</x:f>
        <x:v>Открыть позицию</x:v>
      </x:c>
    </x:row>
    <x:row r="293" ht="28" customHeight="1">
      <x:c r="A293" s="16" t="str">
        <x:v>Приморская ГРЭС</x:v>
      </x:c>
      <x:c r="B293" s="16" t="str">
        <x:v>2000784053-U117</x:v>
      </x:c>
      <x:c r="C293" s="16" t="str">
        <x:v>ШНУР РЕЗИНОВЫЙ 2-5С D25 ГОСТ6467-79</x:v>
      </x:c>
      <x:c r="D293" s="16" t="str">
        <x:v>Резино-технические изделия прочие</x:v>
      </x:c>
      <x:c r="E293" s="16" t="str">
        <x:v>КГ</x:v>
      </x:c>
      <x:c r="F293" s="30" t="n">
        <x:v>11.52</x:v>
      </x:c>
      <x:c r="G293" s="17" t="n">
        <x:v>440.84700000000004</x:v>
      </x:c>
      <x:c r="H293" s="17" t="n">
        <x:f>G293*F293</x:f>
        <x:v>5078.5574400000005</x:v>
      </x:c>
      <x:c r="I293" s="22" t="str">
        <x:f>HYPERLINK("https://etp-aktiv.ru/catalog/materialy/rezino-tekhnicheskie-izdeliya/2000784053-U117/","Открыть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96e3e5e4f9f84329"/>
  </x:tableParts>
</x:worksheet>
</file>

<file path=xl/worksheets/sheet14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Приморье: Химические материалы, ЛКМ и лаборатория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Приморская ГРЭС</x:v>
      </x:c>
      <x:c r="B5" s="16" t="str">
        <x:v>2000649334-U117</x:v>
      </x:c>
      <x:c r="C5" s="16" t="str">
        <x:v>АНТИФРИЗ КРАСНЫЙ FELIX CARBOX 220КГ</x:v>
      </x:c>
      <x:c r="D5" s="16" t="str">
        <x:v>Концентрат для механизированных крепей</x:v>
      </x:c>
      <x:c r="E5" s="16" t="str">
        <x:v>Т</x:v>
      </x:c>
      <x:c r="F5" s="26" t="n">
        <x:v>0.001</x:v>
      </x:c>
      <x:c r="G5" s="17" t="n">
        <x:v>88642.9186</x:v>
      </x:c>
      <x:c r="H5" s="17" t="n">
        <x:f>G5*F5</x:f>
        <x:v>88.6429186</x:v>
      </x:c>
      <x:c r="I5" s="22" t="str">
        <x:f>HYPERLINK("https://etp-aktiv.ru/catalog/materialy/gsm/2000649334-U117/","Открыть позицию")</x:f>
        <x:v>Открыть позицию</x:v>
      </x:c>
    </x:row>
    <x:row r="6" ht="28" customHeight="1">
      <x:c r="A6" s="16" t="str">
        <x:v>Приморская ГРЭС</x:v>
      </x:c>
      <x:c r="B6" s="16" t="str">
        <x:v>2000502563-U117</x:v>
      </x:c>
      <x:c r="C6" s="16" t="str">
        <x:v>АЦЕТОН ТЕКС 0,35Л ГОСТ2768-84</x:v>
      </x:c>
      <x:c r="D6" s="16" t="str">
        <x:v>Лакокрасочные материалы</x:v>
      </x:c>
      <x:c r="E6" s="16" t="str">
        <x:v>ШТ</x:v>
      </x:c>
      <x:c r="F6" s="21" t="n">
        <x:v>55</x:v>
      </x:c>
      <x:c r="G6" s="17" t="n">
        <x:v>114.9972</x:v>
      </x:c>
      <x:c r="H6" s="17" t="n">
        <x:f>G6*F6</x:f>
        <x:v>6324.8460000000005</x:v>
      </x:c>
      <x:c r="I6" s="22" t="str">
        <x:f>HYPERLINK("https://etp-aktiv.ru/catalog/materialy/lakokrasochnye-materialy/2000502563-U117/","Открыть позицию")</x:f>
        <x:v>Открыть позицию</x:v>
      </x:c>
    </x:row>
    <x:row r="7" ht="28" customHeight="1">
      <x:c r="A7" s="16" t="str">
        <x:v>Приморская ГРЭС</x:v>
      </x:c>
      <x:c r="B7" s="16" t="str">
        <x:v>2000148341-U117</x:v>
      </x:c>
      <x:c r="C7" s="16" t="str">
        <x:v>АЦЕТОН ЧДА ГОСТ2768-84</x:v>
      </x:c>
      <x:c r="D7" s="16" t="str">
        <x:v>Химические реактивы</x:v>
      </x:c>
      <x:c r="E7" s="16" t="str">
        <x:v>Л</x:v>
      </x:c>
      <x:c r="F7" s="30" t="n">
        <x:v>44.7</x:v>
      </x:c>
      <x:c r="G7" s="17" t="n">
        <x:v>73.444</x:v>
      </x:c>
      <x:c r="H7" s="17" t="n">
        <x:f>G7*F7</x:f>
        <x:v>3282.9468</x:v>
      </x:c>
      <x:c r="I7" s="22" t="str">
        <x:f>HYPERLINK("https://etp-aktiv.ru/catalog/materialy/himicheskaya-produkciya/2000148341-U117/","Открыть позицию")</x:f>
        <x:v>Открыть позицию</x:v>
      </x:c>
    </x:row>
    <x:row r="8" ht="28" customHeight="1">
      <x:c r="A8" s="16" t="str">
        <x:v>Приморская ГРЭС</x:v>
      </x:c>
      <x:c r="B8" s="16" t="str">
        <x:v>2000447861-U117</x:v>
      </x:c>
      <x:c r="C8" s="16" t="str">
        <x:v>БИОЦИД ACTICIDE-14 5КГ</x:v>
      </x:c>
      <x:c r="D8" s="16" t="str">
        <x:v>Биоциды, гербициды</x:v>
      </x:c>
      <x:c r="E8" s="16" t="str">
        <x:v>ШТ</x:v>
      </x:c>
      <x:c r="F8" s="21" t="n">
        <x:v>50</x:v>
      </x:c>
      <x:c r="G8" s="17" t="n">
        <x:v>5795</x:v>
      </x:c>
      <x:c r="H8" s="17" t="n">
        <x:f>G8*F8</x:f>
        <x:v>289750</x:v>
      </x:c>
      <x:c r="I8" s="22" t="str">
        <x:f>HYPERLINK("https://etp-aktiv.ru/catalog/materialy/himicheskaya-produkciya/2000447861-U117/","Открыть позицию")</x:f>
        <x:v>Открыть позицию</x:v>
      </x:c>
    </x:row>
    <x:row r="9" ht="28" customHeight="1">
      <x:c r="A9" s="16" t="str">
        <x:v>Приморская ГРЭС</x:v>
      </x:c>
      <x:c r="B9" s="16" t="str">
        <x:v>2000795071-U117</x:v>
      </x:c>
      <x:c r="C9" s="16" t="str">
        <x:v>БЮРЕТКА 1-3-2-25-0,05 ГОСТ29251-91</x:v>
      </x:c>
      <x:c r="D9" s="16" t="str">
        <x:v>Химическая посуда</x:v>
      </x:c>
      <x:c r="E9" s="16" t="str">
        <x:v>ШТ</x:v>
      </x:c>
      <x:c r="F9" s="21" t="n">
        <x:v>3</x:v>
      </x:c>
      <x:c r="G9" s="17" t="n">
        <x:v>733.22</x:v>
      </x:c>
      <x:c r="H9" s="17" t="n">
        <x:f>G9*F9</x:f>
        <x:v>2199.66</x:v>
      </x:c>
      <x:c r="I9" s="22" t="str">
        <x:f>HYPERLINK("https://etp-aktiv.ru/catalog/materialy/mebel-i-bytovaya-tekhnika/2000795071-U117/","Открыть позицию")</x:f>
        <x:v>Открыть позицию</x:v>
      </x:c>
    </x:row>
    <x:row r="10" ht="28" customHeight="1">
      <x:c r="A10" s="16" t="str">
        <x:v>Приморская ГРЭС</x:v>
      </x:c>
      <x:c r="B10" s="16" t="str">
        <x:v>2000316448-U117</x:v>
      </x:c>
      <x:c r="C10" s="16" t="str">
        <x:v>ГЕРМЕТИК АВТОСИЛ 65Г</x:v>
      </x:c>
      <x:c r="D10" s="16" t="str">
        <x:v>Химические материалы прочие</x:v>
      </x:c>
      <x:c r="E10" s="16" t="str">
        <x:v>ШТ</x:v>
      </x:c>
      <x:c r="F10" s="21" t="n">
        <x:v>1</x:v>
      </x:c>
      <x:c r="G10" s="17" t="n">
        <x:v>173.1302</x:v>
      </x:c>
      <x:c r="H10" s="17" t="n">
        <x:f>G10*F10</x:f>
        <x:v>173.1302</x:v>
      </x:c>
      <x:c r="I10" s="22" t="str">
        <x:f>HYPERLINK("https://etp-aktiv.ru/catalog/materialy/himicheskaya-produkciya/2000316448-U117/","Открыть позицию")</x:f>
        <x:v>Открыть позицию</x:v>
      </x:c>
    </x:row>
    <x:row r="11" ht="28" customHeight="1">
      <x:c r="A11" s="16" t="str">
        <x:v>Приморская ГРЭС</x:v>
      </x:c>
      <x:c r="B11" s="16" t="str">
        <x:v>2000022793-U117</x:v>
      </x:c>
      <x:c r="C11" s="16" t="str">
        <x:v>ГЛИЦЕРИН ЧДА ГОСТ6259-75</x:v>
      </x:c>
      <x:c r="D11" s="16" t="str">
        <x:v>Химические реактивы</x:v>
      </x:c>
      <x:c r="E11" s="16" t="str">
        <x:v>КГ</x:v>
      </x:c>
      <x:c r="F11" s="30" t="n">
        <x:v>20.02</x:v>
      </x:c>
      <x:c r="G11" s="17" t="n">
        <x:v>160.02739999999997</x:v>
      </x:c>
      <x:c r="H11" s="17" t="n">
        <x:f>G11*F11</x:f>
        <x:v>3203.7485479999996</x:v>
      </x:c>
      <x:c r="I11" s="22" t="str">
        <x:f>HYPERLINK("https://etp-aktiv.ru/catalog/materialy/himicheskaya-produkciya/2000022793-U117/","Открыть позицию")</x:f>
        <x:v>Открыть позицию</x:v>
      </x:c>
    </x:row>
    <x:row r="12" ht="28" customHeight="1">
      <x:c r="A12" s="16" t="str">
        <x:v>Приморская ГРЭС</x:v>
      </x:c>
      <x:c r="B12" s="16" t="str">
        <x:v>2000547608-U117</x:v>
      </x:c>
      <x:c r="C12" s="16" t="str">
        <x:v>ГРАФИТ ГК-3 ГОСТ4404-78</x:v>
      </x:c>
      <x:c r="D12" s="16" t="str">
        <x:v>Химические материалы прочие</x:v>
      </x:c>
      <x:c r="E12" s="16" t="str">
        <x:v>КГ</x:v>
      </x:c>
      <x:c r="F12" s="21" t="n">
        <x:v>1</x:v>
      </x:c>
      <x:c r="G12" s="17" t="n">
        <x:v>157.8802</x:v>
      </x:c>
      <x:c r="H12" s="17" t="n">
        <x:f>G12*F12</x:f>
        <x:v>157.8802</x:v>
      </x:c>
      <x:c r="I12" s="22" t="str">
        <x:f>HYPERLINK("https://etp-aktiv.ru/catalog/materialy/himicheskaya-produkciya/2000547608-U117/","Открыть позицию")</x:f>
        <x:v>Открыть позицию</x:v>
      </x:c>
    </x:row>
    <x:row r="13" ht="28" customHeight="1">
      <x:c r="A13" s="16" t="str">
        <x:v>Приморская ГРЭС</x:v>
      </x:c>
      <x:c r="B13" s="16" t="str">
        <x:v>2000564502-U117</x:v>
      </x:c>
      <x:c r="C13" s="16" t="str">
        <x:v>ГРАФИТ КРИСТАЛЛ ЛИТЕЙНЫЙ ГЛ-1 ГОСТ5279</x:v>
      </x:c>
      <x:c r="D13" s="16" t="str">
        <x:v>Химические материалы прочие</x:v>
      </x:c>
      <x:c r="E13" s="16" t="str">
        <x:v>ШТ</x:v>
      </x:c>
      <x:c r="F13" s="30" t="n">
        <x:v>75.1</x:v>
      </x:c>
      <x:c r="G13" s="17" t="n">
        <x:v>668.7064</x:v>
      </x:c>
      <x:c r="H13" s="17" t="n">
        <x:f>G13*F13</x:f>
        <x:v>50219.85064</x:v>
      </x:c>
      <x:c r="I13" s="22" t="str">
        <x:f>HYPERLINK("https://etp-aktiv.ru/catalog/materialy/himicheskaya-produkciya/2000564502-U117/","Открыть позицию")</x:f>
        <x:v>Открыть позицию</x:v>
      </x:c>
    </x:row>
    <x:row r="14" ht="28" customHeight="1">
      <x:c r="A14" s="16" t="str">
        <x:v>Приморская ГРЭС</x:v>
      </x:c>
      <x:c r="B14" s="16" t="str">
        <x:v>2000302336-U117</x:v>
      </x:c>
      <x:c r="C14" s="16" t="str">
        <x:v>ГРАФИТ КРИСТАЛЛИЧЕСКИЙ ЛИТЕЙНЫЙ ГЛ-1</x:v>
      </x:c>
      <x:c r="D14" s="16" t="str">
        <x:v>Химические материалы прочие</x:v>
      </x:c>
      <x:c r="E14" s="16" t="str">
        <x:v>Т</x:v>
      </x:c>
      <x:c r="F14" s="30" t="n">
        <x:v>2.054</x:v>
      </x:c>
      <x:c r="G14" s="17" t="n">
        <x:v>142845.164</x:v>
      </x:c>
      <x:c r="H14" s="17" t="n">
        <x:f>G14*F14</x:f>
        <x:v>293403.96685599996</x:v>
      </x:c>
      <x:c r="I14" s="22" t="str">
        <x:f>HYPERLINK("https://etp-aktiv.ru/catalog/materialy/himicheskaya-produkciya/2000302336-U117/","Открыть позицию")</x:f>
        <x:v>Открыть позицию</x:v>
      </x:c>
    </x:row>
    <x:row r="15" ht="28" customHeight="1">
      <x:c r="A15" s="16" t="str">
        <x:v>Приморская ГРЭС</x:v>
      </x:c>
      <x:c r="B15" s="16" t="str">
        <x:v>2000519947-U117</x:v>
      </x:c>
      <x:c r="C15" s="16" t="str">
        <x:v>ГРУНТ-ЭМАЛЬ БЫСТРОМЕТ КРАСНАЯ</x:v>
      </x:c>
      <x:c r="D15" s="16" t="str">
        <x:v>Лакокрасочные материалы</x:v>
      </x:c>
      <x:c r="E15" s="16" t="str">
        <x:v>КГ</x:v>
      </x:c>
      <x:c r="F15" s="30" t="n">
        <x:v>14.19</x:v>
      </x:c>
      <x:c r="G15" s="17" t="n">
        <x:v>2999.3212</x:v>
      </x:c>
      <x:c r="H15" s="17" t="n">
        <x:f>G15*F15</x:f>
        <x:v>42560.367827999995</x:v>
      </x:c>
      <x:c r="I15" s="22" t="str">
        <x:f>HYPERLINK("https://etp-aktiv.ru/catalog/materialy/lakokrasochnye-materialy/2000519947-U117/","Открыть позицию")</x:f>
        <x:v>Открыть позицию</x:v>
      </x:c>
    </x:row>
    <x:row r="16" ht="28" customHeight="1">
      <x:c r="A16" s="16" t="str">
        <x:v>Приморская ГРЭС</x:v>
      </x:c>
      <x:c r="B16" s="16" t="str">
        <x:v>2000022989-U117</x:v>
      </x:c>
      <x:c r="C16" s="16" t="str">
        <x:v>ГРУНТОВКА ХС-010 ТУ6-21-51-90</x:v>
      </x:c>
      <x:c r="D16" s="16" t="str">
        <x:v>Лакокрасочные материалы</x:v>
      </x:c>
      <x:c r="E16" s="16" t="str">
        <x:v>КГ</x:v>
      </x:c>
      <x:c r="F16" s="30" t="n">
        <x:v>81.43</x:v>
      </x:c>
      <x:c r="G16" s="17" t="n">
        <x:v>239.0956</x:v>
      </x:c>
      <x:c r="H16" s="17" t="n">
        <x:f>G16*F16</x:f>
        <x:v>19469.554708</x:v>
      </x:c>
      <x:c r="I16" s="22" t="str">
        <x:f>HYPERLINK("https://etp-aktiv.ru/catalog/materialy/lakokrasochnye-materialy/2000022989-U117/","Открыть позицию")</x:f>
        <x:v>Открыть позицию</x:v>
      </x:c>
    </x:row>
    <x:row r="17" ht="28" customHeight="1">
      <x:c r="A17" s="16" t="str">
        <x:v>Приморская ГРЭС</x:v>
      </x:c>
      <x:c r="B17" s="16" t="str">
        <x:v>2000219232-U117</x:v>
      </x:c>
      <x:c r="C17" s="16" t="str">
        <x:v>ГРУНТОВКА ЭПОКСИДНАЯ МЕТАКОР-01 УНО</x:v>
      </x:c>
      <x:c r="D17" s="16" t="str">
        <x:v>Лакокрасочные материалы</x:v>
      </x:c>
      <x:c r="E17" s="16" t="str">
        <x:v>КГ</x:v>
      </x:c>
      <x:c r="F17" s="30" t="n">
        <x:v>14.4</x:v>
      </x:c>
      <x:c r="G17" s="17" t="n">
        <x:v>3202.5</x:v>
      </x:c>
      <x:c r="H17" s="17" t="n">
        <x:f>G17*F17</x:f>
        <x:v>46116</x:v>
      </x:c>
      <x:c r="I17" s="22" t="str">
        <x:f>HYPERLINK("https://etp-aktiv.ru/catalog/materialy/lakokrasochnye-materialy/2000219232-U117/","Открыть позицию")</x:f>
        <x:v>Открыть позицию</x:v>
      </x:c>
    </x:row>
    <x:row r="18" ht="28" customHeight="1">
      <x:c r="A18" s="16" t="str">
        <x:v>Приморская ГРЭС</x:v>
      </x:c>
      <x:c r="B18" s="16" t="str">
        <x:v>2000587929-U117</x:v>
      </x:c>
      <x:c r="C18" s="16" t="str">
        <x:v>ГСО 7602-99 ПГС H2-O2 1.9% БАЛЛОН 4Л</x:v>
      </x:c>
      <x:c r="D18" s="16" t="str">
        <x:v>Химические реактивы</x:v>
      </x:c>
      <x:c r="E18" s="16" t="str">
        <x:v>ШТ</x:v>
      </x:c>
      <x:c r="F18" s="21" t="n">
        <x:v>2</x:v>
      </x:c>
      <x:c r="G18" s="17" t="n">
        <x:v>11161.17</x:v>
      </x:c>
      <x:c r="H18" s="17" t="n">
        <x:f>G18*F18</x:f>
        <x:v>22322.34</x:v>
      </x:c>
      <x:c r="I18" s="22" t="str">
        <x:f>HYPERLINK("https://etp-aktiv.ru/catalog/materialy/himicheskaya-produkciya/2000587929-U117/","Открыть позицию")</x:f>
        <x:v>Открыть позицию</x:v>
      </x:c>
    </x:row>
    <x:row r="19" ht="28" customHeight="1">
      <x:c r="A19" s="16" t="str">
        <x:v>Приморская ГРЭС</x:v>
      </x:c>
      <x:c r="B19" s="16" t="str">
        <x:v>2000580283-U117</x:v>
      </x:c>
      <x:c r="C19" s="16" t="str">
        <x:v>ГСО10597-2015 ПГС N2-H2 95,25% 10Л</x:v>
      </x:c>
      <x:c r="D19" s="16" t="str">
        <x:v>Химические реактивы</x:v>
      </x:c>
      <x:c r="E19" s="16" t="str">
        <x:v>ШТ</x:v>
      </x:c>
      <x:c r="F19" s="21" t="n">
        <x:v>1</x:v>
      </x:c>
      <x:c r="G19" s="17" t="n">
        <x:v>13148.55</x:v>
      </x:c>
      <x:c r="H19" s="17" t="n">
        <x:f>G19*F19</x:f>
        <x:v>13148.55</x:v>
      </x:c>
      <x:c r="I19" s="22" t="str">
        <x:f>HYPERLINK("https://etp-aktiv.ru/catalog/materialy/himicheskaya-produkciya/2000580283-U117/","Открыть позицию")</x:f>
        <x:v>Открыть позицию</x:v>
      </x:c>
    </x:row>
    <x:row r="20" ht="28" customHeight="1">
      <x:c r="A20" s="16" t="str">
        <x:v>Приморская ГРЭС</x:v>
      </x:c>
      <x:c r="B20" s="16" t="str">
        <x:v>2000547696-U117</x:v>
      </x:c>
      <x:c r="C20" s="16" t="str">
        <x:v>ДИБУТИЛФТАЛАТ ДБФ ВЫСШ СОРТ ГОСТ8728-88</x:v>
      </x:c>
      <x:c r="D20" s="16" t="str">
        <x:v>Химические материалы прочие</x:v>
      </x:c>
      <x:c r="E20" s="16" t="str">
        <x:v>КГ</x:v>
      </x:c>
      <x:c r="F20" s="30" t="n">
        <x:v>166.321</x:v>
      </x:c>
      <x:c r="G20" s="17" t="n">
        <x:v>720.532</x:v>
      </x:c>
      <x:c r="H20" s="17" t="n">
        <x:f>G20*F20</x:f>
        <x:v>119839.602772</x:v>
      </x:c>
      <x:c r="I20" s="22" t="str">
        <x:f>HYPERLINK("https://etp-aktiv.ru/catalog/materialy/himicheskaya-produkciya/2000547696-U117/","Открыть позицию")</x:f>
        <x:v>Открыть позицию</x:v>
      </x:c>
    </x:row>
    <x:row r="21" ht="28" customHeight="1">
      <x:c r="A21" s="16" t="str">
        <x:v>Приморская ГРЭС</x:v>
      </x:c>
      <x:c r="B21" s="16" t="str">
        <x:v>2000564469-U117</x:v>
      </x:c>
      <x:c r="C21" s="16" t="str">
        <x:v>ЖИДКОСТЬ АНТИОБЛ ПРОМ TURBOTECT ARF-301</x:v>
      </x:c>
      <x:c r="D21" s="16" t="str">
        <x:v>Другие смазочные материалы и тех.жидкости</x:v>
      </x:c>
      <x:c r="E21" s="16" t="str">
        <x:v>Л</x:v>
      </x:c>
      <x:c r="F21" s="30" t="n">
        <x:v>12.49</x:v>
      </x:c>
      <x:c r="G21" s="17" t="n">
        <x:v>686.25</x:v>
      </x:c>
      <x:c r="H21" s="17" t="n">
        <x:f>G21*F21</x:f>
        <x:v>8571.2625</x:v>
      </x:c>
      <x:c r="I21" s="22" t="str">
        <x:f>HYPERLINK("https://etp-aktiv.ru/catalog/materialy/gsm/2000564469-U117/","Открыть позицию")</x:f>
        <x:v>Открыть позицию</x:v>
      </x:c>
    </x:row>
    <x:row r="22" ht="28" customHeight="1">
      <x:c r="A22" s="16" t="str">
        <x:v>Приморская ГРЭС</x:v>
      </x:c>
      <x:c r="B22" s="16" t="str">
        <x:v>2000466872-U117</x:v>
      </x:c>
      <x:c r="C22" s="16" t="str">
        <x:v>ЖИДКОСТЬ Д/ВУЛКАН NILOS STG-B 0,65КГ</x:v>
      </x:c>
      <x:c r="D22" s="16" t="str">
        <x:v>Химические материалы прочие</x:v>
      </x:c>
      <x:c r="E22" s="16" t="str">
        <x:v>ШТ</x:v>
      </x:c>
      <x:c r="F22" s="21" t="n">
        <x:v>6</x:v>
      </x:c>
      <x:c r="G22" s="17" t="n">
        <x:v>2665.5048</x:v>
      </x:c>
      <x:c r="H22" s="17" t="n">
        <x:f>G22*F22</x:f>
        <x:v>15993.0288</x:v>
      </x:c>
      <x:c r="I22" s="22" t="str">
        <x:f>HYPERLINK("https://etp-aktiv.ru/catalog/materialy/himicheskaya-produkciya/2000466872-U117/","Открыть позицию")</x:f>
        <x:v>Открыть позицию</x:v>
      </x:c>
    </x:row>
    <x:row r="23" ht="28" customHeight="1">
      <x:c r="A23" s="16" t="str">
        <x:v>Приморская ГРЭС</x:v>
      </x:c>
      <x:c r="B23" s="16" t="str">
        <x:v>2000227954-U117</x:v>
      </x:c>
      <x:c r="C23" s="16" t="str">
        <x:v>ЖИДКОСТЬ ОХЛАЖДАЮЩАЯ ОЖ-40</x:v>
      </x:c>
      <x:c r="D23" s="16" t="str">
        <x:v>Другие смазочные материалы и тех.жидкости</x:v>
      </x:c>
      <x:c r="E23" s="16" t="str">
        <x:v>КГ</x:v>
      </x:c>
      <x:c r="F23" s="21" t="n">
        <x:v>10</x:v>
      </x:c>
      <x:c r="G23" s="17" t="n">
        <x:v>54.595</x:v>
      </x:c>
      <x:c r="H23" s="17" t="n">
        <x:f>G23*F23</x:f>
        <x:v>545.95</x:v>
      </x:c>
      <x:c r="I23" s="22" t="str">
        <x:f>HYPERLINK("https://etp-aktiv.ru/catalog/materialy/gsm/2000227954-U117/","Открыть позицию")</x:f>
        <x:v>Открыть позицию</x:v>
      </x:c>
    </x:row>
    <x:row r="24" ht="28" customHeight="1">
      <x:c r="A24" s="16" t="str">
        <x:v>Приморская ГРЭС</x:v>
      </x:c>
      <x:c r="B24" s="16" t="str">
        <x:v>2000227941-U117</x:v>
      </x:c>
      <x:c r="C24" s="16" t="str">
        <x:v>ЖИДКОСТЬ ТОРМОЗНАЯ РОСДОТ-4</x:v>
      </x:c>
      <x:c r="D24" s="16" t="str">
        <x:v>Другие смазочные материалы и тех.жидкости</x:v>
      </x:c>
      <x:c r="E24" s="16" t="str">
        <x:v>КГ</x:v>
      </x:c>
      <x:c r="F24" s="21" t="n">
        <x:v>8</x:v>
      </x:c>
      <x:c r="G24" s="17" t="n">
        <x:v>160.125</x:v>
      </x:c>
      <x:c r="H24" s="17" t="n">
        <x:f>G24*F24</x:f>
        <x:v>1281</x:v>
      </x:c>
      <x:c r="I24" s="22" t="str">
        <x:f>HYPERLINK("https://etp-aktiv.ru/catalog/materialy/gsm/2000227941-U117/","Открыть позицию")</x:f>
        <x:v>Открыть позицию</x:v>
      </x:c>
    </x:row>
    <x:row r="25" ht="28" customHeight="1">
      <x:c r="A25" s="16" t="str">
        <x:v>Приморская ГРЭС</x:v>
      </x:c>
      <x:c r="B25" s="16" t="str">
        <x:v>2000083093-U117</x:v>
      </x:c>
      <x:c r="C25" s="16" t="str">
        <x:v>КАНИФОЛЬ СОСНОВАЯ А ГОСТ19113-84</x:v>
      </x:c>
      <x:c r="D25" s="16" t="str">
        <x:v>Химические материалы прочие</x:v>
      </x:c>
      <x:c r="E25" s="16" t="str">
        <x:v>КГ</x:v>
      </x:c>
      <x:c r="F25" s="30" t="n">
        <x:v>11.991</x:v>
      </x:c>
      <x:c r="G25" s="17" t="n">
        <x:v>376.29679999999996</x:v>
      </x:c>
      <x:c r="H25" s="17" t="n">
        <x:f>G25*F25</x:f>
        <x:v>4512.174928799999</x:v>
      </x:c>
      <x:c r="I25" s="22" t="str">
        <x:f>HYPERLINK("https://etp-aktiv.ru/catalog/materialy/himicheskaya-produkciya/2000083093-U117/","Открыть позицию")</x:f>
        <x:v>Открыть позицию</x:v>
      </x:c>
    </x:row>
    <x:row r="26" ht="28" customHeight="1">
      <x:c r="A26" s="16" t="str">
        <x:v>Приморская ГРЭС</x:v>
      </x:c>
      <x:c r="B26" s="16" t="str">
        <x:v>2000256163-U117</x:v>
      </x:c>
      <x:c r="C26" s="16" t="str">
        <x:v>КАРБИД БОРА М 40 ГОСТ3647-71</x:v>
      </x:c>
      <x:c r="D26" s="16" t="str">
        <x:v>Химические материалы прочие</x:v>
      </x:c>
      <x:c r="E26" s="16" t="str">
        <x:v>КГ</x:v>
      </x:c>
      <x:c r="F26" s="26" t="n">
        <x:v>0.8</x:v>
      </x:c>
      <x:c r="G26" s="17" t="n">
        <x:v>6407.5132</x:v>
      </x:c>
      <x:c r="H26" s="17" t="n">
        <x:f>G26*F26</x:f>
        <x:v>5126.010560000001</x:v>
      </x:c>
      <x:c r="I26" s="22" t="str">
        <x:f>HYPERLINK("https://etp-aktiv.ru/catalog/materialy/himicheskaya-produkciya/2000256163-U117/","Открыть позицию")</x:f>
        <x:v>Открыть позицию</x:v>
      </x:c>
    </x:row>
    <x:row r="27" ht="28" customHeight="1">
      <x:c r="A27" s="16" t="str">
        <x:v>Приморская ГРЭС</x:v>
      </x:c>
      <x:c r="B27" s="16" t="str">
        <x:v>2000258335-U117</x:v>
      </x:c>
      <x:c r="C27" s="16" t="str">
        <x:v>КАРБИД КРЕМНИЯ НЕАБРАЗИВНЫЙ FEPA</x:v>
      </x:c>
      <x:c r="D27" s="16" t="str">
        <x:v>Химические материалы прочие</x:v>
      </x:c>
      <x:c r="E27" s="16" t="str">
        <x:v>КГ</x:v>
      </x:c>
      <x:c r="F27" s="30" t="n">
        <x:v>2.075</x:v>
      </x:c>
      <x:c r="G27" s="17" t="n">
        <x:v>1712.0626</x:v>
      </x:c>
      <x:c r="H27" s="17" t="n">
        <x:f>G27*F27</x:f>
        <x:v>3552.529895</x:v>
      </x:c>
      <x:c r="I27" s="22" t="str">
        <x:f>HYPERLINK("https://etp-aktiv.ru/catalog/materialy/himicheskaya-produkciya/2000258335-U117/","Открыть позицию")</x:f>
        <x:v>Открыть позицию</x:v>
      </x:c>
    </x:row>
    <x:row r="28" ht="28" customHeight="1">
      <x:c r="A28" s="16" t="str">
        <x:v>Приморская ГРЭС</x:v>
      </x:c>
      <x:c r="B28" s="16" t="str">
        <x:v>2000169329-U117</x:v>
      </x:c>
      <x:c r="C28" s="16" t="str">
        <x:v>КАРТОН ФИЛЬТРОВАЛЬНЫЙ 1000*1000 ГОСТ6722</x:v>
      </x:c>
      <x:c r="D28" s="16" t="str">
        <x:v>Химические материалы прочие</x:v>
      </x:c>
      <x:c r="E28" s="16" t="str">
        <x:v>КГ</x:v>
      </x:c>
      <x:c r="F28" s="21" t="n">
        <x:v>12</x:v>
      </x:c>
      <x:c r="G28" s="17" t="n">
        <x:v>314.52819999999997</x:v>
      </x:c>
      <x:c r="H28" s="17" t="n">
        <x:f>G28*F28</x:f>
        <x:v>3774.3383999999996</x:v>
      </x:c>
      <x:c r="I28" s="22" t="str">
        <x:f>HYPERLINK("https://etp-aktiv.ru/catalog/materialy/himicheskaya-produkciya/2000169329-U117/","Открыть позицию")</x:f>
        <x:v>Открыть позицию</x:v>
      </x:c>
    </x:row>
    <x:row r="29" ht="28" customHeight="1">
      <x:c r="A29" s="16" t="str">
        <x:v>Приморская ГРЭС</x:v>
      </x:c>
      <x:c r="B29" s="16" t="str">
        <x:v>2000547402-U117</x:v>
      </x:c>
      <x:c r="C29" s="16" t="str">
        <x:v>КРАСКА АЭРОЗОЛЬ MAXI COLOR КРАСНЫЙ 400МЛ</x:v>
      </x:c>
      <x:c r="D29" s="16" t="str">
        <x:v>Лакокрасочные материалы</x:v>
      </x:c>
      <x:c r="E29" s="16" t="str">
        <x:v>ШТ</x:v>
      </x:c>
      <x:c r="F29" s="21" t="n">
        <x:v>1</x:v>
      </x:c>
      <x:c r="G29" s="17" t="n">
        <x:v>315.675</x:v>
      </x:c>
      <x:c r="H29" s="17" t="n">
        <x:f>G29*F29</x:f>
        <x:v>315.675</x:v>
      </x:c>
      <x:c r="I29" s="22" t="str">
        <x:f>HYPERLINK("https://etp-aktiv.ru/catalog/materialy/lakokrasochnye-materialy/2000547402-U117/","Открыть позицию")</x:f>
        <x:v>Открыть позицию</x:v>
      </x:c>
    </x:row>
    <x:row r="30" ht="28" customHeight="1">
      <x:c r="A30" s="16" t="str">
        <x:v>Приморская ГРЭС</x:v>
      </x:c>
      <x:c r="B30" s="16" t="str">
        <x:v>2000556866-U117</x:v>
      </x:c>
      <x:c r="C30" s="16" t="str">
        <x:v>КРУЖКА МЕРНАЯ PP 2000МЛ 443081</x:v>
      </x:c>
      <x:c r="D30" s="16" t="str">
        <x:v>Химическая посуда</x:v>
      </x:c>
      <x:c r="E30" s="16" t="str">
        <x:v>ШТ</x:v>
      </x:c>
      <x:c r="F30" s="21" t="n">
        <x:v>1</x:v>
      </x:c>
      <x:c r="G30" s="17" t="n">
        <x:v>307.7084</x:v>
      </x:c>
      <x:c r="H30" s="17" t="n">
        <x:f>G30*F30</x:f>
        <x:v>307.7084</x:v>
      </x:c>
      <x:c r="I30" s="22" t="str">
        <x:f>HYPERLINK("https://etp-aktiv.ru/catalog/materialy/mebel-i-bytovaya-tekhnika/2000556866-U117/","Открыть позицию")</x:f>
        <x:v>Открыть позицию</x:v>
      </x:c>
    </x:row>
    <x:row r="31" ht="28" customHeight="1">
      <x:c r="A31" s="16" t="str">
        <x:v>Приморская ГРЭС</x:v>
      </x:c>
      <x:c r="B31" s="16" t="str">
        <x:v>2000029066-U117</x:v>
      </x:c>
      <x:c r="C31" s="16" t="str">
        <x:v>ЛАК БИТУМНЫЙ БТ-577 ГОСТ5631-79</x:v>
      </x:c>
      <x:c r="D31" s="16" t="str">
        <x:v>Лакокрасочные материалы</x:v>
      </x:c>
      <x:c r="E31" s="16" t="str">
        <x:v>КГ</x:v>
      </x:c>
      <x:c r="F31" s="30" t="n">
        <x:v>53.795</x:v>
      </x:c>
      <x:c r="G31" s="17" t="n">
        <x:v>74.52980000000001</x:v>
      </x:c>
      <x:c r="H31" s="17" t="n">
        <x:f>G31*F31</x:f>
        <x:v>4009.330591000001</x:v>
      </x:c>
      <x:c r="I31" s="22" t="str">
        <x:f>HYPERLINK("https://etp-aktiv.ru/catalog/materialy/lakokrasochnye-materialy/2000029066-U117/","Открыть позицию")</x:f>
        <x:v>Открыть позицию</x:v>
      </x:c>
    </x:row>
    <x:row r="32" ht="28" customHeight="1">
      <x:c r="A32" s="16" t="str">
        <x:v>Приморская ГРЭС</x:v>
      </x:c>
      <x:c r="B32" s="16" t="str">
        <x:v>2000691106-U117</x:v>
      </x:c>
      <x:c r="C32" s="16" t="str">
        <x:v>ЛАК БИТУМНЫЙ БТ-577М</x:v>
      </x:c>
      <x:c r="D32" s="16" t="str">
        <x:v>Лакокрасочные материалы</x:v>
      </x:c>
      <x:c r="E32" s="16" t="str">
        <x:v>КГ</x:v>
      </x:c>
      <x:c r="F32" s="21" t="n">
        <x:v>67</x:v>
      </x:c>
      <x:c r="G32" s="17" t="n">
        <x:v>130.0032</x:v>
      </x:c>
      <x:c r="H32" s="17" t="n">
        <x:f>G32*F32</x:f>
        <x:v>8710.214399999999</x:v>
      </x:c>
      <x:c r="I32" s="22" t="str">
        <x:f>HYPERLINK("https://etp-aktiv.ru/catalog/materialy/lakokrasochnye-materialy/2000691106-U117/","Открыть позицию")</x:f>
        <x:v>Открыть позицию</x:v>
      </x:c>
    </x:row>
    <x:row r="33" ht="28" customHeight="1">
      <x:c r="A33" s="16" t="str">
        <x:v>Приморская ГРЭС</x:v>
      </x:c>
      <x:c r="B33" s="16" t="str">
        <x:v>2000547573-U117</x:v>
      </x:c>
      <x:c r="C33" s="16" t="str">
        <x:v>ЛАК КРЕМНИЙОРГ ТЕРМОСТ КО-815 ГОСТ11066</x:v>
      </x:c>
      <x:c r="D33" s="16" t="str">
        <x:v>Лакокрасочные материалы</x:v>
      </x:c>
      <x:c r="E33" s="16" t="str">
        <x:v>КГ</x:v>
      </x:c>
      <x:c r="F33" s="21" t="n">
        <x:v>575</x:v>
      </x:c>
      <x:c r="G33" s="17" t="n">
        <x:v>299.632</x:v>
      </x:c>
      <x:c r="H33" s="17" t="n">
        <x:f>G33*F33</x:f>
        <x:v>172288.4</x:v>
      </x:c>
      <x:c r="I33" s="22" t="str">
        <x:f>HYPERLINK("https://etp-aktiv.ru/catalog/materialy/lakokrasochnye-materialy/2000547573-U117/","Открыть позицию")</x:f>
        <x:v>Открыть позицию</x:v>
      </x:c>
    </x:row>
    <x:row r="34" ht="28" customHeight="1">
      <x:c r="A34" s="16" t="str">
        <x:v>Приморская ГРЭС</x:v>
      </x:c>
      <x:c r="B34" s="16" t="str">
        <x:v>2000625276-U117</x:v>
      </x:c>
      <x:c r="C34" s="16" t="str">
        <x:v>ЛАК ПФ-170</x:v>
      </x:c>
      <x:c r="D34" s="16" t="str">
        <x:v>Лакокрасочные материалы</x:v>
      </x:c>
      <x:c r="E34" s="16" t="str">
        <x:v>КГ</x:v>
      </x:c>
      <x:c r="F34" s="30" t="n">
        <x:v>71.5</x:v>
      </x:c>
      <x:c r="G34" s="17" t="n">
        <x:v>233.0566</x:v>
      </x:c>
      <x:c r="H34" s="17" t="n">
        <x:f>G34*F34</x:f>
        <x:v>16663.5469</x:v>
      </x:c>
      <x:c r="I34" s="22" t="str">
        <x:f>HYPERLINK("https://etp-aktiv.ru/catalog/materialy/lakokrasochnye-materialy/2000625276-U117/","Открыть позицию")</x:f>
        <x:v>Открыть позицию</x:v>
      </x:c>
    </x:row>
    <x:row r="35" ht="28" customHeight="1">
      <x:c r="A35" s="16" t="str">
        <x:v>Приморская ГРЭС</x:v>
      </x:c>
      <x:c r="B35" s="16" t="str">
        <x:v>2000029106-U117</x:v>
      </x:c>
      <x:c r="C35" s="16" t="str">
        <x:v>ЛАК ХВ-784 ГОСТ7313-75</x:v>
      </x:c>
      <x:c r="D35" s="16" t="str">
        <x:v>Лакокрасочные материалы</x:v>
      </x:c>
      <x:c r="E35" s="16" t="str">
        <x:v>КГ</x:v>
      </x:c>
      <x:c r="F35" s="30" t="n">
        <x:v>112.676</x:v>
      </x:c>
      <x:c r="G35" s="17" t="n">
        <x:v>317.2</x:v>
      </x:c>
      <x:c r="H35" s="17" t="n">
        <x:f>G35*F35</x:f>
        <x:v>35740.8272</x:v>
      </x:c>
      <x:c r="I35" s="22" t="str">
        <x:f>HYPERLINK("https://etp-aktiv.ru/catalog/materialy/lakokrasochnye-materialy/2000029106-U117/","Открыть позицию")</x:f>
        <x:v>Открыть позицию</x:v>
      </x:c>
    </x:row>
    <x:row r="36" ht="28" customHeight="1">
      <x:c r="A36" s="16" t="str">
        <x:v>Приморская ГРЭС</x:v>
      </x:c>
      <x:c r="B36" s="16" t="str">
        <x:v>2000200523-U117</x:v>
      </x:c>
      <x:c r="C36" s="16" t="str">
        <x:v>МАСЛО CAT DEO 15W40</x:v>
      </x:c>
      <x:c r="D36" s="16" t="str">
        <x:v>Масла и смазки различного назначения и типа</x:v>
      </x:c>
      <x:c r="E36" s="16" t="str">
        <x:v>Т</x:v>
      </x:c>
      <x:c r="F36" s="26" t="n">
        <x:v>0.712</x:v>
      </x:c>
      <x:c r="G36" s="17" t="n">
        <x:v>136220.625</x:v>
      </x:c>
      <x:c r="H36" s="17" t="n">
        <x:f>G36*F36</x:f>
        <x:v>96989.08499999999</x:v>
      </x:c>
      <x:c r="I36" s="22" t="str">
        <x:f>HYPERLINK("https://etp-aktiv.ru/catalog/materialy/gsm/2000200523-U117/","Открыть позицию")</x:f>
        <x:v>Открыть позицию</x:v>
      </x:c>
    </x:row>
    <x:row r="37" ht="28" customHeight="1">
      <x:c r="A37" s="16" t="str">
        <x:v>Приморская ГРЭС</x:v>
      </x:c>
      <x:c r="B37" s="16" t="str">
        <x:v>2000480711-U117</x:v>
      </x:c>
      <x:c r="C37" s="16" t="str">
        <x:v>МАСЛО CAT TDTO SAE 30 208Л</x:v>
      </x:c>
      <x:c r="D37" s="16" t="str">
        <x:v>Масла и смазки различного назначения и типа</x:v>
      </x:c>
      <x:c r="E37" s="16" t="str">
        <x:v>Т</x:v>
      </x:c>
      <x:c r="F37" s="26" t="n">
        <x:v>0.36</x:v>
      </x:c>
      <x:c r="G37" s="17" t="n">
        <x:v>120738.825</x:v>
      </x:c>
      <x:c r="H37" s="17" t="n">
        <x:f>G37*F37</x:f>
        <x:v>43465.977</x:v>
      </x:c>
      <x:c r="I37" s="22" t="str">
        <x:f>HYPERLINK("https://etp-aktiv.ru/catalog/materialy/gsm/2000480711-U117/","Открыть позицию")</x:f>
        <x:v>Открыть позицию</x:v>
      </x:c>
    </x:row>
    <x:row r="38" ht="28" customHeight="1">
      <x:c r="A38" s="16" t="str">
        <x:v>Приморская ГРЭС</x:v>
      </x:c>
      <x:c r="B38" s="16" t="str">
        <x:v>2000512150-U117</x:v>
      </x:c>
      <x:c r="C38" s="16" t="str">
        <x:v>МАСЛО KANSLER DIESEL SAE 10W30 175,2КГ</x:v>
      </x:c>
      <x:c r="D38" s="16" t="str">
        <x:v>Масла и смазки различного назначения и типа</x:v>
      </x:c>
      <x:c r="E38" s="16" t="str">
        <x:v>Т</x:v>
      </x:c>
      <x:c r="F38" s="26" t="n">
        <x:v>0.194</x:v>
      </x:c>
      <x:c r="G38" s="17" t="n">
        <x:v>138664.52899999998</x:v>
      </x:c>
      <x:c r="H38" s="17" t="n">
        <x:f>G38*F38</x:f>
        <x:v>26900.918626</x:v>
      </x:c>
      <x:c r="I38" s="22" t="str">
        <x:f>HYPERLINK("https://etp-aktiv.ru/catalog/materialy/gsm/2000512150-U117/","Открыть позицию")</x:f>
        <x:v>Открыть позицию</x:v>
      </x:c>
    </x:row>
    <x:row r="39" ht="28" customHeight="1">
      <x:c r="A39" s="16" t="str">
        <x:v>Приморская ГРЭС</x:v>
      </x:c>
      <x:c r="B39" s="16" t="str">
        <x:v>2000265199-U117</x:v>
      </x:c>
      <x:c r="C39" s="16" t="str">
        <x:v>МАСЛО MOBIL SUPER 3000 X1 5W40 4Л</x:v>
      </x:c>
      <x:c r="D39" s="16" t="str">
        <x:v>Другие смазочные материалы и тех.жидкости</x:v>
      </x:c>
      <x:c r="E39" s="16" t="str">
        <x:v>ШТ</x:v>
      </x:c>
      <x:c r="F39" s="21" t="n">
        <x:v>1</x:v>
      </x:c>
      <x:c r="G39" s="17" t="n">
        <x:v>2292.075</x:v>
      </x:c>
      <x:c r="H39" s="17" t="n">
        <x:f>G39*F39</x:f>
        <x:v>2292.075</x:v>
      </x:c>
      <x:c r="I39" s="22" t="str">
        <x:f>HYPERLINK("https://etp-aktiv.ru/catalog/materialy/gsm/2000265199-U117/","Открыть позицию")</x:f>
        <x:v>Открыть позицию</x:v>
      </x:c>
    </x:row>
    <x:row r="40" ht="28" customHeight="1">
      <x:c r="A40" s="16" t="str">
        <x:v>Приморская ГРЭС</x:v>
      </x:c>
      <x:c r="B40" s="16" t="str">
        <x:v>2000030367-U117</x:v>
      </x:c>
      <x:c r="C40" s="16" t="str">
        <x:v>МАСЛО SHELL RIMULA ULTRA 10W40</x:v>
      </x:c>
      <x:c r="D40" s="16" t="str">
        <x:v>Масла и смазки различного назначения и типа</x:v>
      </x:c>
      <x:c r="E40" s="16" t="str">
        <x:v>Т</x:v>
      </x:c>
      <x:c r="F40" s="26" t="n">
        <x:v>0.04</x:v>
      </x:c>
      <x:c r="G40" s="17" t="n">
        <x:v>199601.1256</x:v>
      </x:c>
      <x:c r="H40" s="17" t="n">
        <x:f>G40*F40</x:f>
        <x:v>7984.045024</x:v>
      </x:c>
      <x:c r="I40" s="22" t="str">
        <x:f>HYPERLINK("https://etp-aktiv.ru/catalog/materialy/gsm/2000030367-U117/","Открыть позицию")</x:f>
        <x:v>Открыть позицию</x:v>
      </x:c>
    </x:row>
    <x:row r="41" ht="28" customHeight="1">
      <x:c r="A41" s="16" t="str">
        <x:v>Приморская ГРЭС</x:v>
      </x:c>
      <x:c r="B41" s="16" t="str">
        <x:v>2000271680-U117</x:v>
      </x:c>
      <x:c r="C41" s="16" t="str">
        <x:v>МАСЛО TEBOIL HYPOID SAE 75W90 GL-5</x:v>
      </x:c>
      <x:c r="D41" s="16" t="str">
        <x:v>Масла и смазки различного назначения и типа</x:v>
      </x:c>
      <x:c r="E41" s="16" t="str">
        <x:v>Т</x:v>
      </x:c>
      <x:c r="F41" s="26" t="n">
        <x:v>0.018</x:v>
      </x:c>
      <x:c r="G41" s="17" t="n">
        <x:v>244080.82499999998</x:v>
      </x:c>
      <x:c r="H41" s="17" t="n">
        <x:f>G41*F41</x:f>
        <x:v>4393.454849999999</x:v>
      </x:c>
      <x:c r="I41" s="22" t="str">
        <x:f>HYPERLINK("https://etp-aktiv.ru/catalog/materialy/gsm/2000271680-U117/","Открыть позицию")</x:f>
        <x:v>Открыть позицию</x:v>
      </x:c>
    </x:row>
    <x:row r="42" ht="28" customHeight="1">
      <x:c r="A42" s="16" t="str">
        <x:v>Приморская ГРЭС</x:v>
      </x:c>
      <x:c r="B42" s="16" t="str">
        <x:v>2000479959-U117</x:v>
      </x:c>
      <x:c r="C42" s="16" t="str">
        <x:v>МАСЛО TOTAL TRANSMISSION AXLE 7 80W90</x:v>
      </x:c>
      <x:c r="D42" s="16" t="str">
        <x:v>Масла и смазки различного назначения и типа</x:v>
      </x:c>
      <x:c r="E42" s="16" t="str">
        <x:v>Т</x:v>
      </x:c>
      <x:c r="F42" s="26" t="n">
        <x:v>0.36</x:v>
      </x:c>
      <x:c r="G42" s="17" t="n">
        <x:v>195200</x:v>
      </x:c>
      <x:c r="H42" s="17" t="n">
        <x:f>G42*F42</x:f>
        <x:v>70272</x:v>
      </x:c>
      <x:c r="I42" s="22" t="str">
        <x:f>HYPERLINK("https://etp-aktiv.ru/catalog/materialy/gsm/2000479959-U117/","Открыть позицию")</x:f>
        <x:v>Открыть позицию</x:v>
      </x:c>
    </x:row>
    <x:row r="43" ht="28" customHeight="1">
      <x:c r="A43" s="16" t="str">
        <x:v>Приморская ГРЭС</x:v>
      </x:c>
      <x:c r="B43" s="16" t="str">
        <x:v>2000816730-U117</x:v>
      </x:c>
      <x:c r="C43" s="16" t="str">
        <x:v>МАСЛО ГИДРАВ MANITOU ISO VG 46</x:v>
      </x:c>
      <x:c r="D43" s="16" t="str">
        <x:v>Масла и смазки различного назначения и типа</x:v>
      </x:c>
      <x:c r="E43" s="16" t="str">
        <x:v>Т</x:v>
      </x:c>
      <x:c r="F43" s="26" t="n">
        <x:v>0.019</x:v>
      </x:c>
      <x:c r="G43" s="17" t="n">
        <x:v>156782.3952</x:v>
      </x:c>
      <x:c r="H43" s="17" t="n">
        <x:f>G43*F43</x:f>
        <x:v>2978.8655088</x:v>
      </x:c>
      <x:c r="I43" s="22" t="str">
        <x:f>HYPERLINK("https://etp-aktiv.ru/catalog/materialy/gsm/2000816730-U117/","Открыть позицию")</x:f>
        <x:v>Открыть позицию</x:v>
      </x:c>
    </x:row>
    <x:row r="44" ht="28" customHeight="1">
      <x:c r="A44" s="16" t="str">
        <x:v>Приморская ГРЭС</x:v>
      </x:c>
      <x:c r="B44" s="16" t="str">
        <x:v>2000479506-U117</x:v>
      </x:c>
      <x:c r="C44" s="16" t="str">
        <x:v>МАСЛО ГИДРАВ TOTAL DYNATRANS AC 10W</x:v>
      </x:c>
      <x:c r="D44" s="16" t="str">
        <x:v>Масла и смазки различного назначения и типа</x:v>
      </x:c>
      <x:c r="E44" s="16" t="str">
        <x:v>Т</x:v>
      </x:c>
      <x:c r="F44" s="26" t="n">
        <x:v>0.013</x:v>
      </x:c>
      <x:c r="G44" s="17" t="n">
        <x:v>171304.18939999997</x:v>
      </x:c>
      <x:c r="H44" s="17" t="n">
        <x:f>G44*F44</x:f>
        <x:v>2226.9544621999994</x:v>
      </x:c>
      <x:c r="I44" s="22" t="str">
        <x:f>HYPERLINK("https://etp-aktiv.ru/catalog/materialy/gsm/2000479506-U117/","Открыть позицию")</x:f>
        <x:v>Открыть позицию</x:v>
      </x:c>
    </x:row>
    <x:row r="45" ht="28" customHeight="1">
      <x:c r="A45" s="16" t="str">
        <x:v>Приморская ГРЭС</x:v>
      </x:c>
      <x:c r="B45" s="16" t="str">
        <x:v>2000301150-U117</x:v>
      </x:c>
      <x:c r="C45" s="16" t="str">
        <x:v>МАСЛО ГИДРАВЛИЧЕСКОЕ CAT HYDO 10W</x:v>
      </x:c>
      <x:c r="D45" s="16" t="str">
        <x:v>Масла и смазки различного назначения и типа</x:v>
      </x:c>
      <x:c r="E45" s="16" t="str">
        <x:v>Т</x:v>
      </x:c>
      <x:c r="F45" s="30" t="n">
        <x:v>1.24</x:v>
      </x:c>
      <x:c r="G45" s="17" t="n">
        <x:v>125279.84799999998</x:v>
      </x:c>
      <x:c r="H45" s="17" t="n">
        <x:f>G45*F45</x:f>
        <x:v>155347.01151999997</x:v>
      </x:c>
      <x:c r="I45" s="22" t="str">
        <x:f>HYPERLINK("https://etp-aktiv.ru/catalog/materialy/gsm/2000301150-U117/","Открыть позицию")</x:f>
        <x:v>Открыть позицию</x:v>
      </x:c>
    </x:row>
    <x:row r="46" ht="28" customHeight="1">
      <x:c r="A46" s="16" t="str">
        <x:v>Приморская ГРЭС</x:v>
      </x:c>
      <x:c r="B46" s="16" t="str">
        <x:v>2000030276-U117</x:v>
      </x:c>
      <x:c r="C46" s="16" t="str">
        <x:v>МАСЛО ГИДРАВЛИЧЕСКОЕ ВМГЗ</x:v>
      </x:c>
      <x:c r="D46" s="16" t="str">
        <x:v>Масла и смазки различного назначения и типа</x:v>
      </x:c>
      <x:c r="E46" s="16" t="str">
        <x:v>Т</x:v>
      </x:c>
      <x:c r="F46" s="26" t="n">
        <x:v>0.672</x:v>
      </x:c>
      <x:c r="G46" s="17" t="n">
        <x:v>67771.17079999999</x:v>
      </x:c>
      <x:c r="H46" s="17" t="n">
        <x:f>G46*F46</x:f>
        <x:v>45542.2267776</x:v>
      </x:c>
      <x:c r="I46" s="22" t="str">
        <x:f>HYPERLINK("https://etp-aktiv.ru/catalog/materialy/gsm/2000030276-U117/","Открыть позицию")</x:f>
        <x:v>Открыть позицию</x:v>
      </x:c>
    </x:row>
    <x:row r="47" ht="28" customHeight="1">
      <x:c r="A47" s="16" t="str">
        <x:v>Приморская ГРЭС</x:v>
      </x:c>
      <x:c r="B47" s="16" t="str">
        <x:v>2000817887-U117</x:v>
      </x:c>
      <x:c r="C47" s="16" t="str">
        <x:v>МАСЛО КОМПРЕС CORENA S2 P 150 20КГ</x:v>
      </x:c>
      <x:c r="D47" s="16" t="str">
        <x:v>Масла и смазки различного назначения и типа</x:v>
      </x:c>
      <x:c r="E47" s="16" t="str">
        <x:v>Т</x:v>
      </x:c>
      <x:c r="F47" s="26" t="n">
        <x:v>0.003</x:v>
      </x:c>
      <x:c r="G47" s="17" t="n">
        <x:v>332703.14999999997</x:v>
      </x:c>
      <x:c r="H47" s="17" t="n">
        <x:f>G47*F47</x:f>
        <x:v>998.1094499999999</x:v>
      </x:c>
      <x:c r="I47" s="22" t="str">
        <x:f>HYPERLINK("https://etp-aktiv.ru/catalog/materialy/gsm/2000817887-U117/","Открыть позицию")</x:f>
        <x:v>Открыть позицию</x:v>
      </x:c>
    </x:row>
    <x:row r="48" ht="28" customHeight="1">
      <x:c r="A48" s="16" t="str">
        <x:v>Приморская ГРЭС</x:v>
      </x:c>
      <x:c r="B48" s="16" t="str">
        <x:v>2000582508-U117</x:v>
      </x:c>
      <x:c r="C48" s="16" t="str">
        <x:v>МАСЛО ЛУКОЙЛ АВАНГАРД SAE 10W40 18Л</x:v>
      </x:c>
      <x:c r="D48" s="16" t="str">
        <x:v>Другие смазочные материалы и тех.жидкости</x:v>
      </x:c>
      <x:c r="E48" s="16" t="str">
        <x:v>ШТ</x:v>
      </x:c>
      <x:c r="F48" s="21" t="n">
        <x:v>12</x:v>
      </x:c>
      <x:c r="G48" s="17" t="n">
        <x:v>4061.5874</x:v>
      </x:c>
      <x:c r="H48" s="17" t="n">
        <x:f>G48*F48</x:f>
        <x:v>48739.0488</x:v>
      </x:c>
      <x:c r="I48" s="22" t="str">
        <x:f>HYPERLINK("https://etp-aktiv.ru/catalog/materialy/gsm/2000582508-U117/","Открыть позицию")</x:f>
        <x:v>Открыть позицию</x:v>
      </x:c>
    </x:row>
    <x:row r="49" ht="28" customHeight="1">
      <x:c r="A49" s="16" t="str">
        <x:v>Приморская ГРЭС</x:v>
      </x:c>
      <x:c r="B49" s="16" t="str">
        <x:v>2000030397-U117</x:v>
      </x:c>
      <x:c r="C49" s="16" t="str">
        <x:v>МАСЛО М10ДМ SAE30</x:v>
      </x:c>
      <x:c r="D49" s="16" t="str">
        <x:v>Масла и смазки различного назначения и типа</x:v>
      </x:c>
      <x:c r="E49" s="16" t="str">
        <x:v>Т</x:v>
      </x:c>
      <x:c r="F49" s="30" t="n">
        <x:v>3.597</x:v>
      </x:c>
      <x:c r="G49" s="17" t="n">
        <x:v>83492.0542</x:v>
      </x:c>
      <x:c r="H49" s="17" t="n">
        <x:f>G49*F49</x:f>
        <x:v>300320.9189574</x:v>
      </x:c>
      <x:c r="I49" s="22" t="str">
        <x:f>HYPERLINK("https://etp-aktiv.ru/catalog/materialy/gsm/2000030397-U117/","Открыть позицию")</x:f>
        <x:v>Открыть позицию</x:v>
      </x:c>
    </x:row>
    <x:row r="50" ht="28" customHeight="1">
      <x:c r="A50" s="16" t="str">
        <x:v>Приморская ГРЭС</x:v>
      </x:c>
      <x:c r="B50" s="16" t="str">
        <x:v>2000030409-U117</x:v>
      </x:c>
      <x:c r="C50" s="16" t="str">
        <x:v>МАСЛО МС-20 50 CH-4</x:v>
      </x:c>
      <x:c r="D50" s="16" t="str">
        <x:v>Масла и смазки различного назначения и типа</x:v>
      </x:c>
      <x:c r="E50" s="16" t="str">
        <x:v>Т</x:v>
      </x:c>
      <x:c r="F50" s="26" t="n">
        <x:v>0.209</x:v>
      </x:c>
      <x:c r="G50" s="17" t="n">
        <x:v>83224.3618</x:v>
      </x:c>
      <x:c r="H50" s="17" t="n">
        <x:f>G50*F50</x:f>
        <x:v>17393.8916162</x:v>
      </x:c>
      <x:c r="I50" s="22" t="str">
        <x:f>HYPERLINK("https://etp-aktiv.ru/catalog/materialy/gsm/2000030409-U117/","Открыть позицию")</x:f>
        <x:v>Открыть позицию</x:v>
      </x:c>
    </x:row>
    <x:row r="51" ht="28" customHeight="1">
      <x:c r="A51" s="16" t="str">
        <x:v>Приморская ГРЭС</x:v>
      </x:c>
      <x:c r="B51" s="16" t="str">
        <x:v>2000030484-U117</x:v>
      </x:c>
      <x:c r="C51" s="16" t="str">
        <x:v>МАСЛО ТАД-17 80W90 GL-5</x:v>
      </x:c>
      <x:c r="D51" s="16" t="str">
        <x:v>Масла и смазки различного назначения и типа</x:v>
      </x:c>
      <x:c r="E51" s="16" t="str">
        <x:v>Т</x:v>
      </x:c>
      <x:c r="F51" s="26" t="n">
        <x:v>0.4</x:v>
      </x:c>
      <x:c r="G51" s="17" t="n">
        <x:v>184475.1386</x:v>
      </x:c>
      <x:c r="H51" s="17" t="n">
        <x:f>G51*F51</x:f>
        <x:v>73790.05544000001</x:v>
      </x:c>
      <x:c r="I51" s="22" t="str">
        <x:f>HYPERLINK("https://etp-aktiv.ru/catalog/materialy/gsm/2000030484-U117/","Открыть позицию")</x:f>
        <x:v>Открыть позицию</x:v>
      </x:c>
    </x:row>
    <x:row r="52" ht="28" customHeight="1">
      <x:c r="A52" s="16" t="str">
        <x:v>Приморская ГРЭС</x:v>
      </x:c>
      <x:c r="B52" s="16" t="str">
        <x:v>2000030474-U117</x:v>
      </x:c>
      <x:c r="C52" s="16" t="str">
        <x:v>МАСЛО ТАП-15В SAE90 GI-3</x:v>
      </x:c>
      <x:c r="D52" s="16" t="str">
        <x:v>Масла и смазки различного назначения и типа</x:v>
      </x:c>
      <x:c r="E52" s="16" t="str">
        <x:v>Т</x:v>
      </x:c>
      <x:c r="F52" s="26" t="n">
        <x:v>0.011</x:v>
      </x:c>
      <x:c r="G52" s="17" t="n">
        <x:v>93185.89360000001</x:v>
      </x:c>
      <x:c r="H52" s="17" t="n">
        <x:f>G52*F52</x:f>
        <x:v>1025.0448296</x:v>
      </x:c>
      <x:c r="I52" s="22" t="str">
        <x:f>HYPERLINK("https://etp-aktiv.ru/catalog/materialy/gsm/2000030474-U117/","Открыть позицию")</x:f>
        <x:v>Открыть позицию</x:v>
      </x:c>
    </x:row>
    <x:row r="53" ht="28" customHeight="1">
      <x:c r="A53" s="16" t="str">
        <x:v>Приморская ГРЭС</x:v>
      </x:c>
      <x:c r="B53" s="16" t="str">
        <x:v>2000478398-U117</x:v>
      </x:c>
      <x:c r="C53" s="16" t="str">
        <x:v>МАСЛО ТРАНСМ CAT TDTO SAE 10W TO-4 20Л</x:v>
      </x:c>
      <x:c r="D53" s="16" t="str">
        <x:v>Масла и смазки различного назначения и типа</x:v>
      </x:c>
      <x:c r="E53" s="16" t="str">
        <x:v>Т</x:v>
      </x:c>
      <x:c r="F53" s="26" t="n">
        <x:v>0.9</x:v>
      </x:c>
      <x:c r="G53" s="17" t="n">
        <x:v>179862.16</x:v>
      </x:c>
      <x:c r="H53" s="17" t="n">
        <x:f>G53*F53</x:f>
        <x:v>161875.94400000002</x:v>
      </x:c>
      <x:c r="I53" s="22" t="str">
        <x:f>HYPERLINK("https://etp-aktiv.ru/catalog/materialy/gsm/2000478398-U117/","Открыть позицию")</x:f>
        <x:v>Открыть позицию</x:v>
      </x:c>
    </x:row>
    <x:row r="54" ht="28" customHeight="1">
      <x:c r="A54" s="16" t="str">
        <x:v>Приморская ГРЭС</x:v>
      </x:c>
      <x:c r="B54" s="16" t="str">
        <x:v>2000139849-U117</x:v>
      </x:c>
      <x:c r="C54" s="16" t="str">
        <x:v>МЕНЗУРКА 50МЛ ГОСТ1770-74</x:v>
      </x:c>
      <x:c r="D54" s="16" t="str">
        <x:v>Химическая посуда</x:v>
      </x:c>
      <x:c r="E54" s="16" t="str">
        <x:v>ШТ</x:v>
      </x:c>
      <x:c r="F54" s="21" t="n">
        <x:v>5</x:v>
      </x:c>
      <x:c r="G54" s="17" t="n">
        <x:v>471.22499999999997</x:v>
      </x:c>
      <x:c r="H54" s="17" t="n">
        <x:f>G54*F54</x:f>
        <x:v>2356.125</x:v>
      </x:c>
      <x:c r="I54" s="22" t="str">
        <x:f>HYPERLINK("https://etp-aktiv.ru/catalog/materialy/mebel-i-bytovaya-tekhnika/2000139849-U117/","Открыть позицию")</x:f>
        <x:v>Открыть позицию</x:v>
      </x:c>
    </x:row>
    <x:row r="55" ht="28" customHeight="1">
      <x:c r="A55" s="16" t="str">
        <x:v>Приморская ГРЭС</x:v>
      </x:c>
      <x:c r="B55" s="16" t="str">
        <x:v>2000530852-U117</x:v>
      </x:c>
      <x:c r="C55" s="16" t="str">
        <x:v>НАТРИЙ КРЕМНЕФТ ТЕХ СОР ВЫС ТУ113-08-587</x:v>
      </x:c>
      <x:c r="D55" s="16" t="str">
        <x:v>Химические материалы прочие</x:v>
      </x:c>
      <x:c r="E55" s="16" t="str">
        <x:v>КГ</x:v>
      </x:c>
      <x:c r="F55" s="26" t="n">
        <x:v>0.06</x:v>
      </x:c>
      <x:c r="G55" s="17" t="n">
        <x:v>118.035</x:v>
      </x:c>
      <x:c r="H55" s="17" t="n">
        <x:f>G55*F55</x:f>
        <x:v>7.0821</x:v>
      </x:c>
      <x:c r="I55" s="22" t="str">
        <x:f>HYPERLINK("https://etp-aktiv.ru/catalog/materialy/himicheskaya-produkciya/2000530852-U117/","Открыть позицию")</x:f>
        <x:v>Открыть позицию</x:v>
      </x:c>
    </x:row>
    <x:row r="56" ht="28" customHeight="1">
      <x:c r="A56" s="16" t="str">
        <x:v>Приморская ГРЭС</x:v>
      </x:c>
      <x:c r="B56" s="16" t="str">
        <x:v>2000263407-U117</x:v>
      </x:c>
      <x:c r="C56" s="16" t="str">
        <x:v>НЕФРАС С2-80/120 900МЛ ГОСТ443-76</x:v>
      </x:c>
      <x:c r="D56" s="16" t="str">
        <x:v>Химические материалы прочие</x:v>
      </x:c>
      <x:c r="E56" s="16" t="str">
        <x:v>ШТ</x:v>
      </x:c>
      <x:c r="F56" s="21" t="n">
        <x:v>20</x:v>
      </x:c>
      <x:c r="G56" s="17" t="n">
        <x:v>397.11</x:v>
      </x:c>
      <x:c r="H56" s="17" t="n">
        <x:f>G56*F56</x:f>
        <x:v>7942.200000000001</x:v>
      </x:c>
      <x:c r="I56" s="22" t="str">
        <x:f>HYPERLINK("https://etp-aktiv.ru/catalog/materialy/himicheskaya-produkciya/2000263407-U117/","Открыть позицию")</x:f>
        <x:v>Открыть позицию</x:v>
      </x:c>
    </x:row>
    <x:row r="57" ht="28" customHeight="1">
      <x:c r="A57" s="16" t="str">
        <x:v>Приморская ГРЭС</x:v>
      </x:c>
      <x:c r="B57" s="16" t="str">
        <x:v>2000547665-U117</x:v>
      </x:c>
      <x:c r="C57" s="16" t="str">
        <x:v>ОБЕЗЖИРИВАТЕЛЬ TANGIT 794961 1Л</x:v>
      </x:c>
      <x:c r="D57" s="16" t="str">
        <x:v>Химические материалы прочие</x:v>
      </x:c>
      <x:c r="E57" s="16" t="str">
        <x:v>ШТ</x:v>
      </x:c>
      <x:c r="F57" s="21" t="n">
        <x:v>133</x:v>
      </x:c>
      <x:c r="G57" s="17" t="n">
        <x:v>917.745</x:v>
      </x:c>
      <x:c r="H57" s="17" t="n">
        <x:f>G57*F57</x:f>
        <x:v>122060.085</x:v>
      </x:c>
      <x:c r="I57" s="22" t="str">
        <x:f>HYPERLINK("https://etp-aktiv.ru/catalog/materialy/stroitelnye-materialy/2000547665-U117/","Открыть позицию")</x:f>
        <x:v>Открыть позицию</x:v>
      </x:c>
    </x:row>
    <x:row r="58" ht="28" customHeight="1">
      <x:c r="A58" s="16" t="str">
        <x:v>Приморская ГРЭС</x:v>
      </x:c>
      <x:c r="B58" s="16" t="str">
        <x:v>2000609781-U117</x:v>
      </x:c>
      <x:c r="C58" s="16" t="str">
        <x:v>ОЛИФА ОКСОЛЬ МАРКА В ГОСТ190-78</x:v>
      </x:c>
      <x:c r="D58" s="16" t="str">
        <x:v>Лакокрасочные материалы</x:v>
      </x:c>
      <x:c r="E58" s="16" t="str">
        <x:v>КГ</x:v>
      </x:c>
      <x:c r="F58" s="30" t="n">
        <x:v>30.609</x:v>
      </x:c>
      <x:c r="G58" s="17" t="n">
        <x:v>189.1</x:v>
      </x:c>
      <x:c r="H58" s="17" t="n">
        <x:f>G58*F58</x:f>
        <x:v>5788.1619</x:v>
      </x:c>
      <x:c r="I58" s="22" t="str">
        <x:f>HYPERLINK("https://etp-aktiv.ru/catalog/materialy/lakokrasochnye-materialy/2000609781-U117/","Открыть позицию")</x:f>
        <x:v>Открыть позицию</x:v>
      </x:c>
    </x:row>
    <x:row r="59" ht="28" customHeight="1">
      <x:c r="A59" s="16" t="str">
        <x:v>Приморская ГРЭС</x:v>
      </x:c>
      <x:c r="B59" s="16" t="str">
        <x:v>2000139506-U117</x:v>
      </x:c>
      <x:c r="C59" s="16" t="str">
        <x:v>ОТВЕРДИТЕЛЬ ПЭПА ПОЛИЭТИЛЕНПОЛИАМИН</x:v>
      </x:c>
      <x:c r="D59" s="16" t="str">
        <x:v>Химические материалы прочие</x:v>
      </x:c>
      <x:c r="E59" s="16" t="str">
        <x:v>КГ</x:v>
      </x:c>
      <x:c r="F59" s="30" t="n">
        <x:v>2.908</x:v>
      </x:c>
      <x:c r="G59" s="17" t="n">
        <x:v>1080.2124</x:v>
      </x:c>
      <x:c r="H59" s="17" t="n">
        <x:f>G59*F59</x:f>
        <x:v>3141.2576591999996</x:v>
      </x:c>
      <x:c r="I59" s="22" t="str">
        <x:f>HYPERLINK("https://etp-aktiv.ru/catalog/materialy/himicheskaya-produkciya/2000139506-U117/","Открыть позицию")</x:f>
        <x:v>Открыть позицию</x:v>
      </x:c>
    </x:row>
    <x:row r="60" ht="28" customHeight="1">
      <x:c r="A60" s="16" t="str">
        <x:v>Приморская ГРЭС</x:v>
      </x:c>
      <x:c r="B60" s="16" t="str">
        <x:v>2000547606-U117</x:v>
      </x:c>
      <x:c r="C60" s="16" t="str">
        <x:v>ПАРАФИН ТВЕРДЫЙ ОЧИЩЕН Т-1 ГОСТ23683-89</x:v>
      </x:c>
      <x:c r="D60" s="16" t="str">
        <x:v>Химические материалы прочие</x:v>
      </x:c>
      <x:c r="E60" s="16" t="str">
        <x:v>КГ</x:v>
      </x:c>
      <x:c r="F60" s="26" t="n">
        <x:v>0.665</x:v>
      </x:c>
      <x:c r="G60" s="17" t="n">
        <x:v>192.15</x:v>
      </x:c>
      <x:c r="H60" s="17" t="n">
        <x:f>G60*F60</x:f>
        <x:v>127.77975</x:v>
      </x:c>
      <x:c r="I60" s="22" t="str">
        <x:f>HYPERLINK("https://etp-aktiv.ru/catalog/materialy/himicheskaya-produkciya/2000547606-U117/","Открыть позицию")</x:f>
        <x:v>Открыть позицию</x:v>
      </x:c>
    </x:row>
    <x:row r="61" ht="28" customHeight="1">
      <x:c r="A61" s="16" t="str">
        <x:v>Приморская ГРЭС</x:v>
      </x:c>
      <x:c r="B61" s="16" t="str">
        <x:v>2000764718-U117</x:v>
      </x:c>
      <x:c r="C61" s="16" t="str">
        <x:v>ПАСТА BELZONA 1831 1КГ</x:v>
      </x:c>
      <x:c r="D61" s="16" t="str">
        <x:v>Химические материалы прочие</x:v>
      </x:c>
      <x:c r="E61" s="16" t="str">
        <x:v>ШТ</x:v>
      </x:c>
      <x:c r="F61" s="21" t="n">
        <x:v>1</x:v>
      </x:c>
      <x:c r="G61" s="17" t="n">
        <x:v>9215.770199999999</x:v>
      </x:c>
      <x:c r="H61" s="17" t="n">
        <x:f>G61*F61</x:f>
        <x:v>9215.770199999999</x:v>
      </x:c>
      <x:c r="I61" s="22" t="str">
        <x:f>HYPERLINK("https://etp-aktiv.ru/catalog/materialy/himicheskaya-produkciya/2000764718-U117/","Открыть позицию")</x:f>
        <x:v>Открыть позицию</x:v>
      </x:c>
    </x:row>
    <x:row r="62" ht="28" customHeight="1">
      <x:c r="A62" s="16" t="str">
        <x:v>Приморская ГРЭС</x:v>
      </x:c>
      <x:c r="B62" s="16" t="str">
        <x:v>2000288930-U117</x:v>
      </x:c>
      <x:c r="C62" s="16" t="str">
        <x:v>ПАСТА ПРИТИР Д/КЛАП ФАБО 10Г ТУ0254-004</x:v>
      </x:c>
      <x:c r="D62" s="16" t="str">
        <x:v>Химические материалы прочие</x:v>
      </x:c>
      <x:c r="E62" s="16" t="str">
        <x:v>ШТ</x:v>
      </x:c>
      <x:c r="F62" s="21" t="n">
        <x:v>2</x:v>
      </x:c>
      <x:c r="G62" s="17" t="n">
        <x:v>142.8742</x:v>
      </x:c>
      <x:c r="H62" s="17" t="n">
        <x:f>G62*F62</x:f>
        <x:v>285.7484</x:v>
      </x:c>
      <x:c r="I62" s="22" t="str">
        <x:f>HYPERLINK("https://etp-aktiv.ru/catalog/materialy/himicheskaya-produkciya/2000288930-U117/","Открыть позицию")</x:f>
        <x:v>Открыть позицию</x:v>
      </x:c>
    </x:row>
    <x:row r="63" ht="28" customHeight="1">
      <x:c r="A63" s="16" t="str">
        <x:v>Приморская ГРЭС</x:v>
      </x:c>
      <x:c r="B63" s="16" t="str">
        <x:v>2000938219-U117</x:v>
      </x:c>
      <x:c r="C63" s="16" t="str">
        <x:v>ПАСТА РЕЗЬБОВАЯ MOLYKOTE 1000 1КГ</x:v>
      </x:c>
      <x:c r="D63" s="16" t="str">
        <x:v>Другие смазочные материалы и тех.жидкости</x:v>
      </x:c>
      <x:c r="E63" s="16" t="str">
        <x:v>ШТ</x:v>
      </x:c>
      <x:c r="F63" s="21" t="n">
        <x:v>1</x:v>
      </x:c>
      <x:c r="G63" s="17" t="n">
        <x:v>4117.5</x:v>
      </x:c>
      <x:c r="H63" s="17" t="n">
        <x:f>G63*F63</x:f>
        <x:v>4117.5</x:v>
      </x:c>
      <x:c r="I63" s="22" t="str">
        <x:f>HYPERLINK("https://etp-aktiv.ru/catalog/materialy/gsm/2000938219-U117/","Открыть позицию")</x:f>
        <x:v>Открыть позицию</x:v>
      </x:c>
    </x:row>
    <x:row r="64" ht="28" customHeight="1">
      <x:c r="A64" s="16" t="str">
        <x:v>Приморская ГРЭС</x:v>
      </x:c>
      <x:c r="B64" s="16" t="str">
        <x:v>2000448591-U117</x:v>
      </x:c>
      <x:c r="C64" s="16" t="str">
        <x:v>ПЛАСТИФИКАТОР С-3</x:v>
      </x:c>
      <x:c r="D64" s="16" t="str">
        <x:v>Химические материалы прочие</x:v>
      </x:c>
      <x:c r="E64" s="16" t="str">
        <x:v>КГ</x:v>
      </x:c>
      <x:c r="F64" s="30" t="n">
        <x:v>521.618</x:v>
      </x:c>
      <x:c r="G64" s="17" t="n">
        <x:v>270.0348</x:v>
      </x:c>
      <x:c r="H64" s="17" t="n">
        <x:f>G64*F64</x:f>
        <x:v>140855.01230640002</x:v>
      </x:c>
      <x:c r="I64" s="22" t="str">
        <x:f>HYPERLINK("https://etp-aktiv.ru/catalog/materialy/himicheskaya-produkciya/2000448591-U117/","Открыть позицию")</x:f>
        <x:v>Открыть позицию</x:v>
      </x:c>
    </x:row>
    <x:row r="65" ht="28" customHeight="1">
      <x:c r="A65" s="16" t="str">
        <x:v>Приморская ГРЭС</x:v>
      </x:c>
      <x:c r="B65" s="16" t="str">
        <x:v>2000477272-U117</x:v>
      </x:c>
      <x:c r="C65" s="16" t="str">
        <x:v>ПОРОШОК ГРАФИТОВЫЙ ГИИ-А ТУ1916-109-071</x:v>
      </x:c>
      <x:c r="D65" s="16" t="str">
        <x:v>Химические материалы прочие</x:v>
      </x:c>
      <x:c r="E65" s="16" t="str">
        <x:v>КГ</x:v>
      </x:c>
      <x:c r="F65" s="30" t="n">
        <x:v>11.056</x:v>
      </x:c>
      <x:c r="G65" s="17" t="n">
        <x:v>741.2842</x:v>
      </x:c>
      <x:c r="H65" s="17" t="n">
        <x:f>G65*F65</x:f>
        <x:v>8195.6381152</x:v>
      </x:c>
      <x:c r="I65" s="22" t="str">
        <x:f>HYPERLINK("https://etp-aktiv.ru/catalog/materialy/himicheskaya-produkciya/2000477272-U117/","Открыть позицию")</x:f>
        <x:v>Открыть позицию</x:v>
      </x:c>
    </x:row>
    <x:row r="66" ht="28" customHeight="1">
      <x:c r="A66" s="16" t="str">
        <x:v>Приморская ГРЭС</x:v>
      </x:c>
      <x:c r="B66" s="16" t="str">
        <x:v>2000035163-U117</x:v>
      </x:c>
      <x:c r="C66" s="16" t="str">
        <x:v>ПОРОШОК СТИРАЛЬНЫЙ ГОСТ25644-96</x:v>
      </x:c>
      <x:c r="D66" s="16" t="str">
        <x:v>Химические материалы прочие</x:v>
      </x:c>
      <x:c r="E66" s="16" t="str">
        <x:v>КГ</x:v>
      </x:c>
      <x:c r="F66" s="30" t="n">
        <x:v>8.8</x:v>
      </x:c>
      <x:c r="G66" s="17" t="n">
        <x:v>95.3064</x:v>
      </x:c>
      <x:c r="H66" s="17" t="n">
        <x:f>G66*F66</x:f>
        <x:v>838.69632</x:v>
      </x:c>
      <x:c r="I66" s="22" t="str">
        <x:f>HYPERLINK("https://etp-aktiv.ru/catalog/materialy/himicheskaya-produkciya/2000035163-U117/","Открыть позицию")</x:f>
        <x:v>Открыть позицию</x:v>
      </x:c>
    </x:row>
    <x:row r="67" ht="28" customHeight="1">
      <x:c r="A67" s="16" t="str">
        <x:v>Приморская ГРЭС</x:v>
      </x:c>
      <x:c r="B67" s="16" t="str">
        <x:v>2000528336-U117</x:v>
      </x:c>
      <x:c r="C67" s="16" t="str">
        <x:v>ПРЕОБРАЗОВАТЕЛЬ РЖАВЧИНЫ ЖЕЛЬ МС-17</x:v>
      </x:c>
      <x:c r="D67" s="16" t="str">
        <x:v>Химические материалы прочие</x:v>
      </x:c>
      <x:c r="E67" s="16" t="str">
        <x:v>Л</x:v>
      </x:c>
      <x:c r="F67" s="21" t="n">
        <x:v>29</x:v>
      </x:c>
      <x:c r="G67" s="17" t="n">
        <x:v>271.5354</x:v>
      </x:c>
      <x:c r="H67" s="17" t="n">
        <x:f>G67*F67</x:f>
        <x:v>7874.526599999999</x:v>
      </x:c>
      <x:c r="I67" s="22" t="str">
        <x:f>HYPERLINK("https://etp-aktiv.ru/catalog/materialy/himicheskaya-produkciya/2000528336-U117/","Открыть позицию")</x:f>
        <x:v>Открыть позицию</x:v>
      </x:c>
    </x:row>
    <x:row r="68" ht="28" customHeight="1">
      <x:c r="A68" s="16" t="str">
        <x:v>Приморская ГРЭС</x:v>
      </x:c>
      <x:c r="B68" s="16" t="str">
        <x:v>2000320096-U117</x:v>
      </x:c>
      <x:c r="C68" s="16" t="str">
        <x:v>ПРЕОБРАЗОВАТЕЛЬ РЖАВЧИНЫ ТУ2494-002-5143</x:v>
      </x:c>
      <x:c r="D68" s="16" t="str">
        <x:v>Лакокрасочные материалы</x:v>
      </x:c>
      <x:c r="E68" s="16" t="str">
        <x:v>КГ</x:v>
      </x:c>
      <x:c r="F68" s="21" t="n">
        <x:v>1</x:v>
      </x:c>
      <x:c r="G68" s="17" t="n">
        <x:v>51.996399999999994</x:v>
      </x:c>
      <x:c r="H68" s="17" t="n">
        <x:f>G68*F68</x:f>
        <x:v>51.996399999999994</x:v>
      </x:c>
      <x:c r="I68" s="22" t="str">
        <x:f>HYPERLINK("https://etp-aktiv.ru/catalog/materialy/lakokrasochnye-materialy/2000320096-U117/","Открыть позицию")</x:f>
        <x:v>Открыть позицию</x:v>
      </x:c>
    </x:row>
    <x:row r="69" ht="28" customHeight="1">
      <x:c r="A69" s="16" t="str">
        <x:v>Приморская ГРЭС</x:v>
      </x:c>
      <x:c r="B69" s="16" t="str">
        <x:v>2000129796-U117</x:v>
      </x:c>
      <x:c r="C69" s="16" t="str">
        <x:v>РАСТВОРИТЕЛЬ 646 10Л</x:v>
      </x:c>
      <x:c r="D69" s="16" t="str">
        <x:v>Лакокрасочные материалы</x:v>
      </x:c>
      <x:c r="E69" s="16" t="str">
        <x:v>ШТ</x:v>
      </x:c>
      <x:c r="F69" s="21" t="n">
        <x:v>243</x:v>
      </x:c>
      <x:c r="G69" s="17" t="n">
        <x:v>976</x:v>
      </x:c>
      <x:c r="H69" s="17" t="n">
        <x:f>G69*F69</x:f>
        <x:v>237168</x:v>
      </x:c>
      <x:c r="I69" s="22" t="str">
        <x:f>HYPERLINK("https://etp-aktiv.ru/catalog/materialy/lakokrasochnye-materialy/2000129796-U117/","Открыть позицию")</x:f>
        <x:v>Открыть позицию</x:v>
      </x:c>
    </x:row>
    <x:row r="70" ht="28" customHeight="1">
      <x:c r="A70" s="16" t="str">
        <x:v>Приморская ГРЭС</x:v>
      </x:c>
      <x:c r="B70" s="16" t="str">
        <x:v>2000279355-U117</x:v>
      </x:c>
      <x:c r="C70" s="16" t="str">
        <x:v>РАСТВОРИТЕЛЬ 646 5Л ГОСТ18188-72</x:v>
      </x:c>
      <x:c r="D70" s="16" t="str">
        <x:v>Лакокрасочные материалы</x:v>
      </x:c>
      <x:c r="E70" s="16" t="str">
        <x:v>ШТ</x:v>
      </x:c>
      <x:c r="F70" s="21" t="n">
        <x:v>14</x:v>
      </x:c>
      <x:c r="G70" s="17" t="n">
        <x:v>564.8112</x:v>
      </x:c>
      <x:c r="H70" s="17" t="n">
        <x:f>G70*F70</x:f>
        <x:v>7907.3568</x:v>
      </x:c>
      <x:c r="I70" s="22" t="str">
        <x:f>HYPERLINK("https://etp-aktiv.ru/catalog/materialy/lakokrasochnye-materialy/2000279355-U117/","Открыть позицию")</x:f>
        <x:v>Открыть позицию</x:v>
      </x:c>
    </x:row>
    <x:row r="71" ht="28" customHeight="1">
      <x:c r="A71" s="16" t="str">
        <x:v>Приморская ГРЭС</x:v>
      </x:c>
      <x:c r="B71" s="16" t="str">
        <x:v>2000388828-U117</x:v>
      </x:c>
      <x:c r="C71" s="16" t="str">
        <x:v>РАСТВОРИТЕЛЬ THINNER GTA220</x:v>
      </x:c>
      <x:c r="D71" s="16" t="str">
        <x:v>Лакокрасочные материалы</x:v>
      </x:c>
      <x:c r="E71" s="16" t="str">
        <x:v>Л</x:v>
      </x:c>
      <x:c r="F71" s="21" t="n">
        <x:v>25</x:v>
      </x:c>
      <x:c r="G71" s="17" t="n">
        <x:v>186.0134</x:v>
      </x:c>
      <x:c r="H71" s="17" t="n">
        <x:f>G71*F71</x:f>
        <x:v>4650.335</x:v>
      </x:c>
      <x:c r="I71" s="22" t="str">
        <x:f>HYPERLINK("https://etp-aktiv.ru/catalog/materialy/lakokrasochnye-materialy/2000388828-U117/","Открыть позицию")</x:f>
        <x:v>Открыть позицию</x:v>
      </x:c>
    </x:row>
    <x:row r="72" ht="28" customHeight="1">
      <x:c r="A72" s="16" t="str">
        <x:v>Приморская ГРЭС</x:v>
      </x:c>
      <x:c r="B72" s="16" t="str">
        <x:v>2000459096-U117</x:v>
      </x:c>
      <x:c r="C72" s="16" t="str">
        <x:v>РАСТВОРИТЕЛЬ THINNER GTA713</x:v>
      </x:c>
      <x:c r="D72" s="16" t="str">
        <x:v>Лакокрасочные материалы</x:v>
      </x:c>
      <x:c r="E72" s="16" t="str">
        <x:v>Л</x:v>
      </x:c>
      <x:c r="F72" s="30" t="n">
        <x:v>34.4</x:v>
      </x:c>
      <x:c r="G72" s="17" t="n">
        <x:v>239.93739999999997</x:v>
      </x:c>
      <x:c r="H72" s="17" t="n">
        <x:f>G72*F72</x:f>
        <x:v>8253.846559999998</x:v>
      </x:c>
      <x:c r="I72" s="22" t="str">
        <x:f>HYPERLINK("https://etp-aktiv.ru/catalog/materialy/lakokrasochnye-materialy/2000459096-U117/","Открыть позицию")</x:f>
        <x:v>Открыть позицию</x:v>
      </x:c>
    </x:row>
    <x:row r="73" ht="28" customHeight="1">
      <x:c r="A73" s="16" t="str">
        <x:v>Приморская ГРЭС</x:v>
      </x:c>
      <x:c r="B73" s="16" t="str">
        <x:v>2000275979-U117</x:v>
      </x:c>
      <x:c r="C73" s="16" t="str">
        <x:v>РАСТВОРИТЕЛЬ НЕФРАС С2-80/120 0,5Л</x:v>
      </x:c>
      <x:c r="D73" s="16" t="str">
        <x:v>Лакокрасочные материалы</x:v>
      </x:c>
      <x:c r="E73" s="16" t="str">
        <x:v>ШТ</x:v>
      </x:c>
      <x:c r="F73" s="21" t="n">
        <x:v>75</x:v>
      </x:c>
      <x:c r="G73" s="17" t="n">
        <x:v>115.534</x:v>
      </x:c>
      <x:c r="H73" s="17" t="n">
        <x:f>G73*F73</x:f>
        <x:v>8665.050000000001</x:v>
      </x:c>
      <x:c r="I73" s="22" t="str">
        <x:f>HYPERLINK("https://etp-aktiv.ru/catalog/materialy/lakokrasochnye-materialy/2000275979-U117/","Открыть позицию")</x:f>
        <x:v>Открыть позицию</x:v>
      </x:c>
    </x:row>
    <x:row r="74" ht="28" customHeight="1">
      <x:c r="A74" s="16" t="str">
        <x:v>Приморская ГРЭС</x:v>
      </x:c>
      <x:c r="B74" s="16" t="str">
        <x:v>2000148856-U117</x:v>
      </x:c>
      <x:c r="C74" s="16" t="str">
        <x:v>РАСТВОРИТЕЛЬ Р-4</x:v>
      </x:c>
      <x:c r="D74" s="16" t="str">
        <x:v>Лакокрасочные материалы</x:v>
      </x:c>
      <x:c r="E74" s="16" t="str">
        <x:v>КГ</x:v>
      </x:c>
      <x:c r="F74" s="30" t="n">
        <x:v>66.36</x:v>
      </x:c>
      <x:c r="G74" s="17" t="n">
        <x:v>166.6276</x:v>
      </x:c>
      <x:c r="H74" s="17" t="n">
        <x:f>G74*F74</x:f>
        <x:v>11057.407536</x:v>
      </x:c>
      <x:c r="I74" s="22" t="str">
        <x:f>HYPERLINK("https://etp-aktiv.ru/catalog/materialy/lakokrasochnye-materialy/2000148856-U117/","Открыть позицию")</x:f>
        <x:v>Открыть позицию</x:v>
      </x:c>
    </x:row>
    <x:row r="75" ht="28" customHeight="1">
      <x:c r="A75" s="16" t="str">
        <x:v>Приморская ГРЭС</x:v>
      </x:c>
      <x:c r="B75" s="16" t="str">
        <x:v>2000174229-U117</x:v>
      </x:c>
      <x:c r="C75" s="16" t="str">
        <x:v>РАСТВОРИТЕЛЬ Р-4 ГОСТ7827-74 (Л)</x:v>
      </x:c>
      <x:c r="D75" s="16" t="str">
        <x:v>Лакокрасочные материалы</x:v>
      </x:c>
      <x:c r="E75" s="16" t="str">
        <x:v>Л</x:v>
      </x:c>
      <x:c r="F75" s="30" t="n">
        <x:v>208.86</x:v>
      </x:c>
      <x:c r="G75" s="17" t="n">
        <x:v>219.2218</x:v>
      </x:c>
      <x:c r="H75" s="17" t="n">
        <x:f>G75*F75</x:f>
        <x:v>45786.665148</x:v>
      </x:c>
      <x:c r="I75" s="22" t="str">
        <x:f>HYPERLINK("https://etp-aktiv.ru/catalog/materialy/lakokrasochnye-materialy/2000174229-U117/","Открыть позицию")</x:f>
        <x:v>Открыть позицию</x:v>
      </x:c>
    </x:row>
    <x:row r="76" ht="28" customHeight="1">
      <x:c r="A76" s="16" t="str">
        <x:v>Приморская ГРЭС</x:v>
      </x:c>
      <x:c r="B76" s="16" t="str">
        <x:v>2000280553-U117</x:v>
      </x:c>
      <x:c r="C76" s="16" t="str">
        <x:v>РАСТВОРИТЕЛЬ УАЙТ-СПИРИТ 0,5Л</x:v>
      </x:c>
      <x:c r="D76" s="16" t="str">
        <x:v>Лакокрасочные материалы</x:v>
      </x:c>
      <x:c r="E76" s="16" t="str">
        <x:v>ШТ</x:v>
      </x:c>
      <x:c r="F76" s="30" t="n">
        <x:v>17.946</x:v>
      </x:c>
      <x:c r="G76" s="17" t="n">
        <x:v>57.6816</x:v>
      </x:c>
      <x:c r="H76" s="17" t="n">
        <x:f>G76*F76</x:f>
        <x:v>1035.1539936000001</x:v>
      </x:c>
      <x:c r="I76" s="22" t="str">
        <x:f>HYPERLINK("https://etp-aktiv.ru/catalog/materialy/lakokrasochnye-materialy/2000280553-U117/","Открыть позицию")</x:f>
        <x:v>Открыть позицию</x:v>
      </x:c>
    </x:row>
    <x:row r="77" ht="28" customHeight="1">
      <x:c r="A77" s="16" t="str">
        <x:v>Приморская ГРЭС</x:v>
      </x:c>
      <x:c r="B77" s="16" t="str">
        <x:v>2000690837-U117</x:v>
      </x:c>
      <x:c r="C77" s="16" t="str">
        <x:v>СВЯЗКА АЛЮМОХРОМФОСФАТНАЯ АХФС ТУ6-18-16</x:v>
      </x:c>
      <x:c r="D77" s="16" t="str">
        <x:v>Химические материалы прочие</x:v>
      </x:c>
      <x:c r="E77" s="16" t="str">
        <x:v>КГ</x:v>
      </x:c>
      <x:c r="F77" s="21" t="n">
        <x:v>195</x:v>
      </x:c>
      <x:c r="G77" s="17" t="n">
        <x:v>319.4204</x:v>
      </x:c>
      <x:c r="H77" s="17" t="n">
        <x:f>G77*F77</x:f>
        <x:v>62286.977999999996</x:v>
      </x:c>
      <x:c r="I77" s="22" t="str">
        <x:f>HYPERLINK("https://etp-aktiv.ru/catalog/materialy/himicheskaya-produkciya/2000690837-U117/","Открыть позицию")</x:f>
        <x:v>Открыть позицию</x:v>
      </x:c>
    </x:row>
    <x:row r="78" ht="28" customHeight="1">
      <x:c r="A78" s="16" t="str">
        <x:v>Приморская ГРЭС</x:v>
      </x:c>
      <x:c r="B78" s="16" t="str">
        <x:v>2000444328-U117</x:v>
      </x:c>
      <x:c r="C78" s="16" t="str">
        <x:v>СМАЗКА ЖТ-79Л 17КГ</x:v>
      </x:c>
      <x:c r="D78" s="16" t="str">
        <x:v>Другие смазочные материалы и тех.жидкости</x:v>
      </x:c>
      <x:c r="E78" s="16" t="str">
        <x:v>ШТ</x:v>
      </x:c>
      <x:c r="F78" s="21" t="n">
        <x:v>1</x:v>
      </x:c>
      <x:c r="G78" s="17" t="n">
        <x:v>4462.3452</x:v>
      </x:c>
      <x:c r="H78" s="17" t="n">
        <x:f>G78*F78</x:f>
        <x:v>4462.3452</x:v>
      </x:c>
      <x:c r="I78" s="22" t="str">
        <x:f>HYPERLINK("https://etp-aktiv.ru/catalog/materialy/gsm/2000444328-U117/","Открыть позицию")</x:f>
        <x:v>Открыть позицию</x:v>
      </x:c>
    </x:row>
    <x:row r="79" ht="28" customHeight="1">
      <x:c r="A79" s="16" t="str">
        <x:v>Приморская ГРЭС</x:v>
      </x:c>
      <x:c r="B79" s="16" t="str">
        <x:v>2000040437-U117</x:v>
      </x:c>
      <x:c r="C79" s="16" t="str">
        <x:v>СМАЗКА ЛЗ-ЦНИИ</x:v>
      </x:c>
      <x:c r="D79" s="16" t="str">
        <x:v>Масла и смазки различного назначения и типа</x:v>
      </x:c>
      <x:c r="E79" s="16" t="str">
        <x:v>Т</x:v>
      </x:c>
      <x:c r="F79" s="26" t="n">
        <x:v>0.018</x:v>
      </x:c>
      <x:c r="G79" s="17" t="n">
        <x:v>347210.0968</x:v>
      </x:c>
      <x:c r="H79" s="17" t="n">
        <x:f>G79*F79</x:f>
        <x:v>6249.7817423999995</x:v>
      </x:c>
      <x:c r="I79" s="22" t="str">
        <x:f>HYPERLINK("https://etp-aktiv.ru/catalog/materialy/gsm/2000040437-U117/","Открыть позицию")</x:f>
        <x:v>Открыть позицию</x:v>
      </x:c>
    </x:row>
    <x:row r="80" ht="28" customHeight="1">
      <x:c r="A80" s="16" t="str">
        <x:v>Приморская ГРЭС</x:v>
      </x:c>
      <x:c r="B80" s="16" t="str">
        <x:v>2000966678-U117</x:v>
      </x:c>
      <x:c r="C80" s="16" t="str">
        <x:v>СМАЗКА МОЛИБДЕНОВАЯ LOCTITE 8103 400МЛ</x:v>
      </x:c>
      <x:c r="D80" s="16" t="str">
        <x:v>Другие смазочные материалы и тех.жидкости</x:v>
      </x:c>
      <x:c r="E80" s="16" t="str">
        <x:v>ШТ</x:v>
      </x:c>
      <x:c r="F80" s="21" t="n">
        <x:v>114</x:v>
      </x:c>
      <x:c r="G80" s="17" t="n">
        <x:v>450.6802</x:v>
      </x:c>
      <x:c r="H80" s="17" t="n">
        <x:f>G80*F80</x:f>
        <x:v>51377.5428</x:v>
      </x:c>
      <x:c r="I80" s="22" t="str">
        <x:f>HYPERLINK("https://etp-aktiv.ru/catalog/materialy/gsm/2000966678-U117/","Открыть позицию")</x:f>
        <x:v>Открыть позицию</x:v>
      </x:c>
    </x:row>
    <x:row r="81" ht="28" customHeight="1">
      <x:c r="A81" s="16" t="str">
        <x:v>Приморская ГРЭС</x:v>
      </x:c>
      <x:c r="B81" s="16" t="str">
        <x:v>2000734368-U117</x:v>
      </x:c>
      <x:c r="C81" s="16" t="str">
        <x:v>СМАЗКА УПЛОТНИТЕЛЬНАЯ ЛЗ-162</x:v>
      </x:c>
      <x:c r="D81" s="16" t="str">
        <x:v>Масла и смазки различного назначения и типа</x:v>
      </x:c>
      <x:c r="E81" s="16" t="str">
        <x:v>КГ</x:v>
      </x:c>
      <x:c r="F81" s="21" t="n">
        <x:v>75</x:v>
      </x:c>
      <x:c r="G81" s="17" t="n">
        <x:v>368.2204</x:v>
      </x:c>
      <x:c r="H81" s="17" t="n">
        <x:f>G81*F81</x:f>
        <x:v>27616.53</x:v>
      </x:c>
      <x:c r="I81" s="22" t="str">
        <x:f>HYPERLINK("https://etp-aktiv.ru/catalog/materialy/gsm/2000734368-U117/","Открыть позицию")</x:f>
        <x:v>Открыть позицию</x:v>
      </x:c>
    </x:row>
    <x:row r="82" ht="28" customHeight="1">
      <x:c r="A82" s="16" t="str">
        <x:v>Приморская ГРЭС</x:v>
      </x:c>
      <x:c r="B82" s="16" t="str">
        <x:v>2000211761-U117</x:v>
      </x:c>
      <x:c r="C82" s="16" t="str">
        <x:v>СМАЗКА УССА</x:v>
      </x:c>
      <x:c r="D82" s="16" t="str">
        <x:v>Масла и смазки различного назначения и типа</x:v>
      </x:c>
      <x:c r="E82" s="16" t="str">
        <x:v>КГ</x:v>
      </x:c>
      <x:c r="F82" s="21" t="n">
        <x:v>12</x:v>
      </x:c>
      <x:c r="G82" s="17" t="n">
        <x:v>92.72</x:v>
      </x:c>
      <x:c r="H82" s="17" t="n">
        <x:f>G82*F82</x:f>
        <x:v>1112.6399999999999</x:v>
      </x:c>
      <x:c r="I82" s="22" t="str">
        <x:f>HYPERLINK("https://etp-aktiv.ru/catalog/materialy/gsm/2000211761-U117/","Открыть позицию")</x:f>
        <x:v>Открыть позицию</x:v>
      </x:c>
    </x:row>
    <x:row r="83" ht="28" customHeight="1">
      <x:c r="A83" s="16" t="str">
        <x:v>Приморская ГРЭС</x:v>
      </x:c>
      <x:c r="B83" s="16" t="str">
        <x:v>2000201484-U117</x:v>
      </x:c>
      <x:c r="C83" s="16" t="str">
        <x:v>СМАЗКА ЦИАТИМ-201</x:v>
      </x:c>
      <x:c r="D83" s="16" t="str">
        <x:v>Масла и смазки различного назначения и типа</x:v>
      </x:c>
      <x:c r="E83" s="16" t="str">
        <x:v>КГ</x:v>
      </x:c>
      <x:c r="F83" s="21" t="n">
        <x:v>61</x:v>
      </x:c>
      <x:c r="G83" s="17" t="n">
        <x:v>113.46</x:v>
      </x:c>
      <x:c r="H83" s="17" t="n">
        <x:f>G83*F83</x:f>
        <x:v>6921.0599999999995</x:v>
      </x:c>
      <x:c r="I83" s="22" t="str">
        <x:f>HYPERLINK("https://etp-aktiv.ru/catalog/materialy/gsm/2000201484-U117/","Открыть позицию")</x:f>
        <x:v>Открыть позицию</x:v>
      </x:c>
    </x:row>
    <x:row r="84" ht="28" customHeight="1">
      <x:c r="A84" s="16" t="str">
        <x:v>Приморская ГРЭС</x:v>
      </x:c>
      <x:c r="B84" s="16" t="str">
        <x:v>2000211756-U117</x:v>
      </x:c>
      <x:c r="C84" s="16" t="str">
        <x:v>СМАЗКА ЦИАТИМ-221</x:v>
      </x:c>
      <x:c r="D84" s="16" t="str">
        <x:v>Масла и смазки различного назначения и типа</x:v>
      </x:c>
      <x:c r="E84" s="16" t="str">
        <x:v>КГ</x:v>
      </x:c>
      <x:c r="F84" s="30" t="n">
        <x:v>3.4</x:v>
      </x:c>
      <x:c r="G84" s="17" t="n">
        <x:v>1335.0582</x:v>
      </x:c>
      <x:c r="H84" s="17" t="n">
        <x:f>G84*F84</x:f>
        <x:v>4539.19788</x:v>
      </x:c>
      <x:c r="I84" s="22" t="str">
        <x:f>HYPERLINK("https://etp-aktiv.ru/catalog/materialy/gsm/2000211756-U117/","Открыть позицию")</x:f>
        <x:v>Открыть позицию</x:v>
      </x:c>
    </x:row>
    <x:row r="85" ht="28" customHeight="1">
      <x:c r="A85" s="16" t="str">
        <x:v>Приморская ГРЭС</x:v>
      </x:c>
      <x:c r="B85" s="16" t="str">
        <x:v>2000564442-U117</x:v>
      </x:c>
      <x:c r="C85" s="16" t="str">
        <x:v>СМАЗКА ШРУС-4 360Г</x:v>
      </x:c>
      <x:c r="D85" s="16" t="str">
        <x:v>Другие смазочные материалы и тех.жидкости</x:v>
      </x:c>
      <x:c r="E85" s="16" t="str">
        <x:v>ШТ</x:v>
      </x:c>
      <x:c r="F85" s="21" t="n">
        <x:v>16</x:v>
      </x:c>
      <x:c r="G85" s="17" t="n">
        <x:v>384.971</x:v>
      </x:c>
      <x:c r="H85" s="17" t="n">
        <x:f>G85*F85</x:f>
        <x:v>6159.536</x:v>
      </x:c>
      <x:c r="I85" s="22" t="str">
        <x:f>HYPERLINK("https://etp-aktiv.ru/catalog/materialy/gsm/2000564442-U117/","Открыть позицию")</x:f>
        <x:v>Открыть позицию</x:v>
      </x:c>
    </x:row>
    <x:row r="86" ht="28" customHeight="1">
      <x:c r="A86" s="16" t="str">
        <x:v>Приморская ГРЭС</x:v>
      </x:c>
      <x:c r="B86" s="16" t="str">
        <x:v>2000219778-U117</x:v>
      </x:c>
      <x:c r="C86" s="16" t="str">
        <x:v>СМАЗКА ЭПС-98</x:v>
      </x:c>
      <x:c r="D86" s="16" t="str">
        <x:v>Масла и смазки различного назначения и типа</x:v>
      </x:c>
      <x:c r="E86" s="16" t="str">
        <x:v>КГ</x:v>
      </x:c>
      <x:c r="F86" s="30" t="n">
        <x:v>2.25</x:v>
      </x:c>
      <x:c r="G86" s="17" t="n">
        <x:v>2251.5344</x:v>
      </x:c>
      <x:c r="H86" s="17" t="n">
        <x:f>G86*F86</x:f>
        <x:v>5065.9524</x:v>
      </x:c>
      <x:c r="I86" s="22" t="str">
        <x:f>HYPERLINK("https://etp-aktiv.ru/catalog/materialy/gsm/2000219778-U117/","Открыть позицию")</x:f>
        <x:v>Открыть позицию</x:v>
      </x:c>
    </x:row>
    <x:row r="87" ht="28" customHeight="1">
      <x:c r="A87" s="16" t="str">
        <x:v>Приморская ГРЭС</x:v>
      </x:c>
      <x:c r="B87" s="16" t="str">
        <x:v>2000040524-U117</x:v>
      </x:c>
      <x:c r="C87" s="16" t="str">
        <x:v>СОДА КАУСТИЧЕСКАЯ НАТРИЙ ЕДКИЙ</x:v>
      </x:c>
      <x:c r="D87" s="16" t="str">
        <x:v>Химические материалы прочие</x:v>
      </x:c>
      <x:c r="E87" s="16" t="str">
        <x:v>КГ</x:v>
      </x:c>
      <x:c r="F87" s="21" t="n">
        <x:v>3</x:v>
      </x:c>
      <x:c r="G87" s="17" t="n">
        <x:v>137.25</x:v>
      </x:c>
      <x:c r="H87" s="17" t="n">
        <x:f>G87*F87</x:f>
        <x:v>411.75</x:v>
      </x:c>
      <x:c r="I87" s="22" t="str">
        <x:f>HYPERLINK("https://etp-aktiv.ru/catalog/materialy/himicheskaya-produkciya/2000040524-U117/","Открыть позицию")</x:f>
        <x:v>Открыть позицию</x:v>
      </x:c>
    </x:row>
    <x:row r="88" ht="28" customHeight="1">
      <x:c r="A88" s="16" t="str">
        <x:v>Приморская ГРЭС</x:v>
      </x:c>
      <x:c r="B88" s="16" t="str">
        <x:v>2000485563-U117</x:v>
      </x:c>
      <x:c r="C88" s="16" t="str">
        <x:v>СПРЕЙ LOCTITE 8191 400МЛ ISO2137</x:v>
      </x:c>
      <x:c r="D88" s="16" t="str">
        <x:v>Химические материалы прочие</x:v>
      </x:c>
      <x:c r="E88" s="16" t="str">
        <x:v>ШТ</x:v>
      </x:c>
      <x:c r="F88" s="21" t="n">
        <x:v>1</x:v>
      </x:c>
      <x:c r="G88" s="17" t="n">
        <x:v>1572.824</x:v>
      </x:c>
      <x:c r="H88" s="17" t="n">
        <x:f>G88*F88</x:f>
        <x:v>1572.824</x:v>
      </x:c>
      <x:c r="I88" s="22" t="str">
        <x:f>HYPERLINK("https://etp-aktiv.ru/catalog/materialy/himicheskaya-produkciya/2000485563-U117/","Открыть позицию")</x:f>
        <x:v>Открыть позицию</x:v>
      </x:c>
    </x:row>
    <x:row r="89" ht="28" customHeight="1">
      <x:c r="A89" s="16" t="str">
        <x:v>Приморская ГРЭС</x:v>
      </x:c>
      <x:c r="B89" s="16" t="str">
        <x:v>2000459388-U117</x:v>
      </x:c>
      <x:c r="C89" s="16" t="str">
        <x:v>СРЕДСТВО Д/УДАЛ РЖАВЧИНЫ АНТИРЖАВИН</x:v>
      </x:c>
      <x:c r="D89" s="16" t="str">
        <x:v>Химические материалы прочие</x:v>
      </x:c>
      <x:c r="E89" s="16" t="str">
        <x:v>Л</x:v>
      </x:c>
      <x:c r="F89" s="21" t="n">
        <x:v>59</x:v>
      </x:c>
      <x:c r="G89" s="17" t="n">
        <x:v>556.686</x:v>
      </x:c>
      <x:c r="H89" s="17" t="n">
        <x:f>G89*F89</x:f>
        <x:v>32844.474</x:v>
      </x:c>
      <x:c r="I89" s="22" t="str">
        <x:f>HYPERLINK("https://etp-aktiv.ru/catalog/materialy/himicheskaya-produkciya/2000459388-U117/","Открыть позицию")</x:f>
        <x:v>Открыть позицию</x:v>
      </x:c>
    </x:row>
    <x:row r="90" ht="28" customHeight="1">
      <x:c r="A90" s="16" t="str">
        <x:v>Приморская ГРЭС</x:v>
      </x:c>
      <x:c r="B90" s="16" t="str">
        <x:v>2000246112-U117</x:v>
      </x:c>
      <x:c r="C90" s="16" t="str">
        <x:v>ТОЛУОЛ НЕФТЯНОЙ ГОСТ14710-78</x:v>
      </x:c>
      <x:c r="D90" s="16" t="str">
        <x:v>Химические материалы прочие</x:v>
      </x:c>
      <x:c r="E90" s="16" t="str">
        <x:v>КГ</x:v>
      </x:c>
      <x:c r="F90" s="30" t="n">
        <x:v>1.66</x:v>
      </x:c>
      <x:c r="G90" s="17" t="n">
        <x:v>314.394</x:v>
      </x:c>
      <x:c r="H90" s="17" t="n">
        <x:f>G90*F90</x:f>
        <x:v>521.89404</x:v>
      </x:c>
      <x:c r="I90" s="22" t="str">
        <x:f>HYPERLINK("https://etp-aktiv.ru/catalog/materialy/himicheskaya-produkciya/2000246112-U117/","Открыть позицию")</x:f>
        <x:v>Открыть позицию</x:v>
      </x:c>
    </x:row>
    <x:row r="91" ht="28" customHeight="1">
      <x:c r="A91" s="16" t="str">
        <x:v>Приморская ГРЭС</x:v>
      </x:c>
      <x:c r="B91" s="16" t="str">
        <x:v>2000329495-U117</x:v>
      </x:c>
      <x:c r="C91" s="16" t="str">
        <x:v>ТОСОЛ 40 ГОТОВЫЙ ПРОДУКТ ГОСТ28084-89</x:v>
      </x:c>
      <x:c r="D91" s="16" t="str">
        <x:v>Другие смазочные материалы и тех.жидкости</x:v>
      </x:c>
      <x:c r="E91" s="16" t="str">
        <x:v>Т</x:v>
      </x:c>
      <x:c r="F91" s="26" t="n">
        <x:v>0.01</x:v>
      </x:c>
      <x:c r="G91" s="17" t="n">
        <x:v>84180</x:v>
      </x:c>
      <x:c r="H91" s="17" t="n">
        <x:f>G91*F91</x:f>
        <x:v>841.8000000000001</x:v>
      </x:c>
      <x:c r="I91" s="22" t="str">
        <x:f>HYPERLINK("https://etp-aktiv.ru/catalog/materialy/gsm/2000329495-U117/","Открыть позицию")</x:f>
        <x:v>Открыть позицию</x:v>
      </x:c>
    </x:row>
    <x:row r="92" ht="28" customHeight="1">
      <x:c r="A92" s="16" t="str">
        <x:v>Приморская ГРЭС</x:v>
      </x:c>
      <x:c r="B92" s="16" t="str">
        <x:v>2000182989-U117</x:v>
      </x:c>
      <x:c r="C92" s="16" t="str">
        <x:v>УАЙТ-СПИРИТ 10Л</x:v>
      </x:c>
      <x:c r="D92" s="16" t="str">
        <x:v>Лакокрасочные материалы</x:v>
      </x:c>
      <x:c r="E92" s="16" t="str">
        <x:v>ШТ</x:v>
      </x:c>
      <x:c r="F92" s="21" t="n">
        <x:v>3</x:v>
      </x:c>
      <x:c r="G92" s="17" t="n">
        <x:v>915</x:v>
      </x:c>
      <x:c r="H92" s="17" t="n">
        <x:f>G92*F92</x:f>
        <x:v>2745</x:v>
      </x:c>
      <x:c r="I92" s="22" t="str">
        <x:f>HYPERLINK("https://etp-aktiv.ru/catalog/materialy/lakokrasochnye-materialy/2000182989-U117/","Открыть позицию")</x:f>
        <x:v>Открыть позицию</x:v>
      </x:c>
    </x:row>
    <x:row r="93" ht="28" customHeight="1">
      <x:c r="A93" s="16" t="str">
        <x:v>Приморская ГРЭС</x:v>
      </x:c>
      <x:c r="B93" s="16" t="str">
        <x:v>2000550799-U117</x:v>
      </x:c>
      <x:c r="C93" s="16" t="str">
        <x:v>ФИКСАТОР РЕЗЬБЫ LOCTITE 243 50МЛ</x:v>
      </x:c>
      <x:c r="D93" s="16" t="str">
        <x:v>Химические материалы прочие</x:v>
      </x:c>
      <x:c r="E93" s="16" t="str">
        <x:v>ШТ</x:v>
      </x:c>
      <x:c r="F93" s="21" t="n">
        <x:v>1</x:v>
      </x:c>
      <x:c r="G93" s="17" t="n">
        <x:v>3163.46</x:v>
      </x:c>
      <x:c r="H93" s="17" t="n">
        <x:f>G93*F93</x:f>
        <x:v>3163.46</x:v>
      </x:c>
      <x:c r="I93" s="22" t="str">
        <x:f>HYPERLINK("https://etp-aktiv.ru/catalog/materialy/himicheskaya-produkciya/2000550799-U117/","Открыть позицию")</x:f>
        <x:v>Открыть позицию</x:v>
      </x:c>
    </x:row>
    <x:row r="94" ht="28" customHeight="1">
      <x:c r="A94" s="16" t="str">
        <x:v>Приморская ГРЭС</x:v>
      </x:c>
      <x:c r="B94" s="16" t="str">
        <x:v>2000456994-U117</x:v>
      </x:c>
      <x:c r="C94" s="16" t="str">
        <x:v>ФЛЮС АКТИВНЫЙ ПМ Ф-38Н 40МЛ ГОСТ20799-22</x:v>
      </x:c>
      <x:c r="D94" s="16" t="str">
        <x:v>Химические материалы прочие</x:v>
      </x:c>
      <x:c r="E94" s="16" t="str">
        <x:v>ШТ</x:v>
      </x:c>
      <x:c r="F94" s="21" t="n">
        <x:v>3</x:v>
      </x:c>
      <x:c r="G94" s="17" t="n">
        <x:v>114.375</x:v>
      </x:c>
      <x:c r="H94" s="17" t="n">
        <x:f>G94*F94</x:f>
        <x:v>343.125</x:v>
      </x:c>
      <x:c r="I94" s="22" t="str">
        <x:f>HYPERLINK("https://etp-aktiv.ru/catalog/materialy/himicheskaya-produkciya/2000456994-U117/","Открыть позицию")</x:f>
        <x:v>Открыть позицию</x:v>
      </x:c>
    </x:row>
    <x:row r="95" ht="28" customHeight="1">
      <x:c r="A95" s="16" t="str">
        <x:v>Приморская ГРЭС</x:v>
      </x:c>
      <x:c r="B95" s="16" t="str">
        <x:v>2000584221-U117</x:v>
      </x:c>
      <x:c r="C95" s="16" t="str">
        <x:v>ФЛЮС-ГЕЛЬ ТТ ИНДИКАТОР 500МЛ НЕТ ДАННЫХ</x:v>
      </x:c>
      <x:c r="D95" s="16" t="str">
        <x:v>Химические материалы прочие</x:v>
      </x:c>
      <x:c r="E95" s="16" t="str">
        <x:v>ШТ</x:v>
      </x:c>
      <x:c r="F95" s="21" t="n">
        <x:v>6</x:v>
      </x:c>
      <x:c r="G95" s="17" t="n">
        <x:v>189.41719999999998</x:v>
      </x:c>
      <x:c r="H95" s="17" t="n">
        <x:f>G95*F95</x:f>
        <x:v>1136.5031999999999</x:v>
      </x:c>
      <x:c r="I95" s="22" t="str">
        <x:f>HYPERLINK("https://etp-aktiv.ru/catalog/materialy/himicheskaya-produkciya/2000584221-U117/","Открыть позицию")</x:f>
        <x:v>Открыть позицию</x:v>
      </x:c>
    </x:row>
    <x:row r="96" ht="28" customHeight="1">
      <x:c r="A96" s="16" t="str">
        <x:v>Приморская ГРЭС</x:v>
      </x:c>
      <x:c r="B96" s="16" t="str">
        <x:v>2000857581-U117</x:v>
      </x:c>
      <x:c r="C96" s="16" t="str">
        <x:v>ШЛИФЗЕРНО КАРБИД КРЕМНИЯ 50-П ГОСТ3647</x:v>
      </x:c>
      <x:c r="D96" s="16" t="str">
        <x:v>Химические материалы прочие</x:v>
      </x:c>
      <x:c r="E96" s="16" t="str">
        <x:v>КГ</x:v>
      </x:c>
      <x:c r="F96" s="21" t="n">
        <x:v>4</x:v>
      </x:c>
      <x:c r="G96" s="17" t="n">
        <x:v>3854.7852</x:v>
      </x:c>
      <x:c r="H96" s="17" t="n">
        <x:f>G96*F96</x:f>
        <x:v>15419.1408</x:v>
      </x:c>
      <x:c r="I96" s="22" t="str">
        <x:f>HYPERLINK("https://etp-aktiv.ru/catalog/materialy/himicheskaya-produkciya/2000857581-U117/","Открыть позицию")</x:f>
        <x:v>Открыть позицию</x:v>
      </x:c>
    </x:row>
    <x:row r="97" ht="28" customHeight="1">
      <x:c r="A97" s="16" t="str">
        <x:v>Приморская ГРЭС</x:v>
      </x:c>
      <x:c r="B97" s="16" t="str">
        <x:v>2000439457-U117</x:v>
      </x:c>
      <x:c r="C97" s="16" t="str">
        <x:v>ЭМАЛЬ INTERTHANE 990SG PME143 ЖЕЛТО-ПЕС</x:v>
      </x:c>
      <x:c r="D97" s="16" t="str">
        <x:v>Лакокрасочные материалы</x:v>
      </x:c>
      <x:c r="E97" s="16" t="str">
        <x:v>Л</x:v>
      </x:c>
      <x:c r="F97" s="21" t="n">
        <x:v>278</x:v>
      </x:c>
      <x:c r="G97" s="17" t="n">
        <x:v>1290.9308</x:v>
      </x:c>
      <x:c r="H97" s="17" t="n">
        <x:f>G97*F97</x:f>
        <x:v>358878.7624</x:v>
      </x:c>
      <x:c r="I97" s="22" t="str">
        <x:f>HYPERLINK("https://etp-aktiv.ru/catalog/materialy/lakokrasochnye-materialy/2000439457-U117/","Открыть позицию")</x:f>
        <x:v>Открыть позицию</x:v>
      </x:c>
    </x:row>
    <x:row r="98" ht="28" customHeight="1">
      <x:c r="A98" s="16" t="str">
        <x:v>Приморская ГРЭС</x:v>
      </x:c>
      <x:c r="B98" s="16" t="str">
        <x:v>2000439456-U117</x:v>
      </x:c>
      <x:c r="C98" s="16" t="str">
        <x:v>ЭМАЛЬ INTERTHANE 990SG PML549 ЗЕЛЕНАЯ</x:v>
      </x:c>
      <x:c r="D98" s="16" t="str">
        <x:v>Лакокрасочные материалы</x:v>
      </x:c>
      <x:c r="E98" s="16" t="str">
        <x:v>Л</x:v>
      </x:c>
      <x:c r="F98" s="30" t="n">
        <x:v>316.24</x:v>
      </x:c>
      <x:c r="G98" s="17" t="n">
        <x:v>1091.2412</x:v>
      </x:c>
      <x:c r="H98" s="17" t="n">
        <x:f>G98*F98</x:f>
        <x:v>345094.117088</x:v>
      </x:c>
      <x:c r="I98" s="22" t="str">
        <x:f>HYPERLINK("https://etp-aktiv.ru/catalog/materialy/lakokrasochnye-materialy/2000439456-U117/","Открыть позицию")</x:f>
        <x:v>Открыть позицию</x:v>
      </x:c>
    </x:row>
    <x:row r="99" ht="28" customHeight="1">
      <x:c r="A99" s="16" t="str">
        <x:v>Приморская ГРЭС</x:v>
      </x:c>
      <x:c r="B99" s="16" t="str">
        <x:v>2000716755-U117</x:v>
      </x:c>
      <x:c r="C99" s="16" t="str">
        <x:v>ЭМАЛЬ КО-983 КРАСНО-КОРИЧНЕВАЯ</x:v>
      </x:c>
      <x:c r="D99" s="16" t="str">
        <x:v>Лакокрасочные материалы</x:v>
      </x:c>
      <x:c r="E99" s="16" t="str">
        <x:v>КГ</x:v>
      </x:c>
      <x:c r="F99" s="26" t="n">
        <x:v>0.019</x:v>
      </x:c>
      <x:c r="G99" s="17" t="n">
        <x:v>2311.5828</x:v>
      </x:c>
      <x:c r="H99" s="17" t="n">
        <x:f>G99*F99</x:f>
        <x:v>43.920073200000004</x:v>
      </x:c>
      <x:c r="I99" s="22" t="str">
        <x:f>HYPERLINK("https://etp-aktiv.ru/catalog/materialy/lakokrasochnye-materialy/2000716755-U117/","Открыть позицию")</x:f>
        <x:v>Открыть позицию</x:v>
      </x:c>
    </x:row>
    <x:row r="100" ht="28" customHeight="1">
      <x:c r="A100" s="16" t="str">
        <x:v>Приморская ГРЭС</x:v>
      </x:c>
      <x:c r="B100" s="16" t="str">
        <x:v>2000047112-U117</x:v>
      </x:c>
      <x:c r="C100" s="16" t="str">
        <x:v>ЭМАЛЬ НЦ-132 ГОЛУБАЯ ГОСТ6631-74</x:v>
      </x:c>
      <x:c r="D100" s="16" t="str">
        <x:v>Лакокрасочные материалы</x:v>
      </x:c>
      <x:c r="E100" s="16" t="str">
        <x:v>КГ</x:v>
      </x:c>
      <x:c r="F100" s="21" t="n">
        <x:v>1</x:v>
      </x:c>
      <x:c r="G100" s="17" t="n">
        <x:v>305</x:v>
      </x:c>
      <x:c r="H100" s="17" t="n">
        <x:f>G100*F100</x:f>
        <x:v>305</x:v>
      </x:c>
      <x:c r="I100" s="22" t="str">
        <x:f>HYPERLINK("https://etp-aktiv.ru/catalog/materialy/lakokrasochnye-materialy/2000047112-U117/","Открыть позицию")</x:f>
        <x:v>Открыть позицию</x:v>
      </x:c>
    </x:row>
    <x:row r="101" ht="28" customHeight="1">
      <x:c r="A101" s="16" t="str">
        <x:v>Приморская ГРЭС</x:v>
      </x:c>
      <x:c r="B101" s="16" t="str">
        <x:v>2000047129-U117</x:v>
      </x:c>
      <x:c r="C101" s="16" t="str">
        <x:v>ЭМАЛЬ НЦ-132 ЗЕЛЕНАЯ ГОСТ6631-74</x:v>
      </x:c>
      <x:c r="D101" s="16" t="str">
        <x:v>Лакокрасочные материалы</x:v>
      </x:c>
      <x:c r="E101" s="16" t="str">
        <x:v>КГ</x:v>
      </x:c>
      <x:c r="F101" s="30" t="n">
        <x:v>23.3</x:v>
      </x:c>
      <x:c r="G101" s="17" t="n">
        <x:v>219.6</x:v>
      </x:c>
      <x:c r="H101" s="17" t="n">
        <x:f>G101*F101</x:f>
        <x:v>5116.68</x:v>
      </x:c>
      <x:c r="I101" s="22" t="str">
        <x:f>HYPERLINK("https://etp-aktiv.ru/catalog/materialy/lakokrasochnye-materialy/2000047129-U117/","Открыть позицию")</x:f>
        <x:v>Открыть позицию</x:v>
      </x:c>
    </x:row>
    <x:row r="102" ht="28" customHeight="1">
      <x:c r="A102" s="16" t="str">
        <x:v>Приморская ГРЭС</x:v>
      </x:c>
      <x:c r="B102" s="16" t="str">
        <x:v>2000547496-U117</x:v>
      </x:c>
      <x:c r="C102" s="16" t="str">
        <x:v>ЭМАЛЬ НЦ-132 ЧЕРНАЯ 1Л/0,7КГ</x:v>
      </x:c>
      <x:c r="D102" s="16" t="str">
        <x:v>Лакокрасочные материалы</x:v>
      </x:c>
      <x:c r="E102" s="16" t="str">
        <x:v>ШТ</x:v>
      </x:c>
      <x:c r="F102" s="21" t="n">
        <x:v>1</x:v>
      </x:c>
      <x:c r="G102" s="17" t="n">
        <x:v>263.52</x:v>
      </x:c>
      <x:c r="H102" s="17" t="n">
        <x:f>G102*F102</x:f>
        <x:v>263.52</x:v>
      </x:c>
      <x:c r="I102" s="22" t="str">
        <x:f>HYPERLINK("https://etp-aktiv.ru/catalog/materialy/lakokrasochnye-materialy/2000547496-U117/","Открыть позицию")</x:f>
        <x:v>Открыть позицию</x:v>
      </x:c>
    </x:row>
    <x:row r="103" ht="28" customHeight="1">
      <x:c r="A103" s="16" t="str">
        <x:v>Приморская ГРЭС</x:v>
      </x:c>
      <x:c r="B103" s="16" t="str">
        <x:v>2000547499-U117</x:v>
      </x:c>
      <x:c r="C103" s="16" t="str">
        <x:v>ЭМАЛЬ НЦ-132П ГОЛУБОЙ</x:v>
      </x:c>
      <x:c r="D103" s="16" t="str">
        <x:v>Лакокрасочные материалы</x:v>
      </x:c>
      <x:c r="E103" s="16" t="str">
        <x:v>КГ</x:v>
      </x:c>
      <x:c r="F103" s="21" t="n">
        <x:v>20</x:v>
      </x:c>
      <x:c r="G103" s="17" t="n">
        <x:v>192.15</x:v>
      </x:c>
      <x:c r="H103" s="17" t="n">
        <x:f>G103*F103</x:f>
        <x:v>3843</x:v>
      </x:c>
      <x:c r="I103" s="22" t="str">
        <x:f>HYPERLINK("https://etp-aktiv.ru/catalog/materialy/lakokrasochnye-materialy/2000547499-U117/","Открыть позицию")</x:f>
        <x:v>Открыть позицию</x:v>
      </x:c>
    </x:row>
    <x:row r="104" ht="28" customHeight="1">
      <x:c r="A104" s="16" t="str">
        <x:v>Приморская ГРЭС</x:v>
      </x:c>
      <x:c r="B104" s="16" t="str">
        <x:v>2000316695-U117</x:v>
      </x:c>
      <x:c r="C104" s="16" t="str">
        <x:v>ЭМАЛЬ П/УР PHE992 INTERTHANE 990 Т-СИНЯЯ</x:v>
      </x:c>
      <x:c r="D104" s="16" t="str">
        <x:v>Лакокрасочные материалы</x:v>
      </x:c>
      <x:c r="E104" s="16" t="str">
        <x:v>КГ</x:v>
      </x:c>
      <x:c r="F104" s="21" t="n">
        <x:v>175</x:v>
      </x:c>
      <x:c r="G104" s="17" t="n">
        <x:v>1084.9094</x:v>
      </x:c>
      <x:c r="H104" s="17" t="n">
        <x:f>G104*F104</x:f>
        <x:v>189859.145</x:v>
      </x:c>
      <x:c r="I104" s="22" t="str">
        <x:f>HYPERLINK("https://etp-aktiv.ru/catalog/materialy/lakokrasochnye-materialy/2000316695-U117/","Открыть позицию")</x:f>
        <x:v>Открыть позицию</x:v>
      </x:c>
    </x:row>
    <x:row r="105" ht="28" customHeight="1">
      <x:c r="A105" s="16" t="str">
        <x:v>Приморская ГРЭС</x:v>
      </x:c>
      <x:c r="B105" s="16" t="str">
        <x:v>2000269119-U117</x:v>
      </x:c>
      <x:c r="C105" s="16" t="str">
        <x:v>ЭМАЛЬ ПФ-115 1,9КГ ЖЕЛТЫЙ</x:v>
      </x:c>
      <x:c r="D105" s="16" t="str">
        <x:v>Лакокрасочные материалы</x:v>
      </x:c>
      <x:c r="E105" s="16" t="str">
        <x:v>ШТ</x:v>
      </x:c>
      <x:c r="F105" s="21" t="n">
        <x:v>1</x:v>
      </x:c>
      <x:c r="G105" s="17" t="n">
        <x:v>366</x:v>
      </x:c>
      <x:c r="H105" s="17" t="n">
        <x:f>G105*F105</x:f>
        <x:v>366</x:v>
      </x:c>
      <x:c r="I105" s="22" t="str">
        <x:f>HYPERLINK("https://etp-aktiv.ru/catalog/materialy/lakokrasochnye-materialy/2000269119-U117/","Открыть позицию")</x:f>
        <x:v>Открыть позицию</x:v>
      </x:c>
    </x:row>
    <x:row r="106" ht="28" customHeight="1">
      <x:c r="A106" s="16" t="str">
        <x:v>Приморская ГРЭС</x:v>
      </x:c>
      <x:c r="B106" s="16" t="str">
        <x:v>2000269130-U117</x:v>
      </x:c>
      <x:c r="C106" s="16" t="str">
        <x:v>ЭМАЛЬ ПФ-115 1,9КГ ЗЕЛЕНЫЙ</x:v>
      </x:c>
      <x:c r="D106" s="16" t="str">
        <x:v>Лакокрасочные материалы</x:v>
      </x:c>
      <x:c r="E106" s="16" t="str">
        <x:v>ШТ</x:v>
      </x:c>
      <x:c r="F106" s="21" t="n">
        <x:v>20</x:v>
      </x:c>
      <x:c r="G106" s="17" t="n">
        <x:v>312.625</x:v>
      </x:c>
      <x:c r="H106" s="17" t="n">
        <x:f>G106*F106</x:f>
        <x:v>6252.5</x:v>
      </x:c>
      <x:c r="I106" s="22" t="str">
        <x:f>HYPERLINK("https://etp-aktiv.ru/catalog/materialy/lakokrasochnye-materialy/2000269130-U117/","Открыть позицию")</x:f>
        <x:v>Открыть позицию</x:v>
      </x:c>
    </x:row>
    <x:row r="107" ht="28" customHeight="1">
      <x:c r="A107" s="16" t="str">
        <x:v>Приморская ГРЭС</x:v>
      </x:c>
      <x:c r="B107" s="16" t="str">
        <x:v>2000047121-U117</x:v>
      </x:c>
      <x:c r="C107" s="16" t="str">
        <x:v>ЭМАЛЬ ПФ-115 ЖЕЛТАЯ ГОСТ6465-76</x:v>
      </x:c>
      <x:c r="D107" s="16" t="str">
        <x:v>Лакокрасочные материалы</x:v>
      </x:c>
      <x:c r="E107" s="16" t="str">
        <x:v>КГ</x:v>
      </x:c>
      <x:c r="F107" s="30" t="n">
        <x:v>63.38</x:v>
      </x:c>
      <x:c r="G107" s="17" t="n">
        <x:v>130.1008</x:v>
      </x:c>
      <x:c r="H107" s="17" t="n">
        <x:f>G107*F107</x:f>
        <x:v>8245.788704</x:v>
      </x:c>
      <x:c r="I107" s="22" t="str">
        <x:f>HYPERLINK("https://etp-aktiv.ru/catalog/materialy/lakokrasochnye-materialy/2000047121-U117/","Открыть позицию")</x:f>
        <x:v>Открыть позицию</x:v>
      </x:c>
    </x:row>
    <x:row r="108" ht="28" customHeight="1">
      <x:c r="A108" s="16" t="str">
        <x:v>Приморская ГРЭС</x:v>
      </x:c>
      <x:c r="B108" s="16" t="str">
        <x:v>2000273881-U117</x:v>
      </x:c>
      <x:c r="C108" s="16" t="str">
        <x:v>ЭМАЛЬ ХВ-124 ОРАНЖЕВЫЙ ГОСТ10144-89</x:v>
      </x:c>
      <x:c r="D108" s="16" t="str">
        <x:v>Лакокрасочные материалы</x:v>
      </x:c>
      <x:c r="E108" s="16" t="str">
        <x:v>КГ</x:v>
      </x:c>
      <x:c r="F108" s="30" t="n">
        <x:v>5.5</x:v>
      </x:c>
      <x:c r="G108" s="17" t="n">
        <x:v>308.4648</x:v>
      </x:c>
      <x:c r="H108" s="17" t="n">
        <x:f>G108*F108</x:f>
        <x:v>1696.5564000000002</x:v>
      </x:c>
      <x:c r="I108" s="22" t="str">
        <x:f>HYPERLINK("https://etp-aktiv.ru/catalog/materialy/lakokrasochnye-materialy/2000273881-U117/","Открыть позицию")</x:f>
        <x:v>Открыть позицию</x:v>
      </x:c>
    </x:row>
    <x:row r="109" ht="28" customHeight="1">
      <x:c r="A109" s="16" t="str">
        <x:v>Приморская ГРЭС</x:v>
      </x:c>
      <x:c r="B109" s="16" t="str">
        <x:v>2000273859-U117</x:v>
      </x:c>
      <x:c r="C109" s="16" t="str">
        <x:v>ЭМАЛЬ ХВ-124 СИНИЙ ГОСТ10144-89</x:v>
      </x:c>
      <x:c r="D109" s="16" t="str">
        <x:v>Лакокрасочные материалы</x:v>
      </x:c>
      <x:c r="E109" s="16" t="str">
        <x:v>КГ</x:v>
      </x:c>
      <x:c r="F109" s="30" t="n">
        <x:v>7.504</x:v>
      </x:c>
      <x:c r="G109" s="17" t="n">
        <x:v>306.80559999999997</x:v>
      </x:c>
      <x:c r="H109" s="17" t="n">
        <x:f>G109*F109</x:f>
        <x:v>2302.2692223999998</x:v>
      </x:c>
      <x:c r="I109" s="22" t="str">
        <x:f>HYPERLINK("https://etp-aktiv.ru/catalog/materialy/lakokrasochnye-materialy/2000273859-U117/","Открыть позицию")</x:f>
        <x:v>Открыть позицию</x:v>
      </x:c>
    </x:row>
    <x:row r="110" ht="28" customHeight="1">
      <x:c r="A110" s="16" t="str">
        <x:v>Приморская ГРЭС</x:v>
      </x:c>
      <x:c r="B110" s="16" t="str">
        <x:v>2000469284-U117</x:v>
      </x:c>
      <x:c r="C110" s="16" t="str">
        <x:v>ЭМАЛЬ ХВ-785 БЕЛАЯ</x:v>
      </x:c>
      <x:c r="D110" s="16" t="str">
        <x:v>Лакокрасочные материалы</x:v>
      </x:c>
      <x:c r="E110" s="16" t="str">
        <x:v>КГ</x:v>
      </x:c>
      <x:c r="F110" s="30" t="n">
        <x:v>9.53</x:v>
      </x:c>
      <x:c r="G110" s="17" t="n">
        <x:v>387.8868</x:v>
      </x:c>
      <x:c r="H110" s="17" t="n">
        <x:f>G110*F110</x:f>
        <x:v>3696.5612039999996</x:v>
      </x:c>
      <x:c r="I110" s="22" t="str">
        <x:f>HYPERLINK("https://etp-aktiv.ru/catalog/materialy/lakokrasochnye-materialy/2000469284-U117/","Открыть позицию")</x:f>
        <x:v>Открыть позицию</x:v>
      </x:c>
    </x:row>
    <x:row r="111" ht="28" customHeight="1">
      <x:c r="A111" s="16" t="str">
        <x:v>Приморская ГРЭС</x:v>
      </x:c>
      <x:c r="B111" s="16" t="str">
        <x:v>2000716753-U117</x:v>
      </x:c>
      <x:c r="C111" s="16" t="str">
        <x:v>ЭМАЛЬ ХВ-785 ЗЕЛЕНАЯ</x:v>
      </x:c>
      <x:c r="D111" s="16" t="str">
        <x:v>Лакокрасочные материалы</x:v>
      </x:c>
      <x:c r="E111" s="16" t="str">
        <x:v>КГ</x:v>
      </x:c>
      <x:c r="F111" s="21" t="n">
        <x:v>10</x:v>
      </x:c>
      <x:c r="G111" s="17" t="n">
        <x:v>674.3062</x:v>
      </x:c>
      <x:c r="H111" s="17" t="n">
        <x:f>G111*F111</x:f>
        <x:v>6743.062</x:v>
      </x:c>
      <x:c r="I111" s="22" t="str">
        <x:f>HYPERLINK("https://etp-aktiv.ru/catalog/materialy/lakokrasochnye-materialy/2000716753-U117/","Открыть позицию")</x:f>
        <x:v>Открыть позицию</x:v>
      </x:c>
    </x:row>
    <x:row r="112" ht="28" customHeight="1">
      <x:c r="A112" s="16" t="str">
        <x:v>Приморская ГРЭС</x:v>
      </x:c>
      <x:c r="B112" s="16" t="str">
        <x:v>2000547530-U117</x:v>
      </x:c>
      <x:c r="C112" s="16" t="str">
        <x:v>ЭМАЛЬ ХВ-785 КРАСНЫЙ</x:v>
      </x:c>
      <x:c r="D112" s="16" t="str">
        <x:v>Лакокрасочные материалы</x:v>
      </x:c>
      <x:c r="E112" s="16" t="str">
        <x:v>КГ</x:v>
      </x:c>
      <x:c r="F112" s="30" t="n">
        <x:v>1.234</x:v>
      </x:c>
      <x:c r="G112" s="17" t="n">
        <x:v>580.72</x:v>
      </x:c>
      <x:c r="H112" s="17" t="n">
        <x:f>G112*F112</x:f>
        <x:v>716.60848</x:v>
      </x:c>
      <x:c r="I112" s="22" t="str">
        <x:f>HYPERLINK("https://etp-aktiv.ru/catalog/materialy/lakokrasochnye-materialy/2000547530-U117/","Открыть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846314137c2d44da"/>
  </x:tableParts>
</x:worksheet>
</file>

<file path=xl/worksheets/sheet15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Приморье: Авто- и спецтехника: запасные части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Приморская ГРЭС</x:v>
      </x:c>
      <x:c r="B5" s="16" t="str">
        <x:v>2000314302-U117</x:v>
      </x:c>
      <x:c r="C5" s="16" t="str">
        <x:v>АВТОКАМЕРА 12.00-20 V3.02.14</x:v>
      </x:c>
      <x:c r="D5" s="16" t="str">
        <x:v>ЗИП к шинам</x:v>
      </x:c>
      <x:c r="E5" s="16" t="str">
        <x:v>ШТ</x:v>
      </x:c>
      <x:c r="F5" s="21" t="n">
        <x:v>1</x:v>
      </x:c>
      <x:c r="G5" s="17" t="n">
        <x:v>2938.065</x:v>
      </x:c>
      <x:c r="H5" s="17" t="n">
        <x:f>G5*F5</x:f>
        <x:v>2938.065</x:v>
      </x:c>
      <x:c r="I5" s="22" t="str">
        <x:f>HYPERLINK("https://etp-aktiv.ru/catalog/materialy/avtoshiny/2000314302-U117/","Открыть позицию")</x:f>
        <x:v>Открыть позицию</x:v>
      </x:c>
    </x:row>
    <x:row r="6" ht="28" customHeight="1">
      <x:c r="A6" s="16" t="str">
        <x:v>Приморская ГРЭС</x:v>
      </x:c>
      <x:c r="B6" s="16" t="str">
        <x:v>2000317649-U117</x:v>
      </x:c>
      <x:c r="C6" s="16" t="str">
        <x:v>АВТОКАМЕРА 185/70R15 УК-15</x:v>
      </x:c>
      <x:c r="D6" s="16" t="str">
        <x:v>ЗИП к шинам</x:v>
      </x:c>
      <x:c r="E6" s="16" t="str">
        <x:v>ШТ</x:v>
      </x:c>
      <x:c r="F6" s="21" t="n">
        <x:v>5</x:v>
      </x:c>
      <x:c r="G6" s="17" t="n">
        <x:v>1841.895</x:v>
      </x:c>
      <x:c r="H6" s="17" t="n">
        <x:f>G6*F6</x:f>
        <x:v>9209.475</x:v>
      </x:c>
      <x:c r="I6" s="22" t="str">
        <x:f>HYPERLINK("https://etp-aktiv.ru/catalog/materialy/avtoshiny/2000317649-U117/","Открыть позицию")</x:f>
        <x:v>Открыть позицию</x:v>
      </x:c>
    </x:row>
    <x:row r="7" ht="28" customHeight="1">
      <x:c r="A7" s="16" t="str">
        <x:v>Приморская ГРЭС</x:v>
      </x:c>
      <x:c r="B7" s="16" t="str">
        <x:v>2000019172-U117</x:v>
      </x:c>
      <x:c r="C7" s="16" t="str">
        <x:v>АВТОЭМАЛЬ SADOLIN 601 ЧЕРНЫЙ</x:v>
      </x:c>
      <x:c r="D7" s="16" t="str">
        <x:v>Лакокрасочные материалы</x:v>
      </x:c>
      <x:c r="E7" s="16" t="str">
        <x:v>Л</x:v>
      </x:c>
      <x:c r="F7" s="21" t="n">
        <x:v>2</x:v>
      </x:c>
      <x:c r="G7" s="17" t="n">
        <x:v>88.1206</x:v>
      </x:c>
      <x:c r="H7" s="17" t="n">
        <x:f>G7*F7</x:f>
        <x:v>176.2412</x:v>
      </x:c>
      <x:c r="I7" s="22" t="str">
        <x:f>HYPERLINK("https://etp-aktiv.ru/catalog/materialy/lakokrasochnye-materialy/2000019172-U117/","Открыть позицию")</x:f>
        <x:v>Открыть позицию</x:v>
      </x:c>
    </x:row>
    <x:row r="8" ht="28" customHeight="1">
      <x:c r="A8" s="16" t="str">
        <x:v>Приморская ГРЭС</x:v>
      </x:c>
      <x:c r="B8" s="16" t="str">
        <x:v>2000731892-U117</x:v>
      </x:c>
      <x:c r="C8" s="16" t="str">
        <x:v>АККУМУЛЯТОР 6СТ100 TITANARCTIC SILVER+ГТ</x:v>
      </x:c>
      <x:c r="D8" s="16" t="str">
        <x:v>АКБ для транспорта</x:v>
      </x:c>
      <x:c r="E8" s="16" t="str">
        <x:v>ШТ</x:v>
      </x:c>
      <x:c r="F8" s="21" t="n">
        <x:v>1</x:v>
      </x:c>
      <x:c r="G8" s="17" t="n">
        <x:v>5644.403200000001</x:v>
      </x:c>
      <x:c r="H8" s="17" t="n">
        <x:f>G8*F8</x:f>
        <x:v>5644.403200000001</x:v>
      </x:c>
      <x:c r="I8" s="22" t="str">
        <x:f>HYPERLINK("https://etp-aktiv.ru/catalog/materialy/akkumulyatory/2000731892-U117/","Открыть позицию")</x:f>
        <x:v>Открыть позицию</x:v>
      </x:c>
    </x:row>
    <x:row r="9" ht="28" customHeight="1">
      <x:c r="A9" s="16" t="str">
        <x:v>Приморская ГРЭС</x:v>
      </x:c>
      <x:c r="B9" s="16" t="str">
        <x:v>2000713074-U117</x:v>
      </x:c>
      <x:c r="C9" s="16" t="str">
        <x:v>БЕНЗИН А-80</x:v>
      </x:c>
      <x:c r="D9" s="16" t="str">
        <x:v>Автобензин</x:v>
      </x:c>
      <x:c r="E9" s="16" t="str">
        <x:v>КГ</x:v>
      </x:c>
      <x:c r="F9" s="30" t="n">
        <x:v>2964.441</x:v>
      </x:c>
      <x:c r="G9" s="17" t="n">
        <x:v>12.370800000000001</x:v>
      </x:c>
      <x:c r="H9" s="17" t="n">
        <x:f>G9*F9</x:f>
        <x:v>36672.5067228</x:v>
      </x:c>
      <x:c r="I9" s="22" t="str">
        <x:f>HYPERLINK("https://etp-aktiv.ru/catalog/materialy/gsm/2000713074-U117/","Открыть позицию")</x:f>
        <x:v>Открыть позицию</x:v>
      </x:c>
    </x:row>
    <x:row r="10" ht="28" customHeight="1">
      <x:c r="A10" s="16" t="str">
        <x:v>Приморская ГРЭС</x:v>
      </x:c>
      <x:c r="B10" s="16" t="str">
        <x:v>2000019797-U117</x:v>
      </x:c>
      <x:c r="C10" s="16" t="str">
        <x:v>БЕНЗИН АИ-95 ГОСТ2084-77</x:v>
      </x:c>
      <x:c r="D10" s="16" t="str">
        <x:v>Автобензин</x:v>
      </x:c>
      <x:c r="E10" s="16" t="str">
        <x:v>Т</x:v>
      </x:c>
      <x:c r="F10" s="30" t="n">
        <x:v>5.405</x:v>
      </x:c>
      <x:c r="G10" s="17" t="n">
        <x:v>16421.4196</x:v>
      </x:c>
      <x:c r="H10" s="17" t="n">
        <x:f>G10*F10</x:f>
        <x:v>88757.77293800001</x:v>
      </x:c>
      <x:c r="I10" s="22" t="str">
        <x:f>HYPERLINK("https://etp-aktiv.ru/catalog/materialy/gsm/2000019797-U117/","Открыть позицию")</x:f>
        <x:v>Открыть позицию</x:v>
      </x:c>
    </x:row>
    <x:row r="11" ht="28" customHeight="1">
      <x:c r="A11" s="16" t="str">
        <x:v>Приморская ГРЭС</x:v>
      </x:c>
      <x:c r="B11" s="16" t="str">
        <x:v>2000264568-U117</x:v>
      </x:c>
      <x:c r="C11" s="16" t="str">
        <x:v>БОЛТ 1-8*3,25-IN 4J9058</x:v>
      </x:c>
      <x:c r="D11" s="16" t="str">
        <x:v>Запасные части к карьерной технике Caterpillar</x:v>
      </x:c>
      <x:c r="E11" s="16" t="str">
        <x:v>ШТ</x:v>
      </x:c>
      <x:c r="F11" s="21" t="n">
        <x:v>36</x:v>
      </x:c>
      <x:c r="G11" s="17" t="n">
        <x:v>77.77499999999999</x:v>
      </x:c>
      <x:c r="H11" s="17" t="n">
        <x:f>G11*F11</x:f>
        <x:v>2799.8999999999996</x:v>
      </x:c>
      <x:c r="I11" s="22" t="str">
        <x:f>HYPERLINK("https://etp-aktiv.ru/catalog/materialy/zapasnye-chasti-k-dorozhno-stroitelnoj-tekhnike/2000264568-U117/","Открыть позицию")</x:f>
        <x:v>Открыть позицию</x:v>
      </x:c>
    </x:row>
    <x:row r="12" ht="28" customHeight="1">
      <x:c r="A12" s="16" t="str">
        <x:v>Приморская ГРЭС</x:v>
      </x:c>
      <x:c r="B12" s="16" t="str">
        <x:v>2000212777-U117</x:v>
      </x:c>
      <x:c r="C12" s="16" t="str">
        <x:v>БОЛТ М10*25 201497</x:v>
      </x:c>
      <x:c r="D12" s="16" t="str">
        <x:v>Запасные части к карьерной технике БЕЛАЗ</x:v>
      </x:c>
      <x:c r="E12" s="16" t="str">
        <x:v>ШТ</x:v>
      </x:c>
      <x:c r="F12" s="21" t="n">
        <x:v>6</x:v>
      </x:c>
      <x:c r="G12" s="17" t="n">
        <x:v>128.1</x:v>
      </x:c>
      <x:c r="H12" s="17" t="n">
        <x:f>G12*F12</x:f>
        <x:v>768.5999999999999</x:v>
      </x:c>
      <x:c r="I12" s="22" t="str">
        <x:f>HYPERLINK("https://etp-aktiv.ru/catalog/materialy/zapasnye-chasti-k-gorno-shahtnomu-oborudovaniyu/2000212777-U117/","Открыть позицию")</x:f>
        <x:v>Открыть позицию</x:v>
      </x:c>
    </x:row>
    <x:row r="13" ht="28" customHeight="1">
      <x:c r="A13" s="16" t="str">
        <x:v>Приморская ГРЭС</x:v>
      </x:c>
      <x:c r="B13" s="16" t="str">
        <x:v>2000344461-U117</x:v>
      </x:c>
      <x:c r="C13" s="16" t="str">
        <x:v>БОЛТ М12Х1,25-6GХ25 540А-1018132</x:v>
      </x:c>
      <x:c r="D13" s="16" t="str">
        <x:v>Запасные части к карьерной технике БЕЛАЗ</x:v>
      </x:c>
      <x:c r="E13" s="16" t="str">
        <x:v>ШТ</x:v>
      </x:c>
      <x:c r="F13" s="21" t="n">
        <x:v>24</x:v>
      </x:c>
      <x:c r="G13" s="17" t="n">
        <x:v>14.871799999999999</x:v>
      </x:c>
      <x:c r="H13" s="17" t="n">
        <x:f>G13*F13</x:f>
        <x:v>356.92319999999995</x:v>
      </x:c>
      <x:c r="I13" s="22" t="str">
        <x:f>HYPERLINK("https://etp-aktiv.ru/catalog/materialy/zapasnye-chasti-k-gorno-shahtnomu-oborudovaniyu/2000344461-U117/","Открыть позицию")</x:f>
        <x:v>Открыть позицию</x:v>
      </x:c>
    </x:row>
    <x:row r="14" ht="28" customHeight="1">
      <x:c r="A14" s="16" t="str">
        <x:v>Приморская ГРЭС</x:v>
      </x:c>
      <x:c r="B14" s="16" t="str">
        <x:v>2000456074-U117</x:v>
      </x:c>
      <x:c r="C14" s="16" t="str">
        <x:v>БОЛТ М8*30 812519</x:v>
      </x:c>
      <x:c r="D14" s="16" t="str">
        <x:v>Запасные части к автотранспортному оборудованию</x:v>
      </x:c>
      <x:c r="E14" s="16" t="str">
        <x:v>ШТ</x:v>
      </x:c>
      <x:c r="F14" s="21" t="n">
        <x:v>6</x:v>
      </x:c>
      <x:c r="G14" s="17" t="n">
        <x:v>27.45</x:v>
      </x:c>
      <x:c r="H14" s="17" t="n">
        <x:f>G14*F14</x:f>
        <x:v>164.7</x:v>
      </x:c>
      <x:c r="I14" s="22" t="str">
        <x:f>HYPERLINK("https://etp-aktiv.ru/catalog/materialy/zapasnye-chasti-k-avtotransportnomu-oborudovaniyu/2000456074-U117/","Открыть позицию")</x:f>
        <x:v>Открыть позицию</x:v>
      </x:c>
    </x:row>
    <x:row r="15" ht="28" customHeight="1">
      <x:c r="A15" s="16" t="str">
        <x:v>Приморская ГРЭС</x:v>
      </x:c>
      <x:c r="B15" s="16" t="str">
        <x:v>2000523580-U117</x:v>
      </x:c>
      <x:c r="C15" s="16" t="str">
        <x:v>ВАЛ 2001-20-4</x:v>
      </x:c>
      <x:c r="D15" s="16" t="str">
        <x:v>Запасные части к карьерной технике Четра</x:v>
      </x:c>
      <x:c r="E15" s="16" t="str">
        <x:v>ШТ</x:v>
      </x:c>
      <x:c r="F15" s="21" t="n">
        <x:v>1</x:v>
      </x:c>
      <x:c r="G15" s="17" t="n">
        <x:v>10980</x:v>
      </x:c>
      <x:c r="H15" s="17" t="n">
        <x:f>G15*F15</x:f>
        <x:v>10980</x:v>
      </x:c>
      <x:c r="I15" s="22" t="str">
        <x:f>HYPERLINK("https://etp-aktiv.ru/catalog/materialy/zapasnye-chasti-k-dorozhno-stroitelnoj-tekhnike/2000523580-U117/","Открыть позицию")</x:f>
        <x:v>Открыть позицию</x:v>
      </x:c>
    </x:row>
    <x:row r="16" ht="28" customHeight="1">
      <x:c r="A16" s="16" t="str">
        <x:v>Приморская ГРЭС</x:v>
      </x:c>
      <x:c r="B16" s="16" t="str">
        <x:v>2000712223-U117</x:v>
      </x:c>
      <x:c r="C16" s="16" t="str">
        <x:v>ВКЛАДЫШ ШАТУННЫЙ 645-1000104</x:v>
      </x:c>
      <x:c r="D16" s="16" t="str">
        <x:v>Запасные части к автотранспортному оборудованию</x:v>
      </x:c>
      <x:c r="E16" s="16" t="str">
        <x:v>ШТ</x:v>
      </x:c>
      <x:c r="F16" s="21" t="n">
        <x:v>2</x:v>
      </x:c>
      <x:c r="G16" s="17" t="n">
        <x:v>24819.0212</x:v>
      </x:c>
      <x:c r="H16" s="17" t="n">
        <x:f>G16*F16</x:f>
        <x:v>49638.0424</x:v>
      </x:c>
      <x:c r="I16" s="22" t="str">
        <x:f>HYPERLINK("https://etp-aktiv.ru/catalog/materialy/zapasnye-chasti-k-avtotransportnomu-oborudovaniyu/2000712223-U117/","Открыть позицию")</x:f>
        <x:v>Открыть позицию</x:v>
      </x:c>
    </x:row>
    <x:row r="17" ht="28" customHeight="1">
      <x:c r="A17" s="16" t="str">
        <x:v>Приморская ГРЭС</x:v>
      </x:c>
      <x:c r="B17" s="16" t="str">
        <x:v>2000222063-U117</x:v>
      </x:c>
      <x:c r="C17" s="16" t="str">
        <x:v>ВТУЛКА 400418</x:v>
      </x:c>
      <x:c r="D17" s="16" t="str">
        <x:v>Запасные части к карьерной технике Четра</x:v>
      </x:c>
      <x:c r="E17" s="16" t="str">
        <x:v>ШТ</x:v>
      </x:c>
      <x:c r="F17" s="21" t="n">
        <x:v>6</x:v>
      </x:c>
      <x:c r="G17" s="17" t="n">
        <x:v>481.7536</x:v>
      </x:c>
      <x:c r="H17" s="17" t="n">
        <x:f>G17*F17</x:f>
        <x:v>2890.5216</x:v>
      </x:c>
      <x:c r="I17" s="22" t="str">
        <x:f>HYPERLINK("https://etp-aktiv.ru/catalog/materialy/zapasnye-chasti-k-dorozhno-stroitelnoj-tekhnike/2000222063-U117/","Открыть позицию")</x:f>
        <x:v>Открыть позицию</x:v>
      </x:c>
    </x:row>
    <x:row r="18" ht="28" customHeight="1">
      <x:c r="A18" s="16" t="str">
        <x:v>Приморская ГРЭС</x:v>
      </x:c>
      <x:c r="B18" s="16" t="str">
        <x:v>2000781189-U117</x:v>
      </x:c>
      <x:c r="C18" s="16" t="str">
        <x:v>ВТУЛКА РОЛИКА ТОЛКАТЕЛЯ 840.1007199</x:v>
      </x:c>
      <x:c r="D18" s="16" t="str">
        <x:v>Запасные части к карьерной технике Четра</x:v>
      </x:c>
      <x:c r="E18" s="16" t="str">
        <x:v>ШТ</x:v>
      </x:c>
      <x:c r="F18" s="21" t="n">
        <x:v>1</x:v>
      </x:c>
      <x:c r="G18" s="17" t="n">
        <x:v>1532.625</x:v>
      </x:c>
      <x:c r="H18" s="17" t="n">
        <x:f>G18*F18</x:f>
        <x:v>1532.625</x:v>
      </x:c>
      <x:c r="I18" s="22" t="str">
        <x:f>HYPERLINK("https://etp-aktiv.ru/catalog/materialy/zapasnye-chasti-k-dorozhno-stroitelnoj-tekhnike/2000781189-U117/","Открыть позицию")</x:f>
        <x:v>Открыть позицию</x:v>
      </x:c>
    </x:row>
    <x:row r="19" ht="28" customHeight="1">
      <x:c r="A19" s="16" t="str">
        <x:v>Приморская ГРЭС</x:v>
      </x:c>
      <x:c r="B19" s="16" t="str">
        <x:v>2000456487-U117</x:v>
      </x:c>
      <x:c r="C19" s="16" t="str">
        <x:v>ВЫКЛЮЧАТЕЛЬ СИГНАЛА ТОРМ ВК412-3720000</x:v>
      </x:c>
      <x:c r="D19" s="16" t="str">
        <x:v>Запасные части к автотранспортному оборудованию</x:v>
      </x:c>
      <x:c r="E19" s="16" t="str">
        <x:v>ШТ</x:v>
      </x:c>
      <x:c r="F19" s="21" t="n">
        <x:v>1</x:v>
      </x:c>
      <x:c r="G19" s="17" t="n">
        <x:v>93.0738</x:v>
      </x:c>
      <x:c r="H19" s="17" t="n">
        <x:f>G19*F19</x:f>
        <x:v>93.0738</x:v>
      </x:c>
      <x:c r="I19" s="22" t="str">
        <x:f>HYPERLINK("https://etp-aktiv.ru/catalog/materialy/zapasnye-chasti-k-avtotransportnomu-oborudovaniyu/2000456487-U117/","Открыть позицию")</x:f>
        <x:v>Открыть позицию</x:v>
      </x:c>
    </x:row>
    <x:row r="20" ht="28" customHeight="1">
      <x:c r="A20" s="16" t="str">
        <x:v>Приморская ГРЭС</x:v>
      </x:c>
      <x:c r="B20" s="16" t="str">
        <x:v>2000523479-U117</x:v>
      </x:c>
      <x:c r="C20" s="16" t="str">
        <x:v>ГАЙКА 300415</x:v>
      </x:c>
      <x:c r="D20" s="16" t="str">
        <x:v>Запасные части к карьерной технике Четра</x:v>
      </x:c>
      <x:c r="E20" s="16" t="str">
        <x:v>ШТ</x:v>
      </x:c>
      <x:c r="F20" s="21" t="n">
        <x:v>19</x:v>
      </x:c>
      <x:c r="G20" s="17" t="n">
        <x:v>207.25359999999998</x:v>
      </x:c>
      <x:c r="H20" s="17" t="n">
        <x:f>G20*F20</x:f>
        <x:v>3937.8183999999997</x:v>
      </x:c>
      <x:c r="I20" s="22" t="str">
        <x:f>HYPERLINK("https://etp-aktiv.ru/catalog/materialy/zapasnye-chasti-k-dorozhno-stroitelnoj-tekhnike/2000523479-U117/","Открыть позицию")</x:f>
        <x:v>Открыть позицию</x:v>
      </x:c>
    </x:row>
    <x:row r="21" ht="28" customHeight="1">
      <x:c r="A21" s="16" t="str">
        <x:v>Приморская ГРЭС</x:v>
      </x:c>
      <x:c r="B21" s="16" t="str">
        <x:v>2000060341-U117</x:v>
      </x:c>
      <x:c r="C21" s="16" t="str">
        <x:v>ГАЙКА КРЕПЛЕНИЯ 2J3507</x:v>
      </x:c>
      <x:c r="D21" s="16" t="str">
        <x:v>Запасные части к карьерной технике Caterpillar</x:v>
      </x:c>
      <x:c r="E21" s="16" t="str">
        <x:v>ШТ</x:v>
      </x:c>
      <x:c r="F21" s="21" t="n">
        <x:v>36</x:v>
      </x:c>
      <x:c r="G21" s="17" t="n">
        <x:v>54.3632</x:v>
      </x:c>
      <x:c r="H21" s="17" t="n">
        <x:f>G21*F21</x:f>
        <x:v>1957.0752</x:v>
      </x:c>
      <x:c r="I21" s="22" t="str">
        <x:f>HYPERLINK("https://etp-aktiv.ru/catalog/materialy/zapasnye-chasti-k-dorozhno-stroitelnoj-tekhnike/2000060341-U117/","Открыть позицию")</x:f>
        <x:v>Открыть позицию</x:v>
      </x:c>
    </x:row>
    <x:row r="22" ht="28" customHeight="1">
      <x:c r="A22" s="16" t="str">
        <x:v>Приморская ГРЭС</x:v>
      </x:c>
      <x:c r="B22" s="16" t="str">
        <x:v>2000022405-U117</x:v>
      </x:c>
      <x:c r="C22" s="16" t="str">
        <x:v>ГАЙКА М14*1,5 1/21640/11</x:v>
      </x:c>
      <x:c r="D22" s="16" t="str">
        <x:v>Запасные части к автотранспортному оборудованию</x:v>
      </x:c>
      <x:c r="E22" s="16" t="str">
        <x:v>ШТ</x:v>
      </x:c>
      <x:c r="F22" s="21" t="n">
        <x:v>16</x:v>
      </x:c>
      <x:c r="G22" s="17" t="n">
        <x:v>5.49</x:v>
      </x:c>
      <x:c r="H22" s="17" t="n">
        <x:f>G22*F22</x:f>
        <x:v>87.84</x:v>
      </x:c>
      <x:c r="I22" s="22" t="str">
        <x:f>HYPERLINK("https://etp-aktiv.ru/catalog/materialy/zapasnye-chasti-k-avtotransportnomu-oborudovaniyu/2000022405-U117/","Открыть позицию")</x:f>
        <x:v>Открыть позицию</x:v>
      </x:c>
    </x:row>
    <x:row r="23" ht="28" customHeight="1">
      <x:c r="A23" s="16" t="str">
        <x:v>Приморская ГРЭС</x:v>
      </x:c>
      <x:c r="B23" s="16" t="str">
        <x:v>2000010435-U117</x:v>
      </x:c>
      <x:c r="C23" s="16" t="str">
        <x:v>ГЕНЕРАТОР Г-287Б</x:v>
      </x:c>
      <x:c r="D23" s="16" t="str">
        <x:v>Запасные части к автотранспортному оборудованию</x:v>
      </x:c>
      <x:c r="E23" s="16" t="str">
        <x:v>ШТ</x:v>
      </x:c>
      <x:c r="F23" s="21" t="n">
        <x:v>1</x:v>
      </x:c>
      <x:c r="G23" s="17" t="n">
        <x:v>9741.151</x:v>
      </x:c>
      <x:c r="H23" s="17" t="n">
        <x:f>G23*F23</x:f>
        <x:v>9741.151</x:v>
      </x:c>
      <x:c r="I23" s="22" t="str">
        <x:f>HYPERLINK("https://etp-aktiv.ru/catalog/materialy/zapasnye-chasti-k-avtotransportnomu-oborudovaniyu/2000010435-U117/","Открыть позицию")</x:f>
        <x:v>Открыть позицию</x:v>
      </x:c>
    </x:row>
    <x:row r="24" ht="28" customHeight="1">
      <x:c r="A24" s="16" t="str">
        <x:v>Приморская ГРЭС</x:v>
      </x:c>
      <x:c r="B24" s="16" t="str">
        <x:v>2000291857-U117</x:v>
      </x:c>
      <x:c r="C24" s="16" t="str">
        <x:v>ГРУППА ПОРШНЕВАЯ 421-1004017</x:v>
      </x:c>
      <x:c r="D24" s="16" t="str">
        <x:v>Запасные части к автотранспортному оборудованию</x:v>
      </x:c>
      <x:c r="E24" s="16" t="str">
        <x:v>КМП</x:v>
      </x:c>
      <x:c r="F24" s="21" t="n">
        <x:v>2</x:v>
      </x:c>
      <x:c r="G24" s="17" t="n">
        <x:v>6505.564600000001</x:v>
      </x:c>
      <x:c r="H24" s="17" t="n">
        <x:f>G24*F24</x:f>
        <x:v>13011.129200000001</x:v>
      </x:c>
      <x:c r="I24" s="22" t="str">
        <x:f>HYPERLINK("https://etp-aktiv.ru/catalog/materialy/zapasnye-chasti-k-avtotransportnomu-oborudovaniyu/2000291857-U117/","Открыть позицию")</x:f>
        <x:v>Открыть позицию</x:v>
      </x:c>
    </x:row>
    <x:row r="25" ht="28" customHeight="1">
      <x:c r="A25" s="16" t="str">
        <x:v>Приморская ГРЭС</x:v>
      </x:c>
      <x:c r="B25" s="16" t="str">
        <x:v>2000047835-U117</x:v>
      </x:c>
      <x:c r="C25" s="16" t="str">
        <x:v>ДАТЧИК ЗАСОРЕННОСТИ ВОЗД ФИЛЬТРОВ ДСФ-45</x:v>
      </x:c>
      <x:c r="D25" s="16" t="str">
        <x:v>Запасные части к карьерной технике БЕЛАЗ</x:v>
      </x:c>
      <x:c r="E25" s="16" t="str">
        <x:v>ШТ</x:v>
      </x:c>
      <x:c r="F25" s="21" t="n">
        <x:v>3</x:v>
      </x:c>
      <x:c r="G25" s="17" t="n">
        <x:v>745.42</x:v>
      </x:c>
      <x:c r="H25" s="17" t="n">
        <x:f>G25*F25</x:f>
        <x:v>2236.2599999999998</x:v>
      </x:c>
      <x:c r="I25" s="22" t="str">
        <x:f>HYPERLINK("https://etp-aktiv.ru/catalog/materialy/zapasnye-chasti-k-gorno-shahtnomu-oborudovaniyu/2000047835-U117/","Открыть позицию")</x:f>
        <x:v>Открыть позицию</x:v>
      </x:c>
    </x:row>
    <x:row r="26" ht="28" customHeight="1">
      <x:c r="A26" s="16" t="str">
        <x:v>Приморская ГРЭС</x:v>
      </x:c>
      <x:c r="B26" s="16" t="str">
        <x:v>2000001011-U117</x:v>
      </x:c>
      <x:c r="C26" s="16" t="str">
        <x:v>ДАТЧИК ММ-111-В</x:v>
      </x:c>
      <x:c r="D26" s="16" t="str">
        <x:v>Запасные части к автотранспортному оборудованию</x:v>
      </x:c>
      <x:c r="E26" s="16" t="str">
        <x:v>ШТ</x:v>
      </x:c>
      <x:c r="F26" s="21" t="n">
        <x:v>2</x:v>
      </x:c>
      <x:c r="G26" s="17" t="n">
        <x:v>772.4186</x:v>
      </x:c>
      <x:c r="H26" s="17" t="n">
        <x:f>G26*F26</x:f>
        <x:v>1544.8372</x:v>
      </x:c>
      <x:c r="I26" s="22" t="str">
        <x:f>HYPERLINK("https://etp-aktiv.ru/catalog/materialy/zapasnye-chasti-k-avtotransportnomu-oborudovaniyu/2000001011-U117/","Открыть позицию")</x:f>
        <x:v>Открыть позицию</x:v>
      </x:c>
    </x:row>
    <x:row r="27" ht="28" customHeight="1">
      <x:c r="A27" s="16" t="str">
        <x:v>Приморская ГРЭС</x:v>
      </x:c>
      <x:c r="B27" s="16" t="str">
        <x:v>2000007447-U117</x:v>
      </x:c>
      <x:c r="C27" s="16" t="str">
        <x:v>ДИСК СЦЕПЛЕНИЯ 14-1601130</x:v>
      </x:c>
      <x:c r="D27" s="16" t="str">
        <x:v>Запасные части к автотранспортному оборудованию</x:v>
      </x:c>
      <x:c r="E27" s="16" t="str">
        <x:v>ШТ</x:v>
      </x:c>
      <x:c r="F27" s="21" t="n">
        <x:v>1</x:v>
      </x:c>
      <x:c r="G27" s="17" t="n">
        <x:v>1399.9987999999998</x:v>
      </x:c>
      <x:c r="H27" s="17" t="n">
        <x:f>G27*F27</x:f>
        <x:v>1399.9987999999998</x:v>
      </x:c>
      <x:c r="I27" s="22" t="str">
        <x:f>HYPERLINK("https://etp-aktiv.ru/catalog/materialy/zapasnye-chasti-k-avtotransportnomu-oborudovaniyu/2000007447-U117/","Открыть позицию")</x:f>
        <x:v>Открыть позицию</x:v>
      </x:c>
    </x:row>
    <x:row r="28" ht="28" customHeight="1">
      <x:c r="A28" s="16" t="str">
        <x:v>Приморская ГРЭС</x:v>
      </x:c>
      <x:c r="B28" s="16" t="str">
        <x:v>2000292319-U117</x:v>
      </x:c>
      <x:c r="C28" s="16" t="str">
        <x:v>ДИСК ТОРМОЗНОЙ 85-3502040-01</x:v>
      </x:c>
      <x:c r="D28" s="16" t="str">
        <x:v>Запасные части к автотранспортному оборудованию</x:v>
      </x:c>
      <x:c r="E28" s="16" t="str">
        <x:v>ШТ</x:v>
      </x:c>
      <x:c r="F28" s="21" t="n">
        <x:v>4</x:v>
      </x:c>
      <x:c r="G28" s="17" t="n">
        <x:v>257.115</x:v>
      </x:c>
      <x:c r="H28" s="17" t="n">
        <x:f>G28*F28</x:f>
        <x:v>1028.46</x:v>
      </x:c>
      <x:c r="I28" s="22" t="str">
        <x:f>HYPERLINK("https://etp-aktiv.ru/catalog/materialy/zapasnye-chasti-k-avtotransportnomu-oborudovaniyu/2000292319-U117/","Открыть позицию")</x:f>
        <x:v>Открыть позицию</x:v>
      </x:c>
    </x:row>
    <x:row r="29" ht="28" customHeight="1">
      <x:c r="A29" s="16" t="str">
        <x:v>Приморская ГРЭС</x:v>
      </x:c>
      <x:c r="B29" s="16" t="str">
        <x:v>2000004369-U117</x:v>
      </x:c>
      <x:c r="C29" s="16" t="str">
        <x:v>ЗАМОК ДВЕРНОЙ 469-6105013-03</x:v>
      </x:c>
      <x:c r="D29" s="16" t="str">
        <x:v>Запасные части к автотранспортному оборудованию</x:v>
      </x:c>
      <x:c r="E29" s="16" t="str">
        <x:v>ШТ</x:v>
      </x:c>
      <x:c r="F29" s="21" t="n">
        <x:v>5</x:v>
      </x:c>
      <x:c r="G29" s="17" t="n">
        <x:v>311.09999999999997</x:v>
      </x:c>
      <x:c r="H29" s="17" t="n">
        <x:f>G29*F29</x:f>
        <x:v>1555.4999999999998</x:v>
      </x:c>
      <x:c r="I29" s="22" t="str">
        <x:f>HYPERLINK("https://etp-aktiv.ru/catalog/materialy/zapasnye-chasti-k-avtotransportnomu-oborudovaniyu/2000004369-U117/","Открыть позицию")</x:f>
        <x:v>Открыть позицию</x:v>
      </x:c>
    </x:row>
    <x:row r="30" ht="28" customHeight="1">
      <x:c r="A30" s="16" t="str">
        <x:v>Приморская ГРЭС</x:v>
      </x:c>
      <x:c r="B30" s="16" t="str">
        <x:v>2000059090-U117</x:v>
      </x:c>
      <x:c r="C30" s="16" t="str">
        <x:v>ЗАХВАТ 2501-21-65СП</x:v>
      </x:c>
      <x:c r="D30" s="16" t="str">
        <x:v>Запасные части к карьерной технике Четра</x:v>
      </x:c>
      <x:c r="E30" s="16" t="str">
        <x:v>ШТ</x:v>
      </x:c>
      <x:c r="F30" s="21" t="n">
        <x:v>4</x:v>
      </x:c>
      <x:c r="G30" s="17" t="n">
        <x:v>13381.875</x:v>
      </x:c>
      <x:c r="H30" s="17" t="n">
        <x:f>G30*F30</x:f>
        <x:v>53527.5</x:v>
      </x:c>
      <x:c r="I30" s="22" t="str">
        <x:f>HYPERLINK("https://etp-aktiv.ru/catalog/materialy/zapasnye-chasti-k-dorozhno-stroitelnoj-tekhnike/2000059090-U117/","Открыть позицию")</x:f>
        <x:v>Открыть позицию</x:v>
      </x:c>
    </x:row>
    <x:row r="31" ht="28" customHeight="1">
      <x:c r="A31" s="16" t="str">
        <x:v>Приморская ГРЭС</x:v>
      </x:c>
      <x:c r="B31" s="16" t="str">
        <x:v>2000285791-U117</x:v>
      </x:c>
      <x:c r="C31" s="16" t="str">
        <x:v>КАМЕРА ТОРМОЗНАЯ 20.3519100-01</x:v>
      </x:c>
      <x:c r="D31" s="16" t="str">
        <x:v>Запасные части к автотранспортному оборудованию</x:v>
      </x:c>
      <x:c r="E31" s="16" t="str">
        <x:v>ШТ</x:v>
      </x:c>
      <x:c r="F31" s="21" t="n">
        <x:v>4</x:v>
      </x:c>
      <x:c r="G31" s="17" t="n">
        <x:v>2745</x:v>
      </x:c>
      <x:c r="H31" s="17" t="n">
        <x:f>G31*F31</x:f>
        <x:v>10980</x:v>
      </x:c>
      <x:c r="I31" s="22" t="str">
        <x:f>HYPERLINK("https://etp-aktiv.ru/catalog/materialy/zapasnye-chasti-k-avtotransportnomu-oborudovaniyu/2000285791-U117/","Открыть позицию")</x:f>
        <x:v>Открыть позицию</x:v>
      </x:c>
    </x:row>
    <x:row r="32" ht="28" customHeight="1">
      <x:c r="A32" s="16" t="str">
        <x:v>Приморская ГРЭС</x:v>
      </x:c>
      <x:c r="B32" s="16" t="str">
        <x:v>2000457955-U117</x:v>
      </x:c>
      <x:c r="C32" s="16" t="str">
        <x:v>КАРТРИДЖ ФИЛЬТРУЮЩИЙ 14Х-60-31150</x:v>
      </x:c>
      <x:c r="D32" s="16" t="str">
        <x:v>Фильтры для спецтехники и автотранспорта</x:v>
      </x:c>
      <x:c r="E32" s="16" t="str">
        <x:v>ШТ</x:v>
      </x:c>
      <x:c r="F32" s="21" t="n">
        <x:v>1</x:v>
      </x:c>
      <x:c r="G32" s="17" t="n">
        <x:v>4454.8422</x:v>
      </x:c>
      <x:c r="H32" s="17" t="n">
        <x:f>G32*F32</x:f>
        <x:v>4454.8422</x:v>
      </x:c>
      <x:c r="I32" s="22" t="str">
        <x:f>HYPERLINK("https://etp-aktiv.ru/catalog/materialy/zapasnye-chasti-k-avtotransportnomu-oborudovaniyu/2000457955-U117/","Открыть позицию")</x:f>
        <x:v>Открыть позицию</x:v>
      </x:c>
    </x:row>
    <x:row r="33" ht="28" customHeight="1">
      <x:c r="A33" s="16" t="str">
        <x:v>Приморская ГРЭС</x:v>
      </x:c>
      <x:c r="B33" s="16" t="str">
        <x:v>2000160342-U117</x:v>
      </x:c>
      <x:c r="C33" s="16" t="str">
        <x:v>КАТУШКА ЗАЖИГАНИЯ Б-114Б-01</x:v>
      </x:c>
      <x:c r="D33" s="16" t="str">
        <x:v>Запасные части к автотранспортному оборудованию</x:v>
      </x:c>
      <x:c r="E33" s="16" t="str">
        <x:v>ШТ</x:v>
      </x:c>
      <x:c r="F33" s="21" t="n">
        <x:v>1</x:v>
      </x:c>
      <x:c r="G33" s="17" t="n">
        <x:v>324.39799999999997</x:v>
      </x:c>
      <x:c r="H33" s="17" t="n">
        <x:f>G33*F33</x:f>
        <x:v>324.39799999999997</x:v>
      </x:c>
      <x:c r="I33" s="22" t="str">
        <x:f>HYPERLINK("https://etp-aktiv.ru/catalog/materialy/zapasnye-chasti-k-avtotransportnomu-oborudovaniyu/2000160342-U117/","Открыть позицию")</x:f>
        <x:v>Открыть позицию</x:v>
      </x:c>
    </x:row>
    <x:row r="34" ht="28" customHeight="1">
      <x:c r="A34" s="16" t="str">
        <x:v>Приморская ГРЭС</x:v>
      </x:c>
      <x:c r="B34" s="16" t="str">
        <x:v>2000282698-U117</x:v>
      </x:c>
      <x:c r="C34" s="16" t="str">
        <x:v>КЛАПАН 1501-15-46</x:v>
      </x:c>
      <x:c r="D34" s="16" t="str">
        <x:v>Запасные части к карьерной технике Четра</x:v>
      </x:c>
      <x:c r="E34" s="16" t="str">
        <x:v>ШТ</x:v>
      </x:c>
      <x:c r="F34" s="21" t="n">
        <x:v>10</x:v>
      </x:c>
      <x:c r="G34" s="17" t="n">
        <x:v>683.078</x:v>
      </x:c>
      <x:c r="H34" s="17" t="n">
        <x:f>G34*F34</x:f>
        <x:v>6830.78</x:v>
      </x:c>
      <x:c r="I34" s="22" t="str">
        <x:f>HYPERLINK("https://etp-aktiv.ru/catalog/materialy/zapasnye-chasti-k-dorozhno-stroitelnoj-tekhnike/2000282698-U117/","Открыть позицию")</x:f>
        <x:v>Открыть позицию</x:v>
      </x:c>
    </x:row>
    <x:row r="35" ht="28" customHeight="1">
      <x:c r="A35" s="16" t="str">
        <x:v>Приморская ГРЭС</x:v>
      </x:c>
      <x:c r="B35" s="16" t="str">
        <x:v>2000284930-U117</x:v>
      </x:c>
      <x:c r="C35" s="16" t="str">
        <x:v>КЛЕММА АКБ 3302-3724150/4050</x:v>
      </x:c>
      <x:c r="D35" s="16" t="str">
        <x:v>Запасные части к автотранспортному оборудованию</x:v>
      </x:c>
      <x:c r="E35" s="16" t="str">
        <x:v>ШТ</x:v>
      </x:c>
      <x:c r="F35" s="21" t="n">
        <x:v>1</x:v>
      </x:c>
      <x:c r="G35" s="17" t="n">
        <x:v>1189.5</x:v>
      </x:c>
      <x:c r="H35" s="17" t="n">
        <x:f>G35*F35</x:f>
        <x:v>1189.5</x:v>
      </x:c>
      <x:c r="I35" s="22" t="str">
        <x:f>HYPERLINK("https://etp-aktiv.ru/catalog/materialy/zapasnye-chasti-k-avtotransportnomu-oborudovaniyu/2000284930-U117/","Открыть позицию")</x:f>
        <x:v>Открыть позицию</x:v>
      </x:c>
    </x:row>
    <x:row r="36" ht="28" customHeight="1">
      <x:c r="A36" s="16" t="str">
        <x:v>Приморская ГРЭС</x:v>
      </x:c>
      <x:c r="B36" s="16" t="str">
        <x:v>2000062514-U117</x:v>
      </x:c>
      <x:c r="C36" s="16" t="str">
        <x:v>КЛИН АВТОСЦЕПКИ 106.00.001-2</x:v>
      </x:c>
      <x:c r="D36" s="16" t="str">
        <x:v>Запасные части к вагонам</x:v>
      </x:c>
      <x:c r="E36" s="16" t="str">
        <x:v>ШТ</x:v>
      </x:c>
      <x:c r="F36" s="21" t="n">
        <x:v>3</x:v>
      </x:c>
      <x:c r="G36" s="17" t="n">
        <x:v>16062.3614</x:v>
      </x:c>
      <x:c r="H36" s="17" t="n">
        <x:f>G36*F36</x:f>
        <x:v>48187.0842</x:v>
      </x:c>
      <x:c r="I36" s="22" t="str">
        <x:f>HYPERLINK("https://etp-aktiv.ru/catalog/materialy/zapasnye-chasti-k-zhd-oborudovaniyu-i-podvizhnomu-sostavu/2000062514-U117/","Открыть позицию")</x:f>
        <x:v>Открыть позицию</x:v>
      </x:c>
    </x:row>
    <x:row r="37" ht="28" customHeight="1">
      <x:c r="A37" s="16" t="str">
        <x:v>Приморская ГРЭС</x:v>
      </x:c>
      <x:c r="B37" s="16" t="str">
        <x:v>2000472540-U117</x:v>
      </x:c>
      <x:c r="C37" s="16" t="str">
        <x:v>КОЛОДКА ПЕРЕДНЯЯ 3160-00-351098-98</x:v>
      </x:c>
      <x:c r="D37" s="16" t="str">
        <x:v>Запасные части к автотранспортному оборудованию</x:v>
      </x:c>
      <x:c r="E37" s="16" t="str">
        <x:v>ШТ</x:v>
      </x:c>
      <x:c r="F37" s="21" t="n">
        <x:v>4</x:v>
      </x:c>
      <x:c r="G37" s="17" t="n">
        <x:v>487.0118</x:v>
      </x:c>
      <x:c r="H37" s="17" t="n">
        <x:f>G37*F37</x:f>
        <x:v>1948.0472</x:v>
      </x:c>
      <x:c r="I37" s="22" t="str">
        <x:f>HYPERLINK("https://etp-aktiv.ru/catalog/materialy/zapasnye-chasti-k-avtotransportnomu-oborudovaniyu/2000472540-U117/","Открыть позицию")</x:f>
        <x:v>Открыть позицию</x:v>
      </x:c>
    </x:row>
    <x:row r="38" ht="28" customHeight="1">
      <x:c r="A38" s="16" t="str">
        <x:v>Приморская ГРЭС</x:v>
      </x:c>
      <x:c r="B38" s="16" t="str">
        <x:v>2000385865-U117</x:v>
      </x:c>
      <x:c r="C38" s="16" t="str">
        <x:v>КОЛЬЦО 2501-12-181-03</x:v>
      </x:c>
      <x:c r="D38" s="16" t="str">
        <x:v>Запасные части к карьерной технике Четра</x:v>
      </x:c>
      <x:c r="E38" s="16" t="str">
        <x:v>ШТ</x:v>
      </x:c>
      <x:c r="F38" s="21" t="n">
        <x:v>3</x:v>
      </x:c>
      <x:c r="G38" s="17" t="n">
        <x:v>165.6394</x:v>
      </x:c>
      <x:c r="H38" s="17" t="n">
        <x:f>G38*F38</x:f>
        <x:v>496.91819999999996</x:v>
      </x:c>
      <x:c r="I38" s="22" t="str">
        <x:f>HYPERLINK("https://etp-aktiv.ru/catalog/materialy/zapasnye-chasti-k-dorozhno-stroitelnoj-tekhnike/2000385865-U117/","Открыть позицию")</x:f>
        <x:v>Открыть позицию</x:v>
      </x:c>
    </x:row>
    <x:row r="39" ht="28" customHeight="1">
      <x:c r="A39" s="16" t="str">
        <x:v>Приморская ГРЭС</x:v>
      </x:c>
      <x:c r="B39" s="16" t="str">
        <x:v>2000781995-U117</x:v>
      </x:c>
      <x:c r="C39" s="16" t="str">
        <x:v>КОЛЬЦО 2501-21-196</x:v>
      </x:c>
      <x:c r="D39" s="16" t="str">
        <x:v>Запасные части к карьерной технике Четра</x:v>
      </x:c>
      <x:c r="E39" s="16" t="str">
        <x:v>ШТ</x:v>
      </x:c>
      <x:c r="F39" s="21" t="n">
        <x:v>1</x:v>
      </x:c>
      <x:c r="G39" s="17" t="n">
        <x:v>1651.575</x:v>
      </x:c>
      <x:c r="H39" s="17" t="n">
        <x:f>G39*F39</x:f>
        <x:v>1651.575</x:v>
      </x:c>
      <x:c r="I39" s="22" t="str">
        <x:f>HYPERLINK("https://etp-aktiv.ru/catalog/materialy/zapasnye-chasti-k-dorozhno-stroitelnoj-tekhnike/2000781995-U117/","Открыть позицию")</x:f>
        <x:v>Открыть позицию</x:v>
      </x:c>
    </x:row>
    <x:row r="40" ht="28" customHeight="1">
      <x:c r="A40" s="16" t="str">
        <x:v>Приморская ГРЭС</x:v>
      </x:c>
      <x:c r="B40" s="16" t="str">
        <x:v>2000248203-U117</x:v>
      </x:c>
      <x:c r="C40" s="16" t="str">
        <x:v>КОЛЬЦО 340-350-58-2-2</x:v>
      </x:c>
      <x:c r="D40" s="16" t="str">
        <x:v>Запасные части к карьерной технике БЕЛАЗ</x:v>
      </x:c>
      <x:c r="E40" s="16" t="str">
        <x:v>ШТ</x:v>
      </x:c>
      <x:c r="F40" s="21" t="n">
        <x:v>2</x:v>
      </x:c>
      <x:c r="G40" s="17" t="n">
        <x:v>256.3342</x:v>
      </x:c>
      <x:c r="H40" s="17" t="n">
        <x:f>G40*F40</x:f>
        <x:v>512.6684</x:v>
      </x:c>
      <x:c r="I40" s="22" t="str">
        <x:f>HYPERLINK("https://etp-aktiv.ru/catalog/materialy/zapasnye-chasti-k-gorno-shahtnomu-oborudovaniyu/2000248203-U117/","Открыть позицию")</x:f>
        <x:v>Открыть позицию</x:v>
      </x:c>
    </x:row>
    <x:row r="41" ht="28" customHeight="1">
      <x:c r="A41" s="16" t="str">
        <x:v>Приморская ГРЭС</x:v>
      </x:c>
      <x:c r="B41" s="16" t="str">
        <x:v>2000563115-U117</x:v>
      </x:c>
      <x:c r="C41" s="16" t="str">
        <x:v>КОЛЬЦО 585650 ЧЕТРА</x:v>
      </x:c>
      <x:c r="D41" s="16" t="str">
        <x:v>Запасные части к карьерной технике Четра</x:v>
      </x:c>
      <x:c r="E41" s="16" t="str">
        <x:v>ШТ</x:v>
      </x:c>
      <x:c r="F41" s="21" t="n">
        <x:v>8</x:v>
      </x:c>
      <x:c r="G41" s="17" t="n">
        <x:v>133.8218</x:v>
      </x:c>
      <x:c r="H41" s="17" t="n">
        <x:f>G41*F41</x:f>
        <x:v>1070.5744</x:v>
      </x:c>
      <x:c r="I41" s="22" t="str">
        <x:f>HYPERLINK("https://etp-aktiv.ru/catalog/materialy/zapasnye-chasti-k-dorozhno-stroitelnoj-tekhnike/2000563115-U117/","Открыть позицию")</x:f>
        <x:v>Открыть позицию</x:v>
      </x:c>
    </x:row>
    <x:row r="42" ht="28" customHeight="1">
      <x:c r="A42" s="16" t="str">
        <x:v>Приморская ГРЭС</x:v>
      </x:c>
      <x:c r="B42" s="16" t="str">
        <x:v>2000290156-U117</x:v>
      </x:c>
      <x:c r="C42" s="16" t="str">
        <x:v>КОЛЬЦО 585960</x:v>
      </x:c>
      <x:c r="D42" s="16" t="str">
        <x:v>Запасные части к карьерной технике Четра</x:v>
      </x:c>
      <x:c r="E42" s="16" t="str">
        <x:v>ШТ</x:v>
      </x:c>
      <x:c r="F42" s="21" t="n">
        <x:v>2</x:v>
      </x:c>
      <x:c r="G42" s="17" t="n">
        <x:v>1613.4622</x:v>
      </x:c>
      <x:c r="H42" s="17" t="n">
        <x:f>G42*F42</x:f>
        <x:v>3226.9244</x:v>
      </x:c>
      <x:c r="I42" s="22" t="str">
        <x:f>HYPERLINK("https://etp-aktiv.ru/catalog/materialy/zapasnye-chasti-k-dorozhno-stroitelnoj-tekhnike/2000290156-U117/","Открыть позицию")</x:f>
        <x:v>Открыть позицию</x:v>
      </x:c>
    </x:row>
    <x:row r="43" ht="28" customHeight="1">
      <x:c r="A43" s="16" t="str">
        <x:v>Приморская ГРЭС</x:v>
      </x:c>
      <x:c r="B43" s="16" t="str">
        <x:v>2000495461-U117</x:v>
      </x:c>
      <x:c r="C43" s="16" t="str">
        <x:v>КОЛЬЦО 8P2022</x:v>
      </x:c>
      <x:c r="D43" s="16" t="str">
        <x:v>Запасные части к карьерной технике Caterpillar</x:v>
      </x:c>
      <x:c r="E43" s="16" t="str">
        <x:v>ШТ</x:v>
      </x:c>
      <x:c r="F43" s="21" t="n">
        <x:v>4</x:v>
      </x:c>
      <x:c r="G43" s="17" t="n">
        <x:v>1143.9818</x:v>
      </x:c>
      <x:c r="H43" s="17" t="n">
        <x:f>G43*F43</x:f>
        <x:v>4575.9272</x:v>
      </x:c>
      <x:c r="I43" s="22" t="str">
        <x:f>HYPERLINK("https://etp-aktiv.ru/catalog/materialy/zapasnye-chasti-k-dorozhno-stroitelnoj-tekhnike/2000495461-U117/","Открыть позицию")</x:f>
        <x:v>Открыть позицию</x:v>
      </x:c>
    </x:row>
    <x:row r="44" ht="28" customHeight="1">
      <x:c r="A44" s="16" t="str">
        <x:v>Приморская ГРЭС</x:v>
      </x:c>
      <x:c r="B44" s="16" t="str">
        <x:v>2000027063-U117</x:v>
      </x:c>
      <x:c r="C44" s="16" t="str">
        <x:v>КОЛЬЦО УПЛОТНИТЕЛЬНОЕ 840-1002040</x:v>
      </x:c>
      <x:c r="D44" s="16" t="str">
        <x:v>Запасные части к автотранспортному оборудованию</x:v>
      </x:c>
      <x:c r="E44" s="16" t="str">
        <x:v>КМП</x:v>
      </x:c>
      <x:c r="F44" s="21" t="n">
        <x:v>24</x:v>
      </x:c>
      <x:c r="G44" s="17" t="n">
        <x:v>125.81859999999999</x:v>
      </x:c>
      <x:c r="H44" s="17" t="n">
        <x:f>G44*F44</x:f>
        <x:v>3019.6463999999996</x:v>
      </x:c>
      <x:c r="I44" s="22" t="str">
        <x:f>HYPERLINK("https://etp-aktiv.ru/catalog/materialy/zapasnye-chasti-k-avtotransportnomu-oborudovaniyu/2000027063-U117/","Открыть позицию")</x:f>
        <x:v>Открыть позицию</x:v>
      </x:c>
    </x:row>
    <x:row r="45" ht="28" customHeight="1">
      <x:c r="A45" s="16" t="str">
        <x:v>Приморская ГРЭС</x:v>
      </x:c>
      <x:c r="B45" s="16" t="str">
        <x:v>2000248947-U117</x:v>
      </x:c>
      <x:c r="C45" s="16" t="str">
        <x:v>КОММУТАТОР 130-3734010-01</x:v>
      </x:c>
      <x:c r="D45" s="16" t="str">
        <x:v>Запасные части к автотранспортному оборудованию</x:v>
      </x:c>
      <x:c r="E45" s="16" t="str">
        <x:v>ШТ</x:v>
      </x:c>
      <x:c r="F45" s="21" t="n">
        <x:v>1</x:v>
      </x:c>
      <x:c r="G45" s="17" t="n">
        <x:v>526.125</x:v>
      </x:c>
      <x:c r="H45" s="17" t="n">
        <x:f>G45*F45</x:f>
        <x:v>526.125</x:v>
      </x:c>
      <x:c r="I45" s="22" t="str">
        <x:f>HYPERLINK("https://etp-aktiv.ru/catalog/materialy/zapasnye-chasti-k-avtotransportnomu-oborudovaniyu/2000248947-U117/","Открыть позицию")</x:f>
        <x:v>Открыть позицию</x:v>
      </x:c>
    </x:row>
    <x:row r="46" ht="28" customHeight="1">
      <x:c r="A46" s="16" t="str">
        <x:v>Приморская ГРЭС</x:v>
      </x:c>
      <x:c r="B46" s="16" t="str">
        <x:v>2000577689-U117</x:v>
      </x:c>
      <x:c r="C46" s="16" t="str">
        <x:v>КРЕСТОВИНА КАРДАННОГО ВАЛА 53-2201025-10</x:v>
      </x:c>
      <x:c r="D46" s="16" t="str">
        <x:v>Запасные части к автотранспортному оборудованию</x:v>
      </x:c>
      <x:c r="E46" s="16" t="str">
        <x:v>ШТ</x:v>
      </x:c>
      <x:c r="F46" s="21" t="n">
        <x:v>1</x:v>
      </x:c>
      <x:c r="G46" s="17" t="n">
        <x:v>436.8454</x:v>
      </x:c>
      <x:c r="H46" s="17" t="n">
        <x:f>G46*F46</x:f>
        <x:v>436.8454</x:v>
      </x:c>
      <x:c r="I46" s="22" t="str">
        <x:f>HYPERLINK("https://etp-aktiv.ru/catalog/materialy/zapasnye-chasti-k-avtotransportnomu-oborudovaniyu/2000577689-U117/","Открыть позицию")</x:f>
        <x:v>Открыть позицию</x:v>
      </x:c>
    </x:row>
    <x:row r="47" ht="28" customHeight="1">
      <x:c r="A47" s="16" t="str">
        <x:v>Приморская ГРЭС</x:v>
      </x:c>
      <x:c r="B47" s="16" t="str">
        <x:v>2000134590-U117</x:v>
      </x:c>
      <x:c r="C47" s="16" t="str">
        <x:v>КРЫШКА 2001-20-5</x:v>
      </x:c>
      <x:c r="D47" s="16" t="str">
        <x:v>Запасные части к карьерной технике Четра</x:v>
      </x:c>
      <x:c r="E47" s="16" t="str">
        <x:v>ШТ</x:v>
      </x:c>
      <x:c r="F47" s="21" t="n">
        <x:v>1</x:v>
      </x:c>
      <x:c r="G47" s="17" t="n">
        <x:v>6725.25</x:v>
      </x:c>
      <x:c r="H47" s="17" t="n">
        <x:f>G47*F47</x:f>
        <x:v>6725.25</x:v>
      </x:c>
      <x:c r="I47" s="22" t="str">
        <x:f>HYPERLINK("https://etp-aktiv.ru/catalog/materialy/zapasnye-chasti-k-dorozhno-stroitelnoj-tekhnike/2000134590-U117/","Открыть позицию")</x:f>
        <x:v>Открыть позицию</x:v>
      </x:c>
    </x:row>
    <x:row r="48" ht="28" customHeight="1">
      <x:c r="A48" s="16" t="str">
        <x:v>Приморская ГРЭС</x:v>
      </x:c>
      <x:c r="B48" s="16" t="str">
        <x:v>2000583937-U117</x:v>
      </x:c>
      <x:c r="C48" s="16" t="str">
        <x:v>ЛАМПА 4W 24V BA9S 94324</x:v>
      </x:c>
      <x:c r="D48" s="16" t="str">
        <x:v>Запасные части к автотранспортному оборудованию</x:v>
      </x:c>
      <x:c r="E48" s="16" t="str">
        <x:v>ШТ</x:v>
      </x:c>
      <x:c r="F48" s="21" t="n">
        <x:v>30</x:v>
      </x:c>
      <x:c r="G48" s="17" t="n">
        <x:v>34.318599999999996</x:v>
      </x:c>
      <x:c r="H48" s="17" t="n">
        <x:f>G48*F48</x:f>
        <x:v>1029.558</x:v>
      </x:c>
      <x:c r="I48" s="22" t="str">
        <x:f>HYPERLINK("https://etp-aktiv.ru/catalog/materialy/zapasnye-chasti-k-avtotransportnomu-oborudovaniyu/2000583937-U117/","Открыть позицию")</x:f>
        <x:v>Открыть позицию</x:v>
      </x:c>
    </x:row>
    <x:row r="49" ht="28" customHeight="1">
      <x:c r="A49" s="16" t="str">
        <x:v>Приморская ГРЭС</x:v>
      </x:c>
      <x:c r="B49" s="16" t="str">
        <x:v>2000506341-U117</x:v>
      </x:c>
      <x:c r="C49" s="16" t="str">
        <x:v>МАНЖЕТА 120*150*12 603147</x:v>
      </x:c>
      <x:c r="D49" s="16" t="str">
        <x:v>Запасные части к автотранспортному оборудованию</x:v>
      </x:c>
      <x:c r="E49" s="16" t="str">
        <x:v>ШТ</x:v>
      </x:c>
      <x:c r="F49" s="21" t="n">
        <x:v>3</x:v>
      </x:c>
      <x:c r="G49" s="17" t="n">
        <x:v>287.3832</x:v>
      </x:c>
      <x:c r="H49" s="17" t="n">
        <x:f>G49*F49</x:f>
        <x:v>862.1496</x:v>
      </x:c>
      <x:c r="I49" s="22" t="str">
        <x:f>HYPERLINK("https://etp-aktiv.ru/catalog/materialy/zapasnye-chasti-k-avtotransportnomu-oborudovaniyu/2000506341-U117/","Открыть позицию")</x:f>
        <x:v>Открыть позицию</x:v>
      </x:c>
    </x:row>
    <x:row r="50" ht="28" customHeight="1">
      <x:c r="A50" s="16" t="str">
        <x:v>Приморская ГРЭС</x:v>
      </x:c>
      <x:c r="B50" s="16" t="str">
        <x:v>2000716223-U117</x:v>
      </x:c>
      <x:c r="C50" s="16" t="str">
        <x:v>МАНЖЕТА 3501-11-33СП</x:v>
      </x:c>
      <x:c r="D50" s="16" t="str">
        <x:v>Запасные части к карьерной технике Четра</x:v>
      </x:c>
      <x:c r="E50" s="16" t="str">
        <x:v>ШТ</x:v>
      </x:c>
      <x:c r="F50" s="21" t="n">
        <x:v>4</x:v>
      </x:c>
      <x:c r="G50" s="17" t="n">
        <x:v>698.145</x:v>
      </x:c>
      <x:c r="H50" s="17" t="n">
        <x:f>G50*F50</x:f>
        <x:v>2792.58</x:v>
      </x:c>
      <x:c r="I50" s="22" t="str">
        <x:f>HYPERLINK("https://etp-aktiv.ru/catalog/materialy/zapasnye-chasti-k-dorozhno-stroitelnoj-tekhnike/2000716223-U117/","Открыть позицию")</x:f>
        <x:v>Открыть позицию</x:v>
      </x:c>
    </x:row>
    <x:row r="51" ht="28" customHeight="1">
      <x:c r="A51" s="16" t="str">
        <x:v>Приморская ГРЭС</x:v>
      </x:c>
      <x:c r="B51" s="16" t="str">
        <x:v>2000241001-U117</x:v>
      </x:c>
      <x:c r="C51" s="16" t="str">
        <x:v>МАНЖЕТА 840.1005034</x:v>
      </x:c>
      <x:c r="D51" s="16" t="str">
        <x:v>Запасные части к карьерной технике Четра</x:v>
      </x:c>
      <x:c r="E51" s="16" t="str">
        <x:v>ШТ</x:v>
      </x:c>
      <x:c r="F51" s="21" t="n">
        <x:v>1</x:v>
      </x:c>
      <x:c r="G51" s="17" t="n">
        <x:v>356.84999999999997</x:v>
      </x:c>
      <x:c r="H51" s="17" t="n">
        <x:f>G51*F51</x:f>
        <x:v>356.84999999999997</x:v>
      </x:c>
      <x:c r="I51" s="22" t="str">
        <x:f>HYPERLINK("https://etp-aktiv.ru/catalog/materialy/zapasnye-chasti-k-dorozhno-stroitelnoj-tekhnike/2000241001-U117/","Открыть позицию")</x:f>
        <x:v>Открыть позицию</x:v>
      </x:c>
    </x:row>
    <x:row r="52" ht="28" customHeight="1">
      <x:c r="A52" s="16" t="str">
        <x:v>Приморская ГРЭС</x:v>
      </x:c>
      <x:c r="B52" s="16" t="str">
        <x:v>2000562703-U117</x:v>
      </x:c>
      <x:c r="C52" s="16" t="str">
        <x:v>МЕХАНИЗМ 3741-1702010-11</x:v>
      </x:c>
      <x:c r="D52" s="16" t="str">
        <x:v>Запасные части к автотранспортному оборудованию</x:v>
      </x:c>
      <x:c r="E52" s="16" t="str">
        <x:v>ШТ</x:v>
      </x:c>
      <x:c r="F52" s="21" t="n">
        <x:v>1</x:v>
      </x:c>
      <x:c r="G52" s="17" t="n">
        <x:v>6039</x:v>
      </x:c>
      <x:c r="H52" s="17" t="n">
        <x:f>G52*F52</x:f>
        <x:v>6039</x:v>
      </x:c>
      <x:c r="I52" s="22" t="str">
        <x:f>HYPERLINK("https://etp-aktiv.ru/catalog/materialy/zapasnye-chasti-k-avtotransportnomu-oborudovaniyu/2000562703-U117/","Открыть позицию")</x:f>
        <x:v>Открыть позицию</x:v>
      </x:c>
    </x:row>
    <x:row r="53" ht="28" customHeight="1">
      <x:c r="A53" s="16" t="str">
        <x:v>Приморская ГРЭС</x:v>
      </x:c>
      <x:c r="B53" s="16" t="str">
        <x:v>2000333672-U117</x:v>
      </x:c>
      <x:c r="C53" s="16" t="str">
        <x:v>НАКЛАДКА 51-3502105-03</x:v>
      </x:c>
      <x:c r="D53" s="16" t="str">
        <x:v>Запасные части к автотранспортному оборудованию</x:v>
      </x:c>
      <x:c r="E53" s="16" t="str">
        <x:v>ШТ</x:v>
      </x:c>
      <x:c r="F53" s="21" t="n">
        <x:v>4</x:v>
      </x:c>
      <x:c r="G53" s="17" t="n">
        <x:v>196.42</x:v>
      </x:c>
      <x:c r="H53" s="17" t="n">
        <x:f>G53*F53</x:f>
        <x:v>785.68</x:v>
      </x:c>
      <x:c r="I53" s="22" t="str">
        <x:f>HYPERLINK("https://etp-aktiv.ru/catalog/materialy/zapasnye-chasti-k-avtotransportnomu-oborudovaniyu/2000333672-U117/","Открыть позицию")</x:f>
        <x:v>Открыть позицию</x:v>
      </x:c>
    </x:row>
    <x:row r="54" ht="28" customHeight="1">
      <x:c r="A54" s="16" t="str">
        <x:v>Приморская ГРЭС</x:v>
      </x:c>
      <x:c r="B54" s="16" t="str">
        <x:v>2000867680-U117</x:v>
      </x:c>
      <x:c r="C54" s="16" t="str">
        <x:v>НАКОНЕЧНИК РУЛЕВОЙ ТЯГИ ЛЕВ 3163-3414057</x:v>
      </x:c>
      <x:c r="D54" s="16" t="str">
        <x:v>Запасные части к автотранспортному оборудованию</x:v>
      </x:c>
      <x:c r="E54" s="16" t="str">
        <x:v>ШТ</x:v>
      </x:c>
      <x:c r="F54" s="21" t="n">
        <x:v>2</x:v>
      </x:c>
      <x:c r="G54" s="17" t="n">
        <x:v>590.0042</x:v>
      </x:c>
      <x:c r="H54" s="17" t="n">
        <x:f>G54*F54</x:f>
        <x:v>1180.0084</x:v>
      </x:c>
      <x:c r="I54" s="22" t="str">
        <x:f>HYPERLINK("https://etp-aktiv.ru/catalog/materialy/zapasnye-chasti-k-avtotransportnomu-oborudovaniyu/2000867680-U117/","Открыть позицию")</x:f>
        <x:v>Открыть позицию</x:v>
      </x:c>
    </x:row>
    <x:row r="55" ht="28" customHeight="1">
      <x:c r="A55" s="16" t="str">
        <x:v>Приморская ГРЭС</x:v>
      </x:c>
      <x:c r="B55" s="16" t="str">
        <x:v>2000280819-U117</x:v>
      </x:c>
      <x:c r="C55" s="16" t="str">
        <x:v>НИППЕЛЬ 7743242</x:v>
      </x:c>
      <x:c r="D55" s="16" t="str">
        <x:v>Запасные части к карьерной технике Liebherr</x:v>
      </x:c>
      <x:c r="E55" s="16" t="str">
        <x:v>ШТ</x:v>
      </x:c>
      <x:c r="F55" s="21" t="n">
        <x:v>33</x:v>
      </x:c>
      <x:c r="G55" s="17" t="n">
        <x:v>50.324999999999996</x:v>
      </x:c>
      <x:c r="H55" s="17" t="n">
        <x:f>G55*F55</x:f>
        <x:v>1660.725</x:v>
      </x:c>
      <x:c r="I55" s="22" t="str">
        <x:f>HYPERLINK("https://etp-aktiv.ru/catalog/materialy/zapasnye-chasti-k-dorozhno-stroitelnoj-tekhnike/2000280819-U117/","Открыть позицию")</x:f>
        <x:v>Открыть позицию</x:v>
      </x:c>
    </x:row>
    <x:row r="56" ht="28" customHeight="1">
      <x:c r="A56" s="16" t="str">
        <x:v>Приморская ГРЭС</x:v>
      </x:c>
      <x:c r="B56" s="16" t="str">
        <x:v>2000032687-U117</x:v>
      </x:c>
      <x:c r="C56" s="16" t="str">
        <x:v>ОТВЕРТКА КРЕСТОВАЯ АВТОМОБИЛЬНАЯ 310 N4</x:v>
      </x:c>
      <x:c r="D56" s="16" t="str">
        <x:v>Инструмент и спецоснастка</x:v>
      </x:c>
      <x:c r="E56" s="16" t="str">
        <x:v>ШТ</x:v>
      </x:c>
      <x:c r="F56" s="21" t="n">
        <x:v>2</x:v>
      </x:c>
      <x:c r="G56" s="17" t="n">
        <x:v>135.8836</x:v>
      </x:c>
      <x:c r="H56" s="17" t="n">
        <x:f>G56*F56</x:f>
        <x:v>271.7672</x:v>
      </x:c>
      <x:c r="I56" s="22" t="str">
        <x:f>HYPERLINK("https://etp-aktiv.ru/catalog/materialy/instrument-i-specosnastka/2000032687-U117/","Открыть позицию")</x:f>
        <x:v>Открыть позицию</x:v>
      </x:c>
    </x:row>
    <x:row r="57" ht="28" customHeight="1">
      <x:c r="A57" s="16" t="str">
        <x:v>Приморская ГРЭС</x:v>
      </x:c>
      <x:c r="B57" s="16" t="str">
        <x:v>2000586212-U117</x:v>
      </x:c>
      <x:c r="C57" s="16" t="str">
        <x:v>ПАЛЕЦ УШКА РЕССОРЫ ПЕРЕДНЕЙ 130-2902478</x:v>
      </x:c>
      <x:c r="D57" s="16" t="str">
        <x:v>Запасные части к автотранспортному оборудованию</x:v>
      </x:c>
      <x:c r="E57" s="16" t="str">
        <x:v>ШТ</x:v>
      </x:c>
      <x:c r="F57" s="21" t="n">
        <x:v>10</x:v>
      </x:c>
      <x:c r="G57" s="17" t="n">
        <x:v>6.3928</x:v>
      </x:c>
      <x:c r="H57" s="17" t="n">
        <x:f>G57*F57</x:f>
        <x:v>63.928000000000004</x:v>
      </x:c>
      <x:c r="I57" s="22" t="str">
        <x:f>HYPERLINK("https://etp-aktiv.ru/catalog/materialy/zapasnye-chasti-k-avtotransportnomu-oborudovaniyu/2000586212-U117/","Открыть позицию")</x:f>
        <x:v>Открыть позицию</x:v>
      </x:c>
    </x:row>
    <x:row r="58" ht="28" customHeight="1">
      <x:c r="A58" s="16" t="str">
        <x:v>Приморская ГРЭС</x:v>
      </x:c>
      <x:c r="B58" s="16" t="str">
        <x:v>2000449252-U117</x:v>
      </x:c>
      <x:c r="C58" s="16" t="str">
        <x:v>ПЕРЕКЛЮЧАТЕЛЬ 1102.3769000-02</x:v>
      </x:c>
      <x:c r="D58" s="16" t="str">
        <x:v>Запасные части к автотранспортному оборудованию</x:v>
      </x:c>
      <x:c r="E58" s="16" t="str">
        <x:v>ШТ</x:v>
      </x:c>
      <x:c r="F58" s="21" t="n">
        <x:v>1</x:v>
      </x:c>
      <x:c r="G58" s="17" t="n">
        <x:v>549</x:v>
      </x:c>
      <x:c r="H58" s="17" t="n">
        <x:f>G58*F58</x:f>
        <x:v>549</x:v>
      </x:c>
      <x:c r="I58" s="22" t="str">
        <x:f>HYPERLINK("https://etp-aktiv.ru/catalog/materialy/zapasnye-chasti-k-avtotransportnomu-oborudovaniyu/2000449252-U117/","Открыть позицию")</x:f>
        <x:v>Открыть позицию</x:v>
      </x:c>
    </x:row>
    <x:row r="59" ht="28" customHeight="1">
      <x:c r="A59" s="16" t="str">
        <x:v>Приморская ГРЭС</x:v>
      </x:c>
      <x:c r="B59" s="16" t="str">
        <x:v>2000716225-U117</x:v>
      </x:c>
      <x:c r="C59" s="16" t="str">
        <x:v>ПОДУШКА В СБОРЕ Т29-1001040</x:v>
      </x:c>
      <x:c r="D59" s="16" t="str">
        <x:v>Запасные части к карьерной технике Четра</x:v>
      </x:c>
      <x:c r="E59" s="16" t="str">
        <x:v>ШТ</x:v>
      </x:c>
      <x:c r="F59" s="21" t="n">
        <x:v>5</x:v>
      </x:c>
      <x:c r="G59" s="17" t="n">
        <x:v>91.90259999999999</x:v>
      </x:c>
      <x:c r="H59" s="17" t="n">
        <x:f>G59*F59</x:f>
        <x:v>459.513</x:v>
      </x:c>
      <x:c r="I59" s="22" t="str">
        <x:f>HYPERLINK("https://etp-aktiv.ru/catalog/materialy/zapasnye-chasti-k-dorozhno-stroitelnoj-tekhnike/2000716225-U117/","Открыть позицию")</x:f>
        <x:v>Открыть позицию</x:v>
      </x:c>
    </x:row>
    <x:row r="60" ht="28" customHeight="1">
      <x:c r="A60" s="16" t="str">
        <x:v>Приморская ГРЭС</x:v>
      </x:c>
      <x:c r="B60" s="16" t="str">
        <x:v>2000590747-U117</x:v>
      </x:c>
      <x:c r="C60" s="16" t="str">
        <x:v>ПРЕДОХРАНИТЕЛЬ 356.3722 30А</x:v>
      </x:c>
      <x:c r="D60" s="16" t="str">
        <x:v>Запасные части к автотранспортному оборудованию</x:v>
      </x:c>
      <x:c r="E60" s="16" t="str">
        <x:v>ШТ</x:v>
      </x:c>
      <x:c r="F60" s="21" t="n">
        <x:v>3</x:v>
      </x:c>
      <x:c r="G60" s="17" t="n">
        <x:v>40.674800000000005</x:v>
      </x:c>
      <x:c r="H60" s="17" t="n">
        <x:f>G60*F60</x:f>
        <x:v>122.02440000000001</x:v>
      </x:c>
      <x:c r="I60" s="22" t="str">
        <x:f>HYPERLINK("https://etp-aktiv.ru/catalog/materialy/zapasnye-chasti-k-avtotransportnomu-oborudovaniyu/2000590747-U117/","Открыть позицию")</x:f>
        <x:v>Открыть позицию</x:v>
      </x:c>
    </x:row>
    <x:row r="61" ht="28" customHeight="1">
      <x:c r="A61" s="16" t="str">
        <x:v>Приморская ГРЭС</x:v>
      </x:c>
      <x:c r="B61" s="16" t="str">
        <x:v>2000000721-U117</x:v>
      </x:c>
      <x:c r="C61" s="16" t="str">
        <x:v>ПРОКЛАДКА 130-1008080</x:v>
      </x:c>
      <x:c r="D61" s="16" t="str">
        <x:v>Запасные части к автотранспортному оборудованию</x:v>
      </x:c>
      <x:c r="E61" s="16" t="str">
        <x:v>ШТ</x:v>
      </x:c>
      <x:c r="F61" s="21" t="n">
        <x:v>3</x:v>
      </x:c>
      <x:c r="G61" s="17" t="n">
        <x:v>55.9004</x:v>
      </x:c>
      <x:c r="H61" s="17" t="n">
        <x:f>G61*F61</x:f>
        <x:v>167.7012</x:v>
      </x:c>
      <x:c r="I61" s="22" t="str">
        <x:f>HYPERLINK("https://etp-aktiv.ru/catalog/materialy/zapasnye-chasti-k-avtotransportnomu-oborudovaniyu/2000000721-U117/","Открыть позицию")</x:f>
        <x:v>Открыть позицию</x:v>
      </x:c>
    </x:row>
    <x:row r="62" ht="28" customHeight="1">
      <x:c r="A62" s="16" t="str">
        <x:v>Приморская ГРЭС</x:v>
      </x:c>
      <x:c r="B62" s="16" t="str">
        <x:v>2000738535-U117</x:v>
      </x:c>
      <x:c r="C62" s="16" t="str">
        <x:v>ПРОКЛАДКА 740.1003213-25</x:v>
      </x:c>
      <x:c r="D62" s="16" t="str">
        <x:v>Запасные части к автотранспортному оборудованию</x:v>
      </x:c>
      <x:c r="E62" s="16" t="str">
        <x:v>ШТ</x:v>
      </x:c>
      <x:c r="F62" s="21" t="n">
        <x:v>1</x:v>
      </x:c>
      <x:c r="G62" s="17" t="n">
        <x:v>64.05</x:v>
      </x:c>
      <x:c r="H62" s="17" t="n">
        <x:f>G62*F62</x:f>
        <x:v>64.05</x:v>
      </x:c>
      <x:c r="I62" s="22" t="str">
        <x:f>HYPERLINK("https://etp-aktiv.ru/catalog/materialy/zapasnye-chasti-k-avtotransportnomu-oborudovaniyu/2000738535-U117/","Открыть позицию")</x:f>
        <x:v>Открыть позицию</x:v>
      </x:c>
    </x:row>
    <x:row r="63" ht="28" customHeight="1">
      <x:c r="A63" s="16" t="str">
        <x:v>Приморская ГРЭС</x:v>
      </x:c>
      <x:c r="B63" s="16" t="str">
        <x:v>2000005278-U117</x:v>
      </x:c>
      <x:c r="C63" s="16" t="str">
        <x:v>ПРОКЛАДКА 840-1003213</x:v>
      </x:c>
      <x:c r="D63" s="16" t="str">
        <x:v>Запасные части к автотранспортному оборудованию</x:v>
      </x:c>
      <x:c r="E63" s="16" t="str">
        <x:v>ШТ</x:v>
      </x:c>
      <x:c r="F63" s="21" t="n">
        <x:v>6</x:v>
      </x:c>
      <x:c r="G63" s="17" t="n">
        <x:v>322.1776</x:v>
      </x:c>
      <x:c r="H63" s="17" t="n">
        <x:f>G63*F63</x:f>
        <x:v>1933.0656</x:v>
      </x:c>
      <x:c r="I63" s="22" t="str">
        <x:f>HYPERLINK("https://etp-aktiv.ru/catalog/materialy/zapasnye-chasti-k-avtotransportnomu-oborudovaniyu/2000005278-U117/","Открыть позицию")</x:f>
        <x:v>Открыть позицию</x:v>
      </x:c>
    </x:row>
    <x:row r="64" ht="28" customHeight="1">
      <x:c r="A64" s="16" t="str">
        <x:v>Приморская ГРЭС</x:v>
      </x:c>
      <x:c r="B64" s="16" t="str">
        <x:v>2000148299-U117</x:v>
      </x:c>
      <x:c r="C64" s="16" t="str">
        <x:v>ПРОКЛАДКА ГБЦ 417-1003020-01</x:v>
      </x:c>
      <x:c r="D64" s="16" t="str">
        <x:v>Запасные части к драглайнам</x:v>
      </x:c>
      <x:c r="E64" s="16" t="str">
        <x:v>ШТ</x:v>
      </x:c>
      <x:c r="F64" s="21" t="n">
        <x:v>1</x:v>
      </x:c>
      <x:c r="G64" s="17" t="n">
        <x:v>393.21819999999997</x:v>
      </x:c>
      <x:c r="H64" s="17" t="n">
        <x:f>G64*F64</x:f>
        <x:v>393.21819999999997</x:v>
      </x:c>
      <x:c r="I64" s="22" t="str">
        <x:f>HYPERLINK("https://etp-aktiv.ru/catalog/materialy/zapasnye-chasti-k-dorozhno-stroitelnoj-tekhnike/2000148299-U117/","Открыть позицию")</x:f>
        <x:v>Открыть позицию</x:v>
      </x:c>
    </x:row>
    <x:row r="65" ht="28" customHeight="1">
      <x:c r="A65" s="16" t="str">
        <x:v>Приморская ГРЭС</x:v>
      </x:c>
      <x:c r="B65" s="16" t="str">
        <x:v>2000267237-U117</x:v>
      </x:c>
      <x:c r="C65" s="16" t="str">
        <x:v>ПРОКЛАДКА КРЫШКИ КЛАПАНОВ 21-1007245-Б1</x:v>
      </x:c>
      <x:c r="D65" s="16" t="str">
        <x:v>Запасные части к автотранспортному оборудованию</x:v>
      </x:c>
      <x:c r="E65" s="16" t="str">
        <x:v>ШТ</x:v>
      </x:c>
      <x:c r="F65" s="21" t="n">
        <x:v>2</x:v>
      </x:c>
      <x:c r="G65" s="17" t="n">
        <x:v>14.542399999999999</x:v>
      </x:c>
      <x:c r="H65" s="17" t="n">
        <x:f>G65*F65</x:f>
        <x:v>29.084799999999998</x:v>
      </x:c>
      <x:c r="I65" s="22" t="str">
        <x:f>HYPERLINK("https://etp-aktiv.ru/catalog/materialy/zapasnye-chasti-k-avtotransportnomu-oborudovaniyu/2000267237-U117/","Открыть позицию")</x:f>
        <x:v>Открыть позицию</x:v>
      </x:c>
    </x:row>
    <x:row r="66" ht="28" customHeight="1">
      <x:c r="A66" s="16" t="str">
        <x:v>Приморская ГРЭС</x:v>
      </x:c>
      <x:c r="B66" s="16" t="str">
        <x:v>2000485714-U117</x:v>
      </x:c>
      <x:c r="C66" s="16" t="str">
        <x:v>ПЫЛЬНИК ПОВОРОТНОГО КУЛАКА 3160-2304059</x:v>
      </x:c>
      <x:c r="D66" s="16" t="str">
        <x:v>Запасные части к автотранспортному оборудованию</x:v>
      </x:c>
      <x:c r="E66" s="16" t="str">
        <x:v>ШТ</x:v>
      </x:c>
      <x:c r="F66" s="21" t="n">
        <x:v>1</x:v>
      </x:c>
      <x:c r="G66" s="17" t="n">
        <x:v>706.8435999999999</x:v>
      </x:c>
      <x:c r="H66" s="17" t="n">
        <x:f>G66*F66</x:f>
        <x:v>706.8435999999999</x:v>
      </x:c>
      <x:c r="I66" s="22" t="str">
        <x:f>HYPERLINK("https://etp-aktiv.ru/catalog/materialy/zapasnye-chasti-k-avtotransportnomu-oborudovaniyu/2000485714-U117/","Открыть позицию")</x:f>
        <x:v>Открыть позицию</x:v>
      </x:c>
    </x:row>
    <x:row r="67" ht="28" customHeight="1">
      <x:c r="A67" s="16" t="str">
        <x:v>Приморская ГРЭС</x:v>
      </x:c>
      <x:c r="B67" s="16" t="str">
        <x:v>2000290152-U117</x:v>
      </x:c>
      <x:c r="C67" s="16" t="str">
        <x:v>РЕЛЕ СЭ-107 130-3705050</x:v>
      </x:c>
      <x:c r="D67" s="16" t="str">
        <x:v>Запасные части к автотранспортному оборудованию</x:v>
      </x:c>
      <x:c r="E67" s="16" t="str">
        <x:v>ШТ</x:v>
      </x:c>
      <x:c r="F67" s="21" t="n">
        <x:v>4</x:v>
      </x:c>
      <x:c r="G67" s="17" t="n">
        <x:v>366</x:v>
      </x:c>
      <x:c r="H67" s="17" t="n">
        <x:f>G67*F67</x:f>
        <x:v>1464</x:v>
      </x:c>
      <x:c r="I67" s="22" t="str">
        <x:f>HYPERLINK("https://etp-aktiv.ru/catalog/materialy/zapasnye-chasti-k-avtotransportnomu-oborudovaniyu/2000290152-U117/","Открыть позицию")</x:f>
        <x:v>Открыть позицию</x:v>
      </x:c>
    </x:row>
    <x:row r="68" ht="28" customHeight="1">
      <x:c r="A68" s="16" t="str">
        <x:v>Приморская ГРЭС</x:v>
      </x:c>
      <x:c r="B68" s="16" t="str">
        <x:v>2000528919-U117</x:v>
      </x:c>
      <x:c r="C68" s="16" t="str">
        <x:v>РЕЛЕ-РЕГУЛЯТОР 131-3702010-11</x:v>
      </x:c>
      <x:c r="D68" s="16" t="str">
        <x:v>Запасные части к автотранспортному оборудованию</x:v>
      </x:c>
      <x:c r="E68" s="16" t="str">
        <x:v>ШТ</x:v>
      </x:c>
      <x:c r="F68" s="21" t="n">
        <x:v>1</x:v>
      </x:c>
      <x:c r="G68" s="17" t="n">
        <x:v>558.15</x:v>
      </x:c>
      <x:c r="H68" s="17" t="n">
        <x:f>G68*F68</x:f>
        <x:v>558.15</x:v>
      </x:c>
      <x:c r="I68" s="22" t="str">
        <x:f>HYPERLINK("https://etp-aktiv.ru/catalog/materialy/zapasnye-chasti-k-avtotransportnomu-oborudovaniyu/2000528919-U117/","Открыть позицию")</x:f>
        <x:v>Открыть позицию</x:v>
      </x:c>
    </x:row>
    <x:row r="69" ht="28" customHeight="1">
      <x:c r="A69" s="16" t="str">
        <x:v>Приморская ГРЭС</x:v>
      </x:c>
      <x:c r="B69" s="16" t="str">
        <x:v>2000595753-U117</x:v>
      </x:c>
      <x:c r="C69" s="16" t="str">
        <x:v>РЕМЕНЬ 6РК2120 TKU-1308020-77</x:v>
      </x:c>
      <x:c r="D69" s="16" t="str">
        <x:v>Запасные части к автотранспортному оборудованию</x:v>
      </x:c>
      <x:c r="E69" s="16" t="str">
        <x:v>ШТ</x:v>
      </x:c>
      <x:c r="F69" s="21" t="n">
        <x:v>1</x:v>
      </x:c>
      <x:c r="G69" s="17" t="n">
        <x:v>336.2686</x:v>
      </x:c>
      <x:c r="H69" s="17" t="n">
        <x:f>G69*F69</x:f>
        <x:v>336.2686</x:v>
      </x:c>
      <x:c r="I69" s="22" t="str">
        <x:f>HYPERLINK("https://etp-aktiv.ru/catalog/materialy/zapasnye-chasti-k-avtotransportnomu-oborudovaniyu/2000595753-U117/","Открыть позицию")</x:f>
        <x:v>Открыть позицию</x:v>
      </x:c>
    </x:row>
    <x:row r="70" ht="28" customHeight="1">
      <x:c r="A70" s="16" t="str">
        <x:v>Приморская ГРЭС</x:v>
      </x:c>
      <x:c r="B70" s="16" t="str">
        <x:v>2000128631-U117</x:v>
      </x:c>
      <x:c r="C70" s="16" t="str">
        <x:v>РУКАВ 46-1701-01</x:v>
      </x:c>
      <x:c r="D70" s="16" t="str">
        <x:v>Запасные части к карьерной технике Четра</x:v>
      </x:c>
      <x:c r="E70" s="16" t="str">
        <x:v>ШТ</x:v>
      </x:c>
      <x:c r="F70" s="21" t="n">
        <x:v>10</x:v>
      </x:c>
      <x:c r="G70" s="17" t="n">
        <x:v>116.50999999999999</x:v>
      </x:c>
      <x:c r="H70" s="17" t="n">
        <x:f>G70*F70</x:f>
        <x:v>1165.1</x:v>
      </x:c>
      <x:c r="I70" s="22" t="str">
        <x:f>HYPERLINK("https://etp-aktiv.ru/catalog/materialy/zapasnye-chasti-k-dorozhno-stroitelnoj-tekhnike/2000128631-U117/","Открыть позицию")</x:f>
        <x:v>Открыть позицию</x:v>
      </x:c>
    </x:row>
    <x:row r="71" ht="28" customHeight="1">
      <x:c r="A71" s="16" t="str">
        <x:v>Приморская ГРЭС</x:v>
      </x:c>
      <x:c r="B71" s="16" t="str">
        <x:v>2000488466-U117</x:v>
      </x:c>
      <x:c r="C71" s="16" t="str">
        <x:v>САЙЛЕНТБЛОК 3160-2909020-01</x:v>
      </x:c>
      <x:c r="D71" s="16" t="str">
        <x:v>Запасные части к автотранспортному оборудованию</x:v>
      </x:c>
      <x:c r="E71" s="16" t="str">
        <x:v>ШТ</x:v>
      </x:c>
      <x:c r="F71" s="21" t="n">
        <x:v>4</x:v>
      </x:c>
      <x:c r="G71" s="17" t="n">
        <x:v>238.815</x:v>
      </x:c>
      <x:c r="H71" s="17" t="n">
        <x:f>G71*F71</x:f>
        <x:v>955.26</x:v>
      </x:c>
      <x:c r="I71" s="22" t="str">
        <x:f>HYPERLINK("https://etp-aktiv.ru/catalog/materialy/zapasnye-chasti-k-avtotransportnomu-oborudovaniyu/2000488466-U117/","Открыть позицию")</x:f>
        <x:v>Открыть позицию</x:v>
      </x:c>
    </x:row>
    <x:row r="72" ht="28" customHeight="1">
      <x:c r="A72" s="16" t="str">
        <x:v>Приморская ГРЭС</x:v>
      </x:c>
      <x:c r="B72" s="16" t="str">
        <x:v>2000188532-U117</x:v>
      </x:c>
      <x:c r="C72" s="16" t="str">
        <x:v>САЙЛЕНТБЛОК 3160-2909027</x:v>
      </x:c>
      <x:c r="D72" s="16" t="str">
        <x:v>Запасные части к автотранспортному оборудованию</x:v>
      </x:c>
      <x:c r="E72" s="16" t="str">
        <x:v>ШТ</x:v>
      </x:c>
      <x:c r="F72" s="21" t="n">
        <x:v>4</x:v>
      </x:c>
      <x:c r="G72" s="17" t="n">
        <x:v>245.525</x:v>
      </x:c>
      <x:c r="H72" s="17" t="n">
        <x:f>G72*F72</x:f>
        <x:v>982.1</x:v>
      </x:c>
      <x:c r="I72" s="22" t="str">
        <x:f>HYPERLINK("https://etp-aktiv.ru/catalog/materialy/zapasnye-chasti-k-avtotransportnomu-oborudovaniyu/2000188532-U117/","Открыть позицию")</x:f>
        <x:v>Открыть позицию</x:v>
      </x:c>
    </x:row>
    <x:row r="73" ht="28" customHeight="1">
      <x:c r="A73" s="16" t="str">
        <x:v>Приморская ГРЭС</x:v>
      </x:c>
      <x:c r="B73" s="16" t="str">
        <x:v>2000131723-U117</x:v>
      </x:c>
      <x:c r="C73" s="16" t="str">
        <x:v>САЙЛЕНТБЛОК РЫЧАГА 3110-2904152</x:v>
      </x:c>
      <x:c r="D73" s="16" t="str">
        <x:v>Запасные части к автотранспортному оборудованию</x:v>
      </x:c>
      <x:c r="E73" s="16" t="str">
        <x:v>ШТ</x:v>
      </x:c>
      <x:c r="F73" s="21" t="n">
        <x:v>4</x:v>
      </x:c>
      <x:c r="G73" s="17" t="n">
        <x:v>164.7</x:v>
      </x:c>
      <x:c r="H73" s="17" t="n">
        <x:f>G73*F73</x:f>
        <x:v>658.8</x:v>
      </x:c>
      <x:c r="I73" s="22" t="str">
        <x:f>HYPERLINK("https://etp-aktiv.ru/catalog/materialy/zapasnye-chasti-k-avtotransportnomu-oborudovaniyu/2000131723-U117/","Открыть позицию")</x:f>
        <x:v>Открыть позицию</x:v>
      </x:c>
    </x:row>
    <x:row r="74" ht="28" customHeight="1">
      <x:c r="A74" s="16" t="str">
        <x:v>Приморская ГРЭС</x:v>
      </x:c>
      <x:c r="B74" s="16" t="str">
        <x:v>2000583581-U117</x:v>
      </x:c>
      <x:c r="C74" s="16" t="str">
        <x:v>САЛЬНИК ЗАДНЕЙ СТУПИЦЫ 53А-3103038</x:v>
      </x:c>
      <x:c r="D74" s="16" t="str">
        <x:v>Запасные части к автотранспортному оборудованию</x:v>
      </x:c>
      <x:c r="E74" s="16" t="str">
        <x:v>ШТ</x:v>
      </x:c>
      <x:c r="F74" s="21" t="n">
        <x:v>1</x:v>
      </x:c>
      <x:c r="G74" s="17" t="n">
        <x:v>70.7722</x:v>
      </x:c>
      <x:c r="H74" s="17" t="n">
        <x:f>G74*F74</x:f>
        <x:v>70.7722</x:v>
      </x:c>
      <x:c r="I74" s="22" t="str">
        <x:f>HYPERLINK("https://etp-aktiv.ru/catalog/materialy/zapasnye-chasti-k-avtotransportnomu-oborudovaniyu/2000583581-U117/","Открыть позицию")</x:f>
        <x:v>Открыть позицию</x:v>
      </x:c>
    </x:row>
    <x:row r="75" ht="28" customHeight="1">
      <x:c r="A75" s="16" t="str">
        <x:v>Приморская ГРЭС</x:v>
      </x:c>
      <x:c r="B75" s="16" t="str">
        <x:v>2000462320-U117</x:v>
      </x:c>
      <x:c r="C75" s="16" t="str">
        <x:v>ТОРМОЗ СТОЯНОЧНЫЙ 4320-3507000</x:v>
      </x:c>
      <x:c r="D75" s="16" t="str">
        <x:v>Запасные части к автотранспортному оборудованию</x:v>
      </x:c>
      <x:c r="E75" s="16" t="str">
        <x:v>ШТ</x:v>
      </x:c>
      <x:c r="F75" s="21" t="n">
        <x:v>1</x:v>
      </x:c>
      <x:c r="G75" s="17" t="n">
        <x:v>3949.9939999999997</x:v>
      </x:c>
      <x:c r="H75" s="17" t="n">
        <x:f>G75*F75</x:f>
        <x:v>3949.9939999999997</x:v>
      </x:c>
      <x:c r="I75" s="22" t="str">
        <x:f>HYPERLINK("https://etp-aktiv.ru/catalog/materialy/zapasnye-chasti-k-avtotransportnomu-oborudovaniyu/2000462320-U117/","Открыть позицию")</x:f>
        <x:v>Открыть позицию</x:v>
      </x:c>
    </x:row>
    <x:row r="76" ht="28" customHeight="1">
      <x:c r="A76" s="16" t="str">
        <x:v>Приморская ГРЭС</x:v>
      </x:c>
      <x:c r="B76" s="16" t="str">
        <x:v>2000008563-U117</x:v>
      </x:c>
      <x:c r="C76" s="16" t="str">
        <x:v>ТРАМБЛЕР 24.3706</x:v>
      </x:c>
      <x:c r="D76" s="16" t="str">
        <x:v>Запасные части к автотранспортному оборудованию</x:v>
      </x:c>
      <x:c r="E76" s="16" t="str">
        <x:v>ШТ</x:v>
      </x:c>
      <x:c r="F76" s="21" t="n">
        <x:v>1</x:v>
      </x:c>
      <x:c r="G76" s="17" t="n">
        <x:v>1738.5</x:v>
      </x:c>
      <x:c r="H76" s="17" t="n">
        <x:f>G76*F76</x:f>
        <x:v>1738.5</x:v>
      </x:c>
      <x:c r="I76" s="22" t="str">
        <x:f>HYPERLINK("https://etp-aktiv.ru/catalog/materialy/zapasnye-chasti-k-avtotransportnomu-oborudovaniyu/2000008563-U117/","Открыть позицию")</x:f>
        <x:v>Открыть позицию</x:v>
      </x:c>
    </x:row>
    <x:row r="77" ht="28" customHeight="1">
      <x:c r="A77" s="16" t="str">
        <x:v>Приморская ГРЭС</x:v>
      </x:c>
      <x:c r="B77" s="16" t="str">
        <x:v>2000728365-U117</x:v>
      </x:c>
      <x:c r="C77" s="16" t="str">
        <x:v>ТРОС ПРИВОДА РУЧНИКА 3151-95-3508068-11</x:v>
      </x:c>
      <x:c r="D77" s="16" t="str">
        <x:v>Запасные части к автотранспортному оборудованию</x:v>
      </x:c>
      <x:c r="E77" s="16" t="str">
        <x:v>ШТ</x:v>
      </x:c>
      <x:c r="F77" s="21" t="n">
        <x:v>1</x:v>
      </x:c>
      <x:c r="G77" s="17" t="n">
        <x:v>329.4</x:v>
      </x:c>
      <x:c r="H77" s="17" t="n">
        <x:f>G77*F77</x:f>
        <x:v>329.4</x:v>
      </x:c>
      <x:c r="I77" s="22" t="str">
        <x:f>HYPERLINK("https://etp-aktiv.ru/catalog/materialy/zapasnye-chasti-k-avtotransportnomu-oborudovaniyu/2000728365-U117/","Открыть позицию")</x:f>
        <x:v>Открыть позицию</x:v>
      </x:c>
    </x:row>
    <x:row r="78" ht="28" customHeight="1">
      <x:c r="A78" s="16" t="str">
        <x:v>Приморская ГРЭС</x:v>
      </x:c>
      <x:c r="B78" s="16" t="str">
        <x:v>2000001506-U117</x:v>
      </x:c>
      <x:c r="C78" s="16" t="str">
        <x:v>ТУМБЛЕР ТВ-1-2</x:v>
      </x:c>
      <x:c r="D78" s="16" t="str">
        <x:v>Запасные части к карьерной технике БЕЛАЗ</x:v>
      </x:c>
      <x:c r="E78" s="16" t="str">
        <x:v>ШТ</x:v>
      </x:c>
      <x:c r="F78" s="21" t="n">
        <x:v>2</x:v>
      </x:c>
      <x:c r="G78" s="17" t="n">
        <x:v>2087.3468</x:v>
      </x:c>
      <x:c r="H78" s="17" t="n">
        <x:f>G78*F78</x:f>
        <x:v>4174.6936</x:v>
      </x:c>
      <x:c r="I78" s="22" t="str">
        <x:f>HYPERLINK("https://etp-aktiv.ru/catalog/materialy/zapasnye-chasti-k-gorno-shahtnomu-oborudovaniyu/2000001506-U117/","Открыть позицию")</x:f>
        <x:v>Открыть позицию</x:v>
      </x:c>
    </x:row>
    <x:row r="79" ht="28" customHeight="1">
      <x:c r="A79" s="16" t="str">
        <x:v>Приморская ГРЭС</x:v>
      </x:c>
      <x:c r="B79" s="16" t="str">
        <x:v>2000563247-U117</x:v>
      </x:c>
      <x:c r="C79" s="16" t="str">
        <x:v>УПЛОТНЕНИЕ 6F-6673 САТ</x:v>
      </x:c>
      <x:c r="D79" s="16" t="str">
        <x:v>Запасные части к карьерной технике Caterpillar</x:v>
      </x:c>
      <x:c r="E79" s="16" t="str">
        <x:v>ШТ</x:v>
      </x:c>
      <x:c r="F79" s="21" t="n">
        <x:v>4</x:v>
      </x:c>
      <x:c r="G79" s="17" t="n">
        <x:v>137.25</x:v>
      </x:c>
      <x:c r="H79" s="17" t="n">
        <x:f>G79*F79</x:f>
        <x:v>549</x:v>
      </x:c>
      <x:c r="I79" s="22" t="str">
        <x:f>HYPERLINK("https://etp-aktiv.ru/catalog/materialy/zapasnye-chasti-k-dorozhno-stroitelnoj-tekhnike/2000563247-U117/","Открыть позицию")</x:f>
        <x:v>Открыть позицию</x:v>
      </x:c>
    </x:row>
    <x:row r="80" ht="28" customHeight="1">
      <x:c r="A80" s="16" t="str">
        <x:v>Приморская ГРЭС</x:v>
      </x:c>
      <x:c r="B80" s="16" t="str">
        <x:v>2000528842-U117</x:v>
      </x:c>
      <x:c r="C80" s="16" t="str">
        <x:v>УСИЛИТЕЛЬ ВАКУУМНЫЙ 3741-3510010</x:v>
      </x:c>
      <x:c r="D80" s="16" t="str">
        <x:v>Запасные части к автотранспортному оборудованию</x:v>
      </x:c>
      <x:c r="E80" s="16" t="str">
        <x:v>ШТ</x:v>
      </x:c>
      <x:c r="F80" s="21" t="n">
        <x:v>1</x:v>
      </x:c>
      <x:c r="G80" s="17" t="n">
        <x:v>3736.25</x:v>
      </x:c>
      <x:c r="H80" s="17" t="n">
        <x:f>G80*F80</x:f>
        <x:v>3736.25</x:v>
      </x:c>
      <x:c r="I80" s="22" t="str">
        <x:f>HYPERLINK("https://etp-aktiv.ru/catalog/materialy/zapasnye-chasti-k-avtotransportnomu-oborudovaniyu/2000528842-U117/","Открыть позицию")</x:f>
        <x:v>Открыть позицию</x:v>
      </x:c>
    </x:row>
    <x:row r="81" ht="28" customHeight="1">
      <x:c r="A81" s="16" t="str">
        <x:v>Приморская ГРЭС</x:v>
      </x:c>
      <x:c r="B81" s="16" t="str">
        <x:v>2000129641-U117</x:v>
      </x:c>
      <x:c r="C81" s="16" t="str">
        <x:v>ФАРА 342.3711</x:v>
      </x:c>
      <x:c r="D81" s="16" t="str">
        <x:v>Запасные части к автотранспортному оборудованию</x:v>
      </x:c>
      <x:c r="E81" s="16" t="str">
        <x:v>ШТ</x:v>
      </x:c>
      <x:c r="F81" s="21" t="n">
        <x:v>2</x:v>
      </x:c>
      <x:c r="G81" s="17" t="n">
        <x:v>823.5</x:v>
      </x:c>
      <x:c r="H81" s="17" t="n">
        <x:f>G81*F81</x:f>
        <x:v>1647</x:v>
      </x:c>
      <x:c r="I81" s="22" t="str">
        <x:f>HYPERLINK("https://etp-aktiv.ru/catalog/materialy/zapasnye-chasti-k-avtotransportnomu-oborudovaniyu/2000129641-U117/","Открыть позицию")</x:f>
        <x:v>Открыть позицию</x:v>
      </x:c>
    </x:row>
    <x:row r="82" ht="28" customHeight="1">
      <x:c r="A82" s="16" t="str">
        <x:v>Приморская ГРЭС</x:v>
      </x:c>
      <x:c r="B82" s="16" t="str">
        <x:v>2000720528-U117</x:v>
      </x:c>
      <x:c r="C82" s="16" t="str">
        <x:v>ФАРА ПРОТИВОТУМАННАЯ 1GA007506-001</x:v>
      </x:c>
      <x:c r="D82" s="16" t="str">
        <x:v>Запасные части к автотранспортному оборудованию</x:v>
      </x:c>
      <x:c r="E82" s="16" t="str">
        <x:v>ШТ</x:v>
      </x:c>
      <x:c r="F82" s="21" t="n">
        <x:v>4</x:v>
      </x:c>
      <x:c r="G82" s="17" t="n">
        <x:v>1784.25</x:v>
      </x:c>
      <x:c r="H82" s="17" t="n">
        <x:f>G82*F82</x:f>
        <x:v>7137</x:v>
      </x:c>
      <x:c r="I82" s="22" t="str">
        <x:f>HYPERLINK("https://etp-aktiv.ru/catalog/materialy/zapasnye-chasti-k-avtotransportnomu-oborudovaniyu/2000720528-U117/","Открыть позицию")</x:f>
        <x:v>Открыть позицию</x:v>
      </x:c>
    </x:row>
    <x:row r="83" ht="28" customHeight="1">
      <x:c r="A83" s="16" t="str">
        <x:v>Приморская ГРЭС</x:v>
      </x:c>
      <x:c r="B83" s="16" t="str">
        <x:v>2000000992-U117</x:v>
      </x:c>
      <x:c r="C83" s="16" t="str">
        <x:v>ФИЛЬТР 201-1117040А</x:v>
      </x:c>
      <x:c r="D83" s="16" t="str">
        <x:v>Фильтры для спецтехники и автотранспорта</x:v>
      </x:c>
      <x:c r="E83" s="16" t="str">
        <x:v>ШТ</x:v>
      </x:c>
      <x:c r="F83" s="21" t="n">
        <x:v>2</x:v>
      </x:c>
      <x:c r="G83" s="17" t="n">
        <x:v>137.25</x:v>
      </x:c>
      <x:c r="H83" s="17" t="n">
        <x:f>G83*F83</x:f>
        <x:v>274.5</x:v>
      </x:c>
      <x:c r="I83" s="22" t="str">
        <x:f>HYPERLINK("https://etp-aktiv.ru/catalog/materialy/zapasnye-chasti-k-avtotransportnomu-oborudovaniyu/2000000992-U117/","Открыть позицию")</x:f>
        <x:v>Открыть позицию</x:v>
      </x:c>
    </x:row>
    <x:row r="84" ht="28" customHeight="1">
      <x:c r="A84" s="16" t="str">
        <x:v>Приморская ГРЭС</x:v>
      </x:c>
      <x:c r="B84" s="16" t="str">
        <x:v>2000137582-U117</x:v>
      </x:c>
      <x:c r="C84" s="16" t="str">
        <x:v>ФИЛЬТР 3110-1117010</x:v>
      </x:c>
      <x:c r="D84" s="16" t="str">
        <x:v>Фильтры для спецтехники и автотранспорта</x:v>
      </x:c>
      <x:c r="E84" s="16" t="str">
        <x:v>ШТ</x:v>
      </x:c>
      <x:c r="F84" s="21" t="n">
        <x:v>4</x:v>
      </x:c>
      <x:c r="G84" s="17" t="n">
        <x:v>452.925</x:v>
      </x:c>
      <x:c r="H84" s="17" t="n">
        <x:f>G84*F84</x:f>
        <x:v>1811.7</x:v>
      </x:c>
      <x:c r="I84" s="22" t="str">
        <x:f>HYPERLINK("https://etp-aktiv.ru/catalog/materialy/zapasnye-chasti-k-avtotransportnomu-oborudovaniyu/2000137582-U117/","Открыть позицию")</x:f>
        <x:v>Открыть позицию</x:v>
      </x:c>
    </x:row>
    <x:row r="85" ht="28" customHeight="1">
      <x:c r="A85" s="16" t="str">
        <x:v>Приморская ГРЭС</x:v>
      </x:c>
      <x:c r="B85" s="16" t="str">
        <x:v>2000044036-U117</x:v>
      </x:c>
      <x:c r="C85" s="16" t="str">
        <x:v>ФИЛЬТР 740-1117040</x:v>
      </x:c>
      <x:c r="D85" s="16" t="str">
        <x:v>Фильтры для спецтехники и автотранспорта</x:v>
      </x:c>
      <x:c r="E85" s="16" t="str">
        <x:v>ШТ</x:v>
      </x:c>
      <x:c r="F85" s="21" t="n">
        <x:v>110</x:v>
      </x:c>
      <x:c r="G85" s="17" t="n">
        <x:v>100.3572</x:v>
      </x:c>
      <x:c r="H85" s="17" t="n">
        <x:f>G85*F85</x:f>
        <x:v>11039.292000000001</x:v>
      </x:c>
      <x:c r="I85" s="22" t="str">
        <x:f>HYPERLINK("https://etp-aktiv.ru/catalog/materialy/zapasnye-chasti-k-avtotransportnomu-oborudovaniyu/2000044036-U117/","Открыть позицию")</x:f>
        <x:v>Открыть позицию</x:v>
      </x:c>
    </x:row>
    <x:row r="86" ht="28" customHeight="1">
      <x:c r="A86" s="16" t="str">
        <x:v>Приморская ГРЭС</x:v>
      </x:c>
      <x:c r="B86" s="16" t="str">
        <x:v>2000501163-U117</x:v>
      </x:c>
      <x:c r="C86" s="16" t="str">
        <x:v>ФИЛЬТР DIFA 840.10112038-12</x:v>
      </x:c>
      <x:c r="D86" s="16" t="str">
        <x:v>Фильтры для спецтехники и автотранспорта</x:v>
      </x:c>
      <x:c r="E86" s="16" t="str">
        <x:v>ШТ</x:v>
      </x:c>
      <x:c r="F86" s="21" t="n">
        <x:v>2</x:v>
      </x:c>
      <x:c r="G86" s="17" t="n">
        <x:v>230.8484</x:v>
      </x:c>
      <x:c r="H86" s="17" t="n">
        <x:f>G86*F86</x:f>
        <x:v>461.6968</x:v>
      </x:c>
      <x:c r="I86" s="22" t="str">
        <x:f>HYPERLINK("https://etp-aktiv.ru/catalog/materialy/zapasnye-chasti-k-avtotransportnomu-oborudovaniyu/2000501163-U117/","Открыть позицию")</x:f>
        <x:v>Открыть позицию</x:v>
      </x:c>
    </x:row>
    <x:row r="87" ht="28" customHeight="1">
      <x:c r="A87" s="16" t="str">
        <x:v>Приморская ГРЭС</x:v>
      </x:c>
      <x:c r="B87" s="16" t="str">
        <x:v>2000151597-U117</x:v>
      </x:c>
      <x:c r="C87" s="16" t="str">
        <x:v>ФИЛЬТР ВОЗДУШНЫЙ 240-1109165</x:v>
      </x:c>
      <x:c r="D87" s="16" t="str">
        <x:v>Фильтры для спецтехники и автотранспорта</x:v>
      </x:c>
      <x:c r="E87" s="16" t="str">
        <x:v>ШТ</x:v>
      </x:c>
      <x:c r="F87" s="21" t="n">
        <x:v>1</x:v>
      </x:c>
      <x:c r="G87" s="17" t="n">
        <x:v>218.685</x:v>
      </x:c>
      <x:c r="H87" s="17" t="n">
        <x:f>G87*F87</x:f>
        <x:v>218.685</x:v>
      </x:c>
      <x:c r="I87" s="22" t="str">
        <x:f>HYPERLINK("https://etp-aktiv.ru/catalog/materialy/zapasnye-chasti-k-avtotransportnomu-oborudovaniyu/2000151597-U117/","Открыть позицию")</x:f>
        <x:v>Открыть позицию</x:v>
      </x:c>
    </x:row>
    <x:row r="88" ht="28" customHeight="1">
      <x:c r="A88" s="16" t="str">
        <x:v>Приморская ГРЭС</x:v>
      </x:c>
      <x:c r="B88" s="16" t="str">
        <x:v>2000002928-U117</x:v>
      </x:c>
      <x:c r="C88" s="16" t="str">
        <x:v>ФИЛЬТР ВОЗДУШНЫЙ 3102-1109013</x:v>
      </x:c>
      <x:c r="D88" s="16" t="str">
        <x:v>Фильтры для спецтехники и автотранспорта</x:v>
      </x:c>
      <x:c r="E88" s="16" t="str">
        <x:v>ШТ</x:v>
      </x:c>
      <x:c r="F88" s="21" t="n">
        <x:v>1</x:v>
      </x:c>
      <x:c r="G88" s="17" t="n">
        <x:v>369.8186</x:v>
      </x:c>
      <x:c r="H88" s="17" t="n">
        <x:f>G88*F88</x:f>
        <x:v>369.8186</x:v>
      </x:c>
      <x:c r="I88" s="22" t="str">
        <x:f>HYPERLINK("https://etp-aktiv.ru/catalog/materialy/zapasnye-chasti-k-avtotransportnomu-oborudovaniyu/2000002928-U117/","Открыть позицию")</x:f>
        <x:v>Открыть позицию</x:v>
      </x:c>
    </x:row>
    <x:row r="89" ht="28" customHeight="1">
      <x:c r="A89" s="16" t="str">
        <x:v>Приморская ГРЭС</x:v>
      </x:c>
      <x:c r="B89" s="16" t="str">
        <x:v>2000712922-U117</x:v>
      </x:c>
      <x:c r="C89" s="16" t="str">
        <x:v>ФИЛЬТР ВОЗДУШНЫЙ 31512-110908-01</x:v>
      </x:c>
      <x:c r="D89" s="16" t="str">
        <x:v>Фильтры для спецтехники и автотранспорта</x:v>
      </x:c>
      <x:c r="E89" s="16" t="str">
        <x:v>ШТ</x:v>
      </x:c>
      <x:c r="F89" s="21" t="n">
        <x:v>6</x:v>
      </x:c>
      <x:c r="G89" s="17" t="n">
        <x:v>11.8828</x:v>
      </x:c>
      <x:c r="H89" s="17" t="n">
        <x:f>G89*F89</x:f>
        <x:v>71.29679999999999</x:v>
      </x:c>
      <x:c r="I89" s="22" t="str">
        <x:f>HYPERLINK("https://etp-aktiv.ru/catalog/materialy/zapasnye-chasti-k-avtotransportnomu-oborudovaniyu/2000712922-U117/","Открыть позицию")</x:f>
        <x:v>Открыть позицию</x:v>
      </x:c>
    </x:row>
    <x:row r="90" ht="28" customHeight="1">
      <x:c r="A90" s="16" t="str">
        <x:v>Приморская ГРЭС</x:v>
      </x:c>
      <x:c r="B90" s="16" t="str">
        <x:v>2000994556-U117</x:v>
      </x:c>
      <x:c r="C90" s="16" t="str">
        <x:v>ФИЛЬТР ВОЗДУШНЫЙ A-6111</x:v>
      </x:c>
      <x:c r="D90" s="16" t="str">
        <x:v>Фильтры для спецтехники и автотранспорта</x:v>
      </x:c>
      <x:c r="E90" s="16" t="str">
        <x:v>ШТ</x:v>
      </x:c>
      <x:c r="F90" s="21" t="n">
        <x:v>3</x:v>
      </x:c>
      <x:c r="G90" s="17" t="n">
        <x:v>1053.104</x:v>
      </x:c>
      <x:c r="H90" s="17" t="n">
        <x:f>G90*F90</x:f>
        <x:v>3159.312</x:v>
      </x:c>
      <x:c r="I90" s="22" t="str">
        <x:f>HYPERLINK("https://etp-aktiv.ru/catalog/materialy/zapasnye-chasti-k-avtotransportnomu-oborudovaniyu/2000994556-U117/","Открыть позицию")</x:f>
        <x:v>Открыть позицию</x:v>
      </x:c>
    </x:row>
    <x:row r="91" ht="28" customHeight="1">
      <x:c r="A91" s="16" t="str">
        <x:v>Приморская ГРЭС</x:v>
      </x:c>
      <x:c r="B91" s="16" t="str">
        <x:v>2000044114-U117</x:v>
      </x:c>
      <x:c r="C91" s="16" t="str">
        <x:v>ФИЛЬТР ВОЗДУШНЫЙ Т330-1109560-02</x:v>
      </x:c>
      <x:c r="D91" s="16" t="str">
        <x:v>Фильтры для спецтехники и автотранспорта</x:v>
      </x:c>
      <x:c r="E91" s="16" t="str">
        <x:v>ШТ</x:v>
      </x:c>
      <x:c r="F91" s="21" t="n">
        <x:v>2</x:v>
      </x:c>
      <x:c r="G91" s="17" t="n">
        <x:v>2288.415</x:v>
      </x:c>
      <x:c r="H91" s="17" t="n">
        <x:f>G91*F91</x:f>
        <x:v>4576.83</x:v>
      </x:c>
      <x:c r="I91" s="22" t="str">
        <x:f>HYPERLINK("https://etp-aktiv.ru/catalog/materialy/zapasnye-chasti-k-avtotransportnomu-oborudovaniyu/2000044114-U117/","Открыть позицию")</x:f>
        <x:v>Открыть позицию</x:v>
      </x:c>
    </x:row>
    <x:row r="92" ht="28" customHeight="1">
      <x:c r="A92" s="16" t="str">
        <x:v>Приморская ГРЭС</x:v>
      </x:c>
      <x:c r="B92" s="16" t="str">
        <x:v>2000943664-U117</x:v>
      </x:c>
      <x:c r="C92" s="16" t="str">
        <x:v>ФИЛЬТР МАСЛЯНЫЙ 240-1404010А-01</x:v>
      </x:c>
      <x:c r="D92" s="16" t="str">
        <x:v>Фильтры для спецтехники и автотранспорта</x:v>
      </x:c>
      <x:c r="E92" s="16" t="str">
        <x:v>ШТ</x:v>
      </x:c>
      <x:c r="F92" s="21" t="n">
        <x:v>1</x:v>
      </x:c>
      <x:c r="G92" s="17" t="n">
        <x:v>2952.3756</x:v>
      </x:c>
      <x:c r="H92" s="17" t="n">
        <x:f>G92*F92</x:f>
        <x:v>2952.3756</x:v>
      </x:c>
      <x:c r="I92" s="22" t="str">
        <x:f>HYPERLINK("https://etp-aktiv.ru/catalog/materialy/zapasnye-chasti-k-avtotransportnomu-oborudovaniyu/2000943664-U117/","Открыть позицию")</x:f>
        <x:v>Открыть позицию</x:v>
      </x:c>
    </x:row>
    <x:row r="93" ht="28" customHeight="1">
      <x:c r="A93" s="16" t="str">
        <x:v>Приморская ГРЭС</x:v>
      </x:c>
      <x:c r="B93" s="16" t="str">
        <x:v>2000001825-U117</x:v>
      </x:c>
      <x:c r="C93" s="16" t="str">
        <x:v>ФИЛЬТР МАСЛЯНЫЙ 53-1012040</x:v>
      </x:c>
      <x:c r="D93" s="16" t="str">
        <x:v>Фильтры для спецтехники и автотранспорта</x:v>
      </x:c>
      <x:c r="E93" s="16" t="str">
        <x:v>ШТ</x:v>
      </x:c>
      <x:c r="F93" s="21" t="n">
        <x:v>2</x:v>
      </x:c>
      <x:c r="G93" s="17" t="n">
        <x:v>175.375</x:v>
      </x:c>
      <x:c r="H93" s="17" t="n">
        <x:f>G93*F93</x:f>
        <x:v>350.75</x:v>
      </x:c>
      <x:c r="I93" s="22" t="str">
        <x:f>HYPERLINK("https://etp-aktiv.ru/catalog/materialy/zapasnye-chasti-k-avtotransportnomu-oborudovaniyu/2000001825-U117/","Открыть позицию")</x:f>
        <x:v>Открыть позицию</x:v>
      </x:c>
    </x:row>
    <x:row r="94" ht="28" customHeight="1">
      <x:c r="A94" s="16" t="str">
        <x:v>Приморская ГРЭС</x:v>
      </x:c>
      <x:c r="B94" s="16" t="str">
        <x:v>2000283368-U117</x:v>
      </x:c>
      <x:c r="C94" s="16" t="str">
        <x:v>ФИЛЬТР МАСЛЯНЫЙ C-222K</x:v>
      </x:c>
      <x:c r="D94" s="16" t="str">
        <x:v>Фильтры для спецтехники и автотранспорта</x:v>
      </x:c>
      <x:c r="E94" s="16" t="str">
        <x:v>ШТ</x:v>
      </x:c>
      <x:c r="F94" s="21" t="n">
        <x:v>1</x:v>
      </x:c>
      <x:c r="G94" s="17" t="n">
        <x:v>526.125</x:v>
      </x:c>
      <x:c r="H94" s="17" t="n">
        <x:f>G94*F94</x:f>
        <x:v>526.125</x:v>
      </x:c>
      <x:c r="I94" s="22" t="str">
        <x:f>HYPERLINK("https://etp-aktiv.ru/catalog/materialy/zapasnye-chasti-k-avtotransportnomu-oborudovaniyu/2000283368-U117/","Открыть позицию")</x:f>
        <x:v>Открыть позицию</x:v>
      </x:c>
    </x:row>
    <x:row r="95" ht="28" customHeight="1">
      <x:c r="A95" s="16" t="str">
        <x:v>Приморская ГРЭС</x:v>
      </x:c>
      <x:c r="B95" s="16" t="str">
        <x:v>2000712935-U117</x:v>
      </x:c>
      <x:c r="C95" s="16" t="str">
        <x:v>ФИЛЬТР СЕПАРАТОР 4061301100</x:v>
      </x:c>
      <x:c r="D95" s="16" t="str">
        <x:v>Фильтры для спецтехники и автотранспорта</x:v>
      </x:c>
      <x:c r="E95" s="16" t="str">
        <x:v>ШТ</x:v>
      </x:c>
      <x:c r="F95" s="21" t="n">
        <x:v>1</x:v>
      </x:c>
      <x:c r="G95" s="17" t="n">
        <x:v>33291.481999999996</x:v>
      </x:c>
      <x:c r="H95" s="17" t="n">
        <x:f>G95*F95</x:f>
        <x:v>33291.481999999996</x:v>
      </x:c>
      <x:c r="I95" s="22" t="str">
        <x:f>HYPERLINK("https://etp-aktiv.ru/catalog/materialy/zapasnye-chasti-k-avtotransportnomu-oborudovaniyu/2000712935-U117/","Открыть позицию")</x:f>
        <x:v>Открыть позицию</x:v>
      </x:c>
    </x:row>
    <x:row r="96" ht="28" customHeight="1">
      <x:c r="A96" s="16" t="str">
        <x:v>Приморская ГРЭС</x:v>
      </x:c>
      <x:c r="B96" s="16" t="str">
        <x:v>2000529674-U117</x:v>
      </x:c>
      <x:c r="C96" s="16" t="str">
        <x:v>ФИЛЬТР СМЕННЫЙ МАСЛЯНЫЙ 658.1012075</x:v>
      </x:c>
      <x:c r="D96" s="16" t="str">
        <x:v>Фильтры для спецтехники и автотранспорта</x:v>
      </x:c>
      <x:c r="E96" s="16" t="str">
        <x:v>ШТ</x:v>
      </x:c>
      <x:c r="F96" s="21" t="n">
        <x:v>1</x:v>
      </x:c>
      <x:c r="G96" s="17" t="n">
        <x:v>995.52</x:v>
      </x:c>
      <x:c r="H96" s="17" t="n">
        <x:f>G96*F96</x:f>
        <x:v>995.52</x:v>
      </x:c>
      <x:c r="I96" s="22" t="str">
        <x:f>HYPERLINK("https://etp-aktiv.ru/catalog/materialy/zapasnye-chasti-k-avtotransportnomu-oborudovaniyu/2000529674-U117/","Открыть позицию")</x:f>
        <x:v>Открыть позицию</x:v>
      </x:c>
    </x:row>
    <x:row r="97" ht="28" customHeight="1">
      <x:c r="A97" s="16" t="str">
        <x:v>Приморская ГРЭС</x:v>
      </x:c>
      <x:c r="B97" s="16" t="str">
        <x:v>2000529666-U117</x:v>
      </x:c>
      <x:c r="C97" s="16" t="str">
        <x:v>ФИЛЬТР ТОПЛИВНЫЙ 17.193.1117010</x:v>
      </x:c>
      <x:c r="D97" s="16" t="str">
        <x:v>Фильтры для спецтехники и автотранспорта</x:v>
      </x:c>
      <x:c r="E97" s="16" t="str">
        <x:v>ШТ</x:v>
      </x:c>
      <x:c r="F97" s="21" t="n">
        <x:v>3</x:v>
      </x:c>
      <x:c r="G97" s="17" t="n">
        <x:v>87.68140000000001</x:v>
      </x:c>
      <x:c r="H97" s="17" t="n">
        <x:f>G97*F97</x:f>
        <x:v>263.04420000000005</x:v>
      </x:c>
      <x:c r="I97" s="22" t="str">
        <x:f>HYPERLINK("https://etp-aktiv.ru/catalog/materialy/zapasnye-chasti-k-avtotransportnomu-oborudovaniyu/2000529666-U117/","Открыть позицию")</x:f>
        <x:v>Открыть позицию</x:v>
      </x:c>
    </x:row>
    <x:row r="98" ht="28" customHeight="1">
      <x:c r="A98" s="16" t="str">
        <x:v>Приморская ГРЭС</x:v>
      </x:c>
      <x:c r="B98" s="16" t="str">
        <x:v>2000471810-U117</x:v>
      </x:c>
      <x:c r="C98" s="16" t="str">
        <x:v>ФИЛЬТР ТОПЛИВНЫЙ 236-1117010-А4</x:v>
      </x:c>
      <x:c r="D98" s="16" t="str">
        <x:v>Фильтры для спецтехники и автотранспорта</x:v>
      </x:c>
      <x:c r="E98" s="16" t="str">
        <x:v>ШТ</x:v>
      </x:c>
      <x:c r="F98" s="21" t="n">
        <x:v>7</x:v>
      </x:c>
      <x:c r="G98" s="17" t="n">
        <x:v>64.05</x:v>
      </x:c>
      <x:c r="H98" s="17" t="n">
        <x:f>G98*F98</x:f>
        <x:v>448.34999999999997</x:v>
      </x:c>
      <x:c r="I98" s="22" t="str">
        <x:f>HYPERLINK("https://etp-aktiv.ru/catalog/materialy/zapasnye-chasti-k-avtotransportnomu-oborudovaniyu/2000471810-U117/","Открыть позицию")</x:f>
        <x:v>Открыть позицию</x:v>
      </x:c>
    </x:row>
    <x:row r="99" ht="28" customHeight="1">
      <x:c r="A99" s="16" t="str">
        <x:v>Приморская ГРЭС</x:v>
      </x:c>
      <x:c r="B99" s="16" t="str">
        <x:v>2000299331-U117</x:v>
      </x:c>
      <x:c r="C99" s="16" t="str">
        <x:v>ФИЛЬТР ТОПЛИВНЫЙ 240-1117010-А-01</x:v>
      </x:c>
      <x:c r="D99" s="16" t="str">
        <x:v>Фильтры для спецтехники и автотранспорта</x:v>
      </x:c>
      <x:c r="E99" s="16" t="str">
        <x:v>ШТ</x:v>
      </x:c>
      <x:c r="F99" s="21" t="n">
        <x:v>1</x:v>
      </x:c>
      <x:c r="G99" s="17" t="n">
        <x:v>2649.6814</x:v>
      </x:c>
      <x:c r="H99" s="17" t="n">
        <x:f>G99*F99</x:f>
        <x:v>2649.6814</x:v>
      </x:c>
      <x:c r="I99" s="22" t="str">
        <x:f>HYPERLINK("https://etp-aktiv.ru/catalog/materialy/zapasnye-chasti-k-avtotransportnomu-oborudovaniyu/2000299331-U117/","Открыть позицию")</x:f>
        <x:v>Открыть позицию</x:v>
      </x:c>
    </x:row>
    <x:row r="100" ht="28" customHeight="1">
      <x:c r="A100" s="16" t="str">
        <x:v>Приморская ГРЭС</x:v>
      </x:c>
      <x:c r="B100" s="16" t="str">
        <x:v>2000386855-U117</x:v>
      </x:c>
      <x:c r="C100" s="16" t="str">
        <x:v>ФИЛЬТР ТОПЛИВНЫЙ 315195-1117010-10</x:v>
      </x:c>
      <x:c r="D100" s="16" t="str">
        <x:v>Фильтры для спецтехники и автотранспорта</x:v>
      </x:c>
      <x:c r="E100" s="16" t="str">
        <x:v>ШТ</x:v>
      </x:c>
      <x:c r="F100" s="21" t="n">
        <x:v>1</x:v>
      </x:c>
      <x:c r="G100" s="17" t="n">
        <x:v>315.675</x:v>
      </x:c>
      <x:c r="H100" s="17" t="n">
        <x:f>G100*F100</x:f>
        <x:v>315.675</x:v>
      </x:c>
      <x:c r="I100" s="22" t="str">
        <x:f>HYPERLINK("https://etp-aktiv.ru/catalog/materialy/zapasnye-chasti-k-avtotransportnomu-oborudovaniyu/2000386855-U117/","Открыть позицию")</x:f>
        <x:v>Открыть позицию</x:v>
      </x:c>
    </x:row>
    <x:row r="101" ht="28" customHeight="1">
      <x:c r="A101" s="16" t="str">
        <x:v>Приморская ГРЭС</x:v>
      </x:c>
      <x:c r="B101" s="16" t="str">
        <x:v>2000728616-U117</x:v>
      </x:c>
      <x:c r="C101" s="16" t="str">
        <x:v>ФИЛЬТР ТОПЛИВНЫЙ 840.1117035-01</x:v>
      </x:c>
      <x:c r="D101" s="16" t="str">
        <x:v>Фильтры для спецтехники и автотранспорта</x:v>
      </x:c>
      <x:c r="E101" s="16" t="str">
        <x:v>ШТ</x:v>
      </x:c>
      <x:c r="F101" s="21" t="n">
        <x:v>2</x:v>
      </x:c>
      <x:c r="G101" s="17" t="n">
        <x:v>123.2932</x:v>
      </x:c>
      <x:c r="H101" s="17" t="n">
        <x:f>G101*F101</x:f>
        <x:v>246.5864</x:v>
      </x:c>
      <x:c r="I101" s="22" t="str">
        <x:f>HYPERLINK("https://etp-aktiv.ru/catalog/materialy/zapasnye-chasti-k-avtotransportnomu-oborudovaniyu/2000728616-U117/","Открыть позицию")</x:f>
        <x:v>Открыть позицию</x:v>
      </x:c>
    </x:row>
    <x:row r="102" ht="28" customHeight="1">
      <x:c r="A102" s="16" t="str">
        <x:v>Приморская ГРЭС</x:v>
      </x:c>
      <x:c r="B102" s="16" t="str">
        <x:v>2000219037-U117</x:v>
      </x:c>
      <x:c r="C102" s="16" t="str">
        <x:v>ФИЛЬТР ТОПЛИВНЫЙ ЕКО-03.36 Д-245</x:v>
      </x:c>
      <x:c r="D102" s="16" t="str">
        <x:v>Фильтры для спецтехники и автотранспорта</x:v>
      </x:c>
      <x:c r="E102" s="16" t="str">
        <x:v>ШТ</x:v>
      </x:c>
      <x:c r="F102" s="21" t="n">
        <x:v>1</x:v>
      </x:c>
      <x:c r="G102" s="17" t="n">
        <x:v>591.8952</x:v>
      </x:c>
      <x:c r="H102" s="17" t="n">
        <x:f>G102*F102</x:f>
        <x:v>591.8952</x:v>
      </x:c>
      <x:c r="I102" s="22" t="str">
        <x:f>HYPERLINK("https://etp-aktiv.ru/catalog/materialy/zapasnye-chasti-k-avtotransportnomu-oborudovaniyu/2000219037-U117/","Открыть позицию")</x:f>
        <x:v>Открыть позицию</x:v>
      </x:c>
    </x:row>
    <x:row r="103" ht="28" customHeight="1">
      <x:c r="A103" s="16" t="str">
        <x:v>Приморская ГРЭС</x:v>
      </x:c>
      <x:c r="B103" s="16" t="str">
        <x:v>2000003791-U117</x:v>
      </x:c>
      <x:c r="C103" s="16" t="str">
        <x:v>ФИЛЬТР ТОПЛИВНЫЙ ТОНКОЙ ОЧИСТКИ И-511</x:v>
      </x:c>
      <x:c r="D103" s="16" t="str">
        <x:v>Запасные части к локомотивам</x:v>
      </x:c>
      <x:c r="E103" s="16" t="str">
        <x:v>ШТ</x:v>
      </x:c>
      <x:c r="F103" s="21" t="n">
        <x:v>130</x:v>
      </x:c>
      <x:c r="G103" s="17" t="n">
        <x:v>138.29919999999998</x:v>
      </x:c>
      <x:c r="H103" s="17" t="n">
        <x:f>G103*F103</x:f>
        <x:v>17978.895999999997</x:v>
      </x:c>
      <x:c r="I103" s="22" t="str">
        <x:f>HYPERLINK("https://etp-aktiv.ru/catalog/materialy/zapasnye-chasti-k-avtotransportnomu-oborudovaniyu/2000003791-U117/","Открыть позицию")</x:f>
        <x:v>Открыть позицию</x:v>
      </x:c>
    </x:row>
    <x:row r="104" ht="28" customHeight="1">
      <x:c r="A104" s="16" t="str">
        <x:v>Приморская ГРЭС</x:v>
      </x:c>
      <x:c r="B104" s="16" t="str">
        <x:v>2000523579-U117</x:v>
      </x:c>
      <x:c r="C104" s="16" t="str">
        <x:v>ФЛАНЕЦ 2001-20-101СП</x:v>
      </x:c>
      <x:c r="D104" s="16" t="str">
        <x:v>Запасные части к карьерной технике Четра</x:v>
      </x:c>
      <x:c r="E104" s="16" t="str">
        <x:v>ШТ</x:v>
      </x:c>
      <x:c r="F104" s="21" t="n">
        <x:v>1</x:v>
      </x:c>
      <x:c r="G104" s="17" t="n">
        <x:v>13038.75</x:v>
      </x:c>
      <x:c r="H104" s="17" t="n">
        <x:f>G104*F104</x:f>
        <x:v>13038.75</x:v>
      </x:c>
      <x:c r="I104" s="22" t="str">
        <x:f>HYPERLINK("https://etp-aktiv.ru/catalog/materialy/zapasnye-chasti-k-dorozhno-stroitelnoj-tekhnike/2000523579-U117/","Открыть позицию")</x:f>
        <x:v>Открыть позицию</x:v>
      </x:c>
    </x:row>
    <x:row r="105" ht="28" customHeight="1">
      <x:c r="A105" s="16" t="str">
        <x:v>Приморская ГРЭС</x:v>
      </x:c>
      <x:c r="B105" s="16" t="str">
        <x:v>2000005570-U117</x:v>
      </x:c>
      <x:c r="C105" s="16" t="str">
        <x:v>ЦИЛИНДР 469-1602300</x:v>
      </x:c>
      <x:c r="D105" s="16" t="str">
        <x:v>Запасные части к автотранспортному оборудованию</x:v>
      </x:c>
      <x:c r="E105" s="16" t="str">
        <x:v>ШТ</x:v>
      </x:c>
      <x:c r="F105" s="21" t="n">
        <x:v>1</x:v>
      </x:c>
      <x:c r="G105" s="17" t="n">
        <x:v>733.4518</x:v>
      </x:c>
      <x:c r="H105" s="17" t="n">
        <x:f>G105*F105</x:f>
        <x:v>733.4518</x:v>
      </x:c>
      <x:c r="I105" s="22" t="str">
        <x:f>HYPERLINK("https://etp-aktiv.ru/catalog/materialy/zapasnye-chasti-k-avtotransportnomu-oborudovaniyu/2000005570-U117/","Открыть позицию")</x:f>
        <x:v>Открыть позицию</x:v>
      </x:c>
    </x:row>
    <x:row r="106" ht="28" customHeight="1">
      <x:c r="A106" s="16" t="str">
        <x:v>Приморская ГРЭС</x:v>
      </x:c>
      <x:c r="B106" s="16" t="str">
        <x:v>2000481623-U117</x:v>
      </x:c>
      <x:c r="C106" s="16" t="str">
        <x:v>ШАЙБА МЕДНАЯ D16 1/02570/60</x:v>
      </x:c>
      <x:c r="D106" s="16" t="str">
        <x:v>Запасные части к автотранспортному оборудованию</x:v>
      </x:c>
      <x:c r="E106" s="16" t="str">
        <x:v>ШТ</x:v>
      </x:c>
      <x:c r="F106" s="21" t="n">
        <x:v>25</x:v>
      </x:c>
      <x:c r="G106" s="17" t="n">
        <x:v>40.26</x:v>
      </x:c>
      <x:c r="H106" s="17" t="n">
        <x:f>G106*F106</x:f>
        <x:v>1006.5</x:v>
      </x:c>
      <x:c r="I106" s="22" t="str">
        <x:f>HYPERLINK("https://etp-aktiv.ru/catalog/materialy/zapasnye-chasti-k-avtotransportnomu-oborudovaniyu/2000481623-U117/","Открыть позицию")</x:f>
        <x:v>Открыть позицию</x:v>
      </x:c>
    </x:row>
    <x:row r="107" ht="28" customHeight="1">
      <x:c r="A107" s="16" t="str">
        <x:v>Приморская ГРЭС</x:v>
      </x:c>
      <x:c r="B107" s="16" t="str">
        <x:v>2000045382-U117</x:v>
      </x:c>
      <x:c r="C107" s="16" t="str">
        <x:v>ШАРНИР РУЛЕВОЙ ТРАПЕЦИИ 24-3003028</x:v>
      </x:c>
      <x:c r="D107" s="16" t="str">
        <x:v>Запасные части к автотранспортному оборудованию</x:v>
      </x:c>
      <x:c r="E107" s="16" t="str">
        <x:v>ШТ</x:v>
      </x:c>
      <x:c r="F107" s="21" t="n">
        <x:v>1</x:v>
      </x:c>
      <x:c r="G107" s="17" t="n">
        <x:v>183</x:v>
      </x:c>
      <x:c r="H107" s="17" t="n">
        <x:f>G107*F107</x:f>
        <x:v>183</x:v>
      </x:c>
      <x:c r="I107" s="22" t="str">
        <x:f>HYPERLINK("https://etp-aktiv.ru/catalog/materialy/zapasnye-chasti-k-avtotransportnomu-oborudovaniyu/2000045382-U117/","Открыть позицию")</x:f>
        <x:v>Открыть позицию</x:v>
      </x:c>
    </x:row>
    <x:row r="108" ht="28" customHeight="1">
      <x:c r="A108" s="16" t="str">
        <x:v>Приморская ГРЭС</x:v>
      </x:c>
      <x:c r="B108" s="16" t="str">
        <x:v>2000529274-U117</x:v>
      </x:c>
      <x:c r="C108" s="16" t="str">
        <x:v>ШАРНИР РУЛЕВОЙ ТЯГИ 2217-3414029</x:v>
      </x:c>
      <x:c r="D108" s="16" t="str">
        <x:v>Запасные части к автотранспортному оборудованию</x:v>
      </x:c>
      <x:c r="E108" s="16" t="str">
        <x:v>ШТ</x:v>
      </x:c>
      <x:c r="F108" s="21" t="n">
        <x:v>6</x:v>
      </x:c>
      <x:c r="G108" s="17" t="n">
        <x:v>658.8</x:v>
      </x:c>
      <x:c r="H108" s="17" t="n">
        <x:f>G108*F108</x:f>
        <x:v>3952.7999999999997</x:v>
      </x:c>
      <x:c r="I108" s="22" t="str">
        <x:f>HYPERLINK("https://etp-aktiv.ru/catalog/materialy/zapasnye-chasti-k-avtotransportnomu-oborudovaniyu/2000529274-U117/","Открыть позицию")</x:f>
        <x:v>Открыть позицию</x:v>
      </x:c>
    </x:row>
    <x:row r="109" ht="28" customHeight="1">
      <x:c r="A109" s="16" t="str">
        <x:v>Приморская ГРЭС</x:v>
      </x:c>
      <x:c r="B109" s="16" t="str">
        <x:v>2000849454-U117</x:v>
      </x:c>
      <x:c r="C109" s="16" t="str">
        <x:v>ШИНА 12.4R28 VOLTYRE ЯФ-394 С КАМЕРОЙ</x:v>
      </x:c>
      <x:c r="D109" s="16" t="str">
        <x:v>Шины для спецтехники (в тч ЦЛ/комплекты)</x:v>
      </x:c>
      <x:c r="E109" s="16" t="str">
        <x:v>ШТ</x:v>
      </x:c>
      <x:c r="F109" s="21" t="n">
        <x:v>4</x:v>
      </x:c>
      <x:c r="G109" s="17" t="n">
        <x:v>14035.563199999999</x:v>
      </x:c>
      <x:c r="H109" s="17" t="n">
        <x:f>G109*F109</x:f>
        <x:v>56142.252799999995</x:v>
      </x:c>
      <x:c r="I109" s="22" t="str">
        <x:f>HYPERLINK("https://etp-aktiv.ru/catalog/materialy/avtoshiny/2000849454-U117/","Открыть позицию")</x:f>
        <x:v>Открыть позицию</x:v>
      </x:c>
    </x:row>
    <x:row r="110" ht="28" customHeight="1">
      <x:c r="A110" s="16" t="str">
        <x:v>Приморская ГРЭС</x:v>
      </x:c>
      <x:c r="B110" s="16" t="str">
        <x:v>2000125883-U117</x:v>
      </x:c>
      <x:c r="C110" s="16" t="str">
        <x:v>ШИНА 195/65R15 О-118</x:v>
      </x:c>
      <x:c r="D110" s="16" t="str">
        <x:v>Шины для легкового транспорта</x:v>
      </x:c>
      <x:c r="E110" s="16" t="str">
        <x:v>ШТ</x:v>
      </x:c>
      <x:c r="F110" s="21" t="n">
        <x:v>4</x:v>
      </x:c>
      <x:c r="G110" s="17" t="n">
        <x:v>3188.4211999999998</x:v>
      </x:c>
      <x:c r="H110" s="17" t="n">
        <x:f>G110*F110</x:f>
        <x:v>12753.684799999999</x:v>
      </x:c>
      <x:c r="I110" s="22" t="str">
        <x:f>HYPERLINK("https://etp-aktiv.ru/catalog/materialy/avtoshiny/2000125883-U117/","Открыть позицию")</x:f>
        <x:v>Открыть позицию</x:v>
      </x:c>
    </x:row>
    <x:row r="111" ht="28" customHeight="1">
      <x:c r="A111" s="16" t="str">
        <x:v>Приморская ГРЭС</x:v>
      </x:c>
      <x:c r="B111" s="16" t="str">
        <x:v>2000841359-U117</x:v>
      </x:c>
      <x:c r="C111" s="16" t="str">
        <x:v>ШИНА 225/75R16 115R G015</x:v>
      </x:c>
      <x:c r="D111" s="16" t="str">
        <x:v>Шины для легкового транспорта</x:v>
      </x:c>
      <x:c r="E111" s="16" t="str">
        <x:v>ШТ</x:v>
      </x:c>
      <x:c r="F111" s="21" t="n">
        <x:v>15</x:v>
      </x:c>
      <x:c r="G111" s="17" t="n">
        <x:v>6285.818200000001</x:v>
      </x:c>
      <x:c r="H111" s="17" t="n">
        <x:f>G111*F111</x:f>
        <x:v>94287.27300000002</x:v>
      </x:c>
      <x:c r="I111" s="22" t="str">
        <x:f>HYPERLINK("https://etp-aktiv.ru/catalog/materialy/avtoshiny/2000841359-U117/","Открыть позицию")</x:f>
        <x:v>Открыть позицию</x:v>
      </x:c>
    </x:row>
    <x:row r="112" ht="28" customHeight="1">
      <x:c r="A112" s="16" t="str">
        <x:v>Приморская ГРЭС</x:v>
      </x:c>
      <x:c r="B112" s="16" t="str">
        <x:v>2000374503-U117</x:v>
      </x:c>
      <x:c r="C112" s="16" t="str">
        <x:v>ШИНА 235/70R16 RW11</x:v>
      </x:c>
      <x:c r="D112" s="16" t="str">
        <x:v>Шины для легкового транспорта</x:v>
      </x:c>
      <x:c r="E112" s="16" t="str">
        <x:v>ШТ</x:v>
      </x:c>
      <x:c r="F112" s="21" t="n">
        <x:v>5</x:v>
      </x:c>
      <x:c r="G112" s="17" t="n">
        <x:v>8597.34</x:v>
      </x:c>
      <x:c r="H112" s="17" t="n">
        <x:f>G112*F112</x:f>
        <x:v>42986.7</x:v>
      </x:c>
      <x:c r="I112" s="22" t="str">
        <x:f>HYPERLINK("https://etp-aktiv.ru/catalog/materialy/avtoshiny/2000374503-U117/","Открыть позицию")</x:f>
        <x:v>Открыть позицию</x:v>
      </x:c>
    </x:row>
    <x:row r="113" ht="28" customHeight="1">
      <x:c r="A113" s="16" t="str">
        <x:v>Приморская ГРЭС</x:v>
      </x:c>
      <x:c r="B113" s="16" t="str">
        <x:v>2000547253-U117</x:v>
      </x:c>
      <x:c r="C113" s="16" t="str">
        <x:v>ШИНА 275/70R16 ECOPIA EP850</x:v>
      </x:c>
      <x:c r="D113" s="16" t="str">
        <x:v>Шины для легкового транспорта</x:v>
      </x:c>
      <x:c r="E113" s="16" t="str">
        <x:v>ШТ</x:v>
      </x:c>
      <x:c r="F113" s="21" t="n">
        <x:v>5</x:v>
      </x:c>
      <x:c r="G113" s="17" t="n">
        <x:v>9422.67</x:v>
      </x:c>
      <x:c r="H113" s="17" t="n">
        <x:f>G113*F113</x:f>
        <x:v>47113.35</x:v>
      </x:c>
      <x:c r="I113" s="22" t="str">
        <x:f>HYPERLINK("https://etp-aktiv.ru/catalog/materialy/avtoshiny/2000547253-U117/","Открыть позицию")</x:f>
        <x:v>Открыть позицию</x:v>
      </x:c>
    </x:row>
    <x:row r="114" ht="28" customHeight="1">
      <x:c r="A114" s="16" t="str">
        <x:v>Приморская ГРЭС</x:v>
      </x:c>
      <x:c r="B114" s="16" t="str">
        <x:v>2000326513-U117</x:v>
      </x:c>
      <x:c r="C114" s="16" t="str">
        <x:v>ШИНА ПОГР. SOLIDEAL 9.00-20 ECOMATIC ED</x:v>
      </x:c>
      <x:c r="D114" s="16" t="str">
        <x:v>Шины для спецтехники (в тч ЦЛ/комплекты)</x:v>
      </x:c>
      <x:c r="E114" s="16" t="str">
        <x:v>ШТ</x:v>
      </x:c>
      <x:c r="F114" s="21" t="n">
        <x:v>2</x:v>
      </x:c>
      <x:c r="G114" s="17" t="n">
        <x:v>24400</x:v>
      </x:c>
      <x:c r="H114" s="17" t="n">
        <x:f>G114*F114</x:f>
        <x:v>48800</x:v>
      </x:c>
      <x:c r="I114" s="22" t="str">
        <x:f>HYPERLINK("https://etp-aktiv.ru/catalog/materialy/avtoshiny/2000326513-U117/","Открыть позицию")</x:f>
        <x:v>Открыть позицию</x:v>
      </x:c>
    </x:row>
    <x:row r="115" ht="28" customHeight="1">
      <x:c r="A115" s="16" t="str">
        <x:v>Приморская ГРЭС</x:v>
      </x:c>
      <x:c r="B115" s="16" t="str">
        <x:v>2000572324-U117</x:v>
      </x:c>
      <x:c r="C115" s="16" t="str">
        <x:v>ШИНА С/Х 6,50-16 Я-275А 91</x:v>
      </x:c>
      <x:c r="D115" s="16" t="str">
        <x:v>Шины для спецтехники (в тч ЦЛ/комплекты)</x:v>
      </x:c>
      <x:c r="E115" s="16" t="str">
        <x:v>ШТ</x:v>
      </x:c>
      <x:c r="F115" s="21" t="n">
        <x:v>2</x:v>
      </x:c>
      <x:c r="G115" s="17" t="n">
        <x:v>3980.25</x:v>
      </x:c>
      <x:c r="H115" s="17" t="n">
        <x:f>G115*F115</x:f>
        <x:v>7960.5</x:v>
      </x:c>
      <x:c r="I115" s="22" t="str">
        <x:f>HYPERLINK("https://etp-aktiv.ru/catalog/materialy/avtoshiny/2000572324-U117/","Открыть позицию")</x:f>
        <x:v>Открыть позицию</x:v>
      </x:c>
    </x:row>
    <x:row r="116" ht="28" customHeight="1">
      <x:c r="A116" s="16" t="str">
        <x:v>Приморская ГРЭС</x:v>
      </x:c>
      <x:c r="B116" s="16" t="str">
        <x:v>2000449577-U117</x:v>
      </x:c>
      <x:c r="C116" s="16" t="str">
        <x:v>ШКВОРЕНЬ 3163-2304019-01</x:v>
      </x:c>
      <x:c r="D116" s="16" t="str">
        <x:v>Запасные части к автотранспортному оборудованию</x:v>
      </x:c>
      <x:c r="E116" s="16" t="str">
        <x:v>ШТ</x:v>
      </x:c>
      <x:c r="F116" s="21" t="n">
        <x:v>1</x:v>
      </x:c>
      <x:c r="G116" s="17" t="n">
        <x:v>1175.2015999999999</x:v>
      </x:c>
      <x:c r="H116" s="17" t="n">
        <x:f>G116*F116</x:f>
        <x:v>1175.2015999999999</x:v>
      </x:c>
      <x:c r="I116" s="22" t="str">
        <x:f>HYPERLINK("https://etp-aktiv.ru/catalog/materialy/zapasnye-chasti-k-avtotransportnomu-oborudovaniyu/2000449577-U117/","Открыть позицию")</x:f>
        <x:v>Открыть позицию</x:v>
      </x:c>
    </x:row>
    <x:row r="117" ht="28" customHeight="1">
      <x:c r="A117" s="16" t="str">
        <x:v>Приморская ГРЭС</x:v>
      </x:c>
      <x:c r="B117" s="16" t="str">
        <x:v>2000163218-U117</x:v>
      </x:c>
      <x:c r="C117" s="16" t="str">
        <x:v>ШЛАНГ ТОРМОЗНОЙ 3160-3506085</x:v>
      </x:c>
      <x:c r="D117" s="16" t="str">
        <x:v>Запасные части к автотранспортному оборудованию</x:v>
      </x:c>
      <x:c r="E117" s="16" t="str">
        <x:v>ШТ</x:v>
      </x:c>
      <x:c r="F117" s="21" t="n">
        <x:v>2</x:v>
      </x:c>
      <x:c r="G117" s="17" t="n">
        <x:v>126.0138</x:v>
      </x:c>
      <x:c r="H117" s="17" t="n">
        <x:f>G117*F117</x:f>
        <x:v>252.0276</x:v>
      </x:c>
      <x:c r="I117" s="22" t="str">
        <x:f>HYPERLINK("https://etp-aktiv.ru/catalog/materialy/zapasnye-chasti-k-avtotransportnomu-oborudovaniyu/2000163218-U117/","Открыть позицию")</x:f>
        <x:v>Открыть позицию</x:v>
      </x:c>
    </x:row>
    <x:row r="118" ht="28" customHeight="1">
      <x:c r="A118" s="16" t="str">
        <x:v>Приморская ГРЭС</x:v>
      </x:c>
      <x:c r="B118" s="16" t="str">
        <x:v>2000724576-U117</x:v>
      </x:c>
      <x:c r="C118" s="16" t="str">
        <x:v>ШРУС КУЛАКА ПРАВЫЙ 3741-2304060-01 СБ</x:v>
      </x:c>
      <x:c r="D118" s="16" t="str">
        <x:v>Запасные части к автотранспортному оборудованию</x:v>
      </x:c>
      <x:c r="E118" s="16" t="str">
        <x:v>ШТ</x:v>
      </x:c>
      <x:c r="F118" s="21" t="n">
        <x:v>1</x:v>
      </x:c>
      <x:c r="G118" s="17" t="n">
        <x:v>2379</x:v>
      </x:c>
      <x:c r="H118" s="17" t="n">
        <x:f>G118*F118</x:f>
        <x:v>2379</x:v>
      </x:c>
      <x:c r="I118" s="22" t="str">
        <x:f>HYPERLINK("https://etp-aktiv.ru/catalog/materialy/zapasnye-chasti-k-avtotransportnomu-oborudovaniyu/2000724576-U117/","Открыть позицию")</x:f>
        <x:v>Открыть позицию</x:v>
      </x:c>
    </x:row>
    <x:row r="119" ht="28" customHeight="1">
      <x:c r="A119" s="16" t="str">
        <x:v>Приморская ГРЭС</x:v>
      </x:c>
      <x:c r="B119" s="16" t="str">
        <x:v>2000523577-U117</x:v>
      </x:c>
      <x:c r="C119" s="16" t="str">
        <x:v>ЭЛЕМЕНТ ФИЛЬТРУЮЩИЙ 2001-15-25СП</x:v>
      </x:c>
      <x:c r="D119" s="16" t="str">
        <x:v>Запасные части к карьерной технике Четра</x:v>
      </x:c>
      <x:c r="E119" s="16" t="str">
        <x:v>ШТ</x:v>
      </x:c>
      <x:c r="F119" s="21" t="n">
        <x:v>1</x:v>
      </x:c>
      <x:c r="G119" s="17" t="n">
        <x:v>274.0974</x:v>
      </x:c>
      <x:c r="H119" s="17" t="n">
        <x:f>G119*F119</x:f>
        <x:v>274.0974</x:v>
      </x:c>
      <x:c r="I119" s="22" t="str">
        <x:f>HYPERLINK("https://etp-aktiv.ru/catalog/materialy/zapasnye-chasti-k-dorozhno-stroitelnoj-tekhnike/2000523577-U117/","Открыть позицию")</x:f>
        <x:v>Открыть позицию</x:v>
      </x:c>
    </x:row>
    <x:row r="120" ht="28" customHeight="1">
      <x:c r="A120" s="16" t="str">
        <x:v>Приморская ГРЭС</x:v>
      </x:c>
      <x:c r="B120" s="16" t="str">
        <x:v>2000001958-U117</x:v>
      </x:c>
      <x:c r="C120" s="16" t="str">
        <x:v>ЭЛЕМЕНТ ФИЛЬТРУЮЩИЙ 240-1017040</x:v>
      </x:c>
      <x:c r="D120" s="16" t="str">
        <x:v>Фильтры для спецтехники и автотранспорта</x:v>
      </x:c>
      <x:c r="E120" s="16" t="str">
        <x:v>ШТ</x:v>
      </x:c>
      <x:c r="F120" s="21" t="n">
        <x:v>1</x:v>
      </x:c>
      <x:c r="G120" s="17" t="n">
        <x:v>163.785</x:v>
      </x:c>
      <x:c r="H120" s="17" t="n">
        <x:f>G120*F120</x:f>
        <x:v>163.785</x:v>
      </x:c>
      <x:c r="I120" s="22" t="str">
        <x:f>HYPERLINK("https://etp-aktiv.ru/catalog/materialy/zapasnye-chasti-k-avtotransportnomu-oborudovaniyu/2000001958-U117/","Открыть позицию")</x:f>
        <x:v>Открыть позицию</x:v>
      </x:c>
    </x:row>
    <x:row r="121" ht="28" customHeight="1">
      <x:c r="A121" s="16" t="str">
        <x:v>Приморская ГРЭС</x:v>
      </x:c>
      <x:c r="B121" s="16" t="str">
        <x:v>2000005345-U117</x:v>
      </x:c>
      <x:c r="C121" s="16" t="str">
        <x:v>ЭЛЕМЕНТ ФИЛЬТРУЮЩИЙ 740-1109560-02</x:v>
      </x:c>
      <x:c r="D121" s="16" t="str">
        <x:v>Фильтры для спецтехники и автотранспорта</x:v>
      </x:c>
      <x:c r="E121" s="16" t="str">
        <x:v>ШТ</x:v>
      </x:c>
      <x:c r="F121" s="21" t="n">
        <x:v>9</x:v>
      </x:c>
      <x:c r="G121" s="17" t="n">
        <x:v>825.1348</x:v>
      </x:c>
      <x:c r="H121" s="17" t="n">
        <x:f>G121*F121</x:f>
        <x:v>7426.2132</x:v>
      </x:c>
      <x:c r="I121" s="22" t="str">
        <x:f>HYPERLINK("https://etp-aktiv.ru/catalog/materialy/zapasnye-chasti-k-avtotransportnomu-oborudovaniyu/2000005345-U117/","Открыть позицию")</x:f>
        <x:v>Открыть позицию</x:v>
      </x:c>
    </x:row>
    <x:row r="122" ht="28" customHeight="1">
      <x:c r="A122" s="16" t="str">
        <x:v>Приморская ГРЭС</x:v>
      </x:c>
      <x:c r="B122" s="16" t="str">
        <x:v>2000002560-U117</x:v>
      </x:c>
      <x:c r="C122" s="16" t="str">
        <x:v>ЭЛЕМЕНТ ФИЛЬТРУЮЩИЙ 840-1012040-12</x:v>
      </x:c>
      <x:c r="D122" s="16" t="str">
        <x:v>Фильтры для спецтехники и автотранспорта</x:v>
      </x:c>
      <x:c r="E122" s="16" t="str">
        <x:v>ШТ</x:v>
      </x:c>
      <x:c r="F122" s="21" t="n">
        <x:v>102</x:v>
      </x:c>
      <x:c r="G122" s="17" t="n">
        <x:v>313.0032</x:v>
      </x:c>
      <x:c r="H122" s="17" t="n">
        <x:f>G122*F122</x:f>
        <x:v>31926.326399999998</x:v>
      </x:c>
      <x:c r="I122" s="22" t="str">
        <x:f>HYPERLINK("https://etp-aktiv.ru/catalog/materialy/zapasnye-chasti-k-avtotransportnomu-oborudovaniyu/2000002560-U117/","Открыть позицию")</x:f>
        <x:v>Открыть позицию</x:v>
      </x:c>
    </x:row>
    <x:row r="123" ht="28" customHeight="1">
      <x:c r="A123" s="16" t="str">
        <x:v>Приморская ГРЭС</x:v>
      </x:c>
      <x:c r="B123" s="16" t="str">
        <x:v>2000484428-U117</x:v>
      </x:c>
      <x:c r="C123" s="16" t="str">
        <x:v>ЭЛЕМЕНТ ФИЛЬТРУЮЩИЙ АНП 20</x:v>
      </x:c>
      <x:c r="D123" s="16" t="str">
        <x:v>Запасные части к локомотивам</x:v>
      </x:c>
      <x:c r="E123" s="16" t="str">
        <x:v>ШТ</x:v>
      </x:c>
      <x:c r="F123" s="21" t="n">
        <x:v>12</x:v>
      </x:c>
      <x:c r="G123" s="17" t="n">
        <x:v>120.09679999999999</x:v>
      </x:c>
      <x:c r="H123" s="17" t="n">
        <x:f>G123*F123</x:f>
        <x:v>1441.1616</x:v>
      </x:c>
      <x:c r="I123" s="22" t="str">
        <x:f>HYPERLINK("https://etp-aktiv.ru/catalog/materialy/zapasnye-chasti-k-zhd-oborudovaniyu-i-podvizhnomu-sostavu/2000484428-U117/","Открыть позицию")</x:f>
        <x:v>Открыть позицию</x:v>
      </x:c>
    </x:row>
    <x:row r="124" ht="28" customHeight="1">
      <x:c r="A124" s="16" t="str">
        <x:v>Приморская ГРЭС</x:v>
      </x:c>
      <x:c r="B124" s="16" t="str">
        <x:v>2000508977-U117</x:v>
      </x:c>
      <x:c r="C124" s="16" t="str">
        <x:v>ЭЛЕМЕНТ ФИЛЬТРУЮЩИЙ ЭФМ020.10 12040</x:v>
      </x:c>
      <x:c r="D124" s="16" t="str">
        <x:v>Фильтры для спецтехники и автотранспорта</x:v>
      </x:c>
      <x:c r="E124" s="16" t="str">
        <x:v>ШТ</x:v>
      </x:c>
      <x:c r="F124" s="21" t="n">
        <x:v>72</x:v>
      </x:c>
      <x:c r="G124" s="17" t="n">
        <x:v>216.09859999999998</x:v>
      </x:c>
      <x:c r="H124" s="17" t="n">
        <x:f>G124*F124</x:f>
        <x:v>15559.099199999999</x:v>
      </x:c>
      <x:c r="I124" s="22" t="str">
        <x:f>HYPERLINK("https://etp-aktiv.ru/catalog/materialy/zapasnye-chasti-k-avtotransportnomu-oborudovaniyu/2000508977-U117/","Открыть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c496254c2eaf4441"/>
  </x:tableParts>
</x:worksheet>
</file>

<file path=xl/worksheets/sheet16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Приморье: Прочие специализированные материалы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Приморская ГРЭС</x:v>
      </x:c>
      <x:c r="B5" s="16" t="str">
        <x:v>2000020544-U117</x:v>
      </x:c>
      <x:c r="C5" s="16" t="str">
        <x:v>БОЧКА 200Л</x:v>
      </x:c>
      <x:c r="D5" s="16" t="str">
        <x:v>Тара, тарные и вспомогательные материалы для упаковки</x:v>
      </x:c>
      <x:c r="E5" s="16" t="str">
        <x:v>ШТ</x:v>
      </x:c>
      <x:c r="F5" s="21" t="n">
        <x:v>4</x:v>
      </x:c>
      <x:c r="G5" s="17" t="n">
        <x:v>795.8914</x:v>
      </x:c>
      <x:c r="H5" s="17" t="n">
        <x:f>G5*F5</x:f>
        <x:v>3183.5656</x:v>
      </x:c>
      <x:c r="I5" s="22" t="str">
        <x:f>HYPERLINK("https://etp-aktiv.ru/catalog/materialy/tara/2000020544-U117/","Открыть позицию")</x:f>
        <x:v>Открыть позицию</x:v>
      </x:c>
    </x:row>
    <x:row r="6" ht="28" customHeight="1">
      <x:c r="A6" s="16" t="str">
        <x:v>Приморская ГРЭС</x:v>
      </x:c>
      <x:c r="B6" s="16" t="str">
        <x:v>5000047026-U117</x:v>
      </x:c>
      <x:c r="C6" s="16" t="str">
        <x:v>БРИФИНГ-ПРИСТАВКА GR-8 1200*700*750 ТЕМН</x:v>
      </x:c>
      <x:c r="D6" s="16" t="str">
        <x:v>Мебель и бытовая техника</x:v>
      </x:c>
      <x:c r="E6" s="16" t="str">
        <x:v>ШТ</x:v>
      </x:c>
      <x:c r="F6" s="21" t="n">
        <x:v>2</x:v>
      </x:c>
      <x:c r="G6" s="17" t="n">
        <x:v>7061.5186</x:v>
      </x:c>
      <x:c r="H6" s="17" t="n">
        <x:f>G6*F6</x:f>
        <x:v>14123.0372</x:v>
      </x:c>
      <x:c r="I6" s="22" t="str">
        <x:f>HYPERLINK("https://etp-aktiv.ru/catalog/materialy/mebel-i-bytovaya-tekhnika/5000047026-U117/","Открыть позицию")</x:f>
        <x:v>Открыть позицию</x:v>
      </x:c>
    </x:row>
    <x:row r="7" ht="28" customHeight="1">
      <x:c r="A7" s="16" t="str">
        <x:v>Приморская ГРЭС</x:v>
      </x:c>
      <x:c r="B7" s="16" t="str">
        <x:v>5000052118-U117</x:v>
      </x:c>
      <x:c r="C7" s="16" t="str">
        <x:v>ГАРДЕРОБ СМАРТ 76Н006.0053 780*420*2105</x:v>
      </x:c>
      <x:c r="D7" s="16" t="str">
        <x:v>Мебель и бытовая техника</x:v>
      </x:c>
      <x:c r="E7" s="16" t="str">
        <x:v>ШТ</x:v>
      </x:c>
      <x:c r="F7" s="21" t="n">
        <x:v>12</x:v>
      </x:c>
      <x:c r="G7" s="17" t="n">
        <x:v>9760</x:v>
      </x:c>
      <x:c r="H7" s="17" t="n">
        <x:f>G7*F7</x:f>
        <x:v>117120</x:v>
      </x:c>
      <x:c r="I7" s="22" t="str">
        <x:f>HYPERLINK("https://etp-aktiv.ru/catalog/materialy/mebel-i-bytovaya-tekhnika/5000052118-U117/","Открыть позицию")</x:f>
        <x:v>Открыть позицию</x:v>
      </x:c>
    </x:row>
    <x:row r="8" ht="28" customHeight="1">
      <x:c r="A8" s="16" t="str">
        <x:v>Приморская ГРЭС</x:v>
      </x:c>
      <x:c r="B8" s="16" t="str">
        <x:v>5000099105-U117</x:v>
      </x:c>
      <x:c r="C8" s="16" t="str">
        <x:v>КРОВАТЬ ЭКОНОМ М600 1920*650*240 БЕЛЫЙ</x:v>
      </x:c>
      <x:c r="D8" s="16" t="str">
        <x:v>Мебель и бытовая техника</x:v>
      </x:c>
      <x:c r="E8" s="16" t="str">
        <x:v>ШТ</x:v>
      </x:c>
      <x:c r="F8" s="21" t="n">
        <x:v>90</x:v>
      </x:c>
      <x:c r="G8" s="17" t="n">
        <x:v>1952</x:v>
      </x:c>
      <x:c r="H8" s="17" t="n">
        <x:f>G8*F8</x:f>
        <x:v>175680</x:v>
      </x:c>
      <x:c r="I8" s="22" t="str">
        <x:f>HYPERLINK("https://etp-aktiv.ru/catalog/materialy/mebel-i-bytovaya-tekhnika/5000099105-U117/","Открыть позицию")</x:f>
        <x:v>Открыть позицию</x:v>
      </x:c>
    </x:row>
    <x:row r="9" ht="28" customHeight="1">
      <x:c r="A9" s="16" t="str">
        <x:v>Приморская ГРЭС</x:v>
      </x:c>
      <x:c r="B9" s="16" t="str">
        <x:v>5000100324-U117</x:v>
      </x:c>
      <x:c r="C9" s="16" t="str">
        <x:v>МОДУЛЬ ШКАФА СМАРТ 786*420*2105 ДУБ/СЕР</x:v>
      </x:c>
      <x:c r="D9" s="16" t="str">
        <x:v>Мебель и бытовая техника</x:v>
      </x:c>
      <x:c r="E9" s="16" t="str">
        <x:v>ШТ</x:v>
      </x:c>
      <x:c r="F9" s="21" t="n">
        <x:v>10</x:v>
      </x:c>
      <x:c r="G9" s="17" t="n">
        <x:v>9767.625</x:v>
      </x:c>
      <x:c r="H9" s="17" t="n">
        <x:f>G9*F9</x:f>
        <x:v>97676.25</x:v>
      </x:c>
      <x:c r="I9" s="22" t="str">
        <x:f>HYPERLINK("https://etp-aktiv.ru/catalog/materialy/mebel-i-bytovaya-tekhnika/5000100324-U117/","Открыть позицию")</x:f>
        <x:v>Открыть позицию</x:v>
      </x:c>
    </x:row>
    <x:row r="10" ht="28" customHeight="1">
      <x:c r="A10" s="16" t="str">
        <x:v>Приморская ГРЭС</x:v>
      </x:c>
      <x:c r="B10" s="16" t="str">
        <x:v>2000552362-U117</x:v>
      </x:c>
      <x:c r="C10" s="16" t="str">
        <x:v>ПАКЕТ Д/МУСОРА 35Л 50ШТ</x:v>
      </x:c>
      <x:c r="D10" s="16" t="str">
        <x:v>Тара, тарные и вспомогательные материалы для упаковки</x:v>
      </x:c>
      <x:c r="E10" s="16" t="str">
        <x:v>РУЛ</x:v>
      </x:c>
      <x:c r="F10" s="21" t="n">
        <x:v>3</x:v>
      </x:c>
      <x:c r="G10" s="17" t="n">
        <x:v>196.725</x:v>
      </x:c>
      <x:c r="H10" s="17" t="n">
        <x:f>G10*F10</x:f>
        <x:v>590.175</x:v>
      </x:c>
      <x:c r="I10" s="22" t="str">
        <x:f>HYPERLINK("https://etp-aktiv.ru/catalog/materialy/tara/2000552362-U117/","Открыть позицию")</x:f>
        <x:v>Открыть позицию</x:v>
      </x:c>
    </x:row>
    <x:row r="11" ht="28" customHeight="1">
      <x:c r="A11" s="16" t="str">
        <x:v>Приморская ГРЭС</x:v>
      </x:c>
      <x:c r="B11" s="16" t="str">
        <x:v>2000552323-U117</x:v>
      </x:c>
      <x:c r="C11" s="16" t="str">
        <x:v>ПЛЕНКА П/Э РУК 0,150*1500*2 ТС ВЫС СОРТ</x:v>
      </x:c>
      <x:c r="D11" s="16" t="str">
        <x:v>Тара, тарные и вспомогательные материалы для упаковки</x:v>
      </x:c>
      <x:c r="E11" s="16" t="str">
        <x:v>ПМ</x:v>
      </x:c>
      <x:c r="F11" s="30" t="n">
        <x:v>27.5</x:v>
      </x:c>
      <x:c r="G11" s="17" t="n">
        <x:v>117.81539999999998</x:v>
      </x:c>
      <x:c r="H11" s="17" t="n">
        <x:f>G11*F11</x:f>
        <x:v>3239.9234999999994</x:v>
      </x:c>
      <x:c r="I11" s="22" t="str">
        <x:f>HYPERLINK("https://etp-aktiv.ru/catalog/materialy/tara/2000552323-U117/","Открыть позицию")</x:f>
        <x:v>Открыть позицию</x:v>
      </x:c>
    </x:row>
    <x:row r="12" ht="28" customHeight="1">
      <x:c r="A12" s="16" t="str">
        <x:v>Приморская ГРЭС</x:v>
      </x:c>
      <x:c r="B12" s="16" t="str">
        <x:v>2001022893-U117</x:v>
      </x:c>
      <x:c r="C12" s="16" t="str">
        <x:v>СКАМЬЯ-ПОДСТ LS-21-60 600*770*330 СОСНА</x:v>
      </x:c>
      <x:c r="D12" s="16" t="str">
        <x:v>Части конструкции мебели</x:v>
      </x:c>
      <x:c r="E12" s="16" t="str">
        <x:v>ШТ</x:v>
      </x:c>
      <x:c r="F12" s="21" t="n">
        <x:v>139</x:v>
      </x:c>
      <x:c r="G12" s="17" t="n">
        <x:v>2508.3322000000003</x:v>
      </x:c>
      <x:c r="H12" s="17" t="n">
        <x:f>G12*F12</x:f>
        <x:v>348658.1758</x:v>
      </x:c>
      <x:c r="I12" s="22" t="str">
        <x:f>HYPERLINK("https://etp-aktiv.ru/catalog/materialy/mebel-i-bytovaya-tekhnika/2001022893-U117/","Открыть позицию")</x:f>
        <x:v>Открыть позицию</x:v>
      </x:c>
    </x:row>
    <x:row r="13" ht="28" customHeight="1">
      <x:c r="A13" s="16" t="str">
        <x:v>Приморская ГРЭС</x:v>
      </x:c>
      <x:c r="B13" s="16" t="str">
        <x:v>2000137770-U117</x:v>
      </x:c>
      <x:c r="C13" s="16" t="str">
        <x:v>УСТРОЙСТВО ЗАПОРНО-ПЛОМБИР ГАЗ-ГАРАНТ</x:v>
      </x:c>
      <x:c r="D13" s="16" t="str">
        <x:v>Тара, тарные и вспомогательные материалы для упаковки</x:v>
      </x:c>
      <x:c r="E13" s="16" t="str">
        <x:v>ШТ</x:v>
      </x:c>
      <x:c r="F13" s="21" t="n">
        <x:v>2</x:v>
      </x:c>
      <x:c r="G13" s="17" t="n">
        <x:v>115.24119999999999</x:v>
      </x:c>
      <x:c r="H13" s="17" t="n">
        <x:f>G13*F13</x:f>
        <x:v>230.48239999999998</x:v>
      </x:c>
      <x:c r="I13" s="22" t="str">
        <x:f>HYPERLINK("https://etp-aktiv.ru/catalog/materialy/tara/2000137770-U117/","Открыть позицию")</x:f>
        <x:v>Открыть позицию</x:v>
      </x:c>
    </x:row>
    <x:row r="14" ht="28" customHeight="1">
      <x:c r="A14" s="16" t="str">
        <x:v>Приморская ГРЭС</x:v>
      </x:c>
      <x:c r="B14" s="16" t="str">
        <x:v>2000716687-U117</x:v>
      </x:c>
      <x:c r="C14" s="16" t="str">
        <x:v>УСТРОЙСТВО ЗПУ ТЭТРОН</x:v>
      </x:c>
      <x:c r="D14" s="16" t="str">
        <x:v>Тара, тарные и вспомогательные материалы для упаковки</x:v>
      </x:c>
      <x:c r="E14" s="16" t="str">
        <x:v>ШТ</x:v>
      </x:c>
      <x:c r="F14" s="21" t="n">
        <x:v>1</x:v>
      </x:c>
      <x:c r="G14" s="17" t="n">
        <x:v>236.87519999999998</x:v>
      </x:c>
      <x:c r="H14" s="17" t="n">
        <x:f>G14*F14</x:f>
        <x:v>236.87519999999998</x:v>
      </x:c>
      <x:c r="I14" s="22" t="str">
        <x:f>HYPERLINK("https://etp-aktiv.ru/catalog/materialy/tara/2000716687-U117/","Открыть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4c413e35dad447a8"/>
  </x:tableParts>
</x:worksheet>
</file>